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7507 TES dep/"/>
    </mc:Choice>
  </mc:AlternateContent>
  <xr:revisionPtr revIDLastSave="0" documentId="13_ncr:1_{FEF2654D-F8A8-46DC-B1A9-C9180862B7B8}" xr6:coauthVersionLast="47" xr6:coauthVersionMax="47" xr10:uidLastSave="{00000000-0000-0000-0000-000000000000}"/>
  <bookViews>
    <workbookView xWindow="-120" yWindow="-120" windowWidth="29040" windowHeight="15840" tabRatio="870" activeTab="9" xr2:uid="{00000000-000D-0000-FFFF-FFFF00000000}"/>
  </bookViews>
  <sheets>
    <sheet name="Beechdean" sheetId="1" r:id="rId1"/>
    <sheet name="Croda Goole" sheetId="21" r:id="rId2"/>
    <sheet name="Croda Widnes" sheetId="27" r:id="rId3"/>
    <sheet name="D.wise" sheetId="28" r:id="rId4"/>
    <sheet name="Encirc" sheetId="30" r:id="rId5"/>
    <sheet name="Penderyn" sheetId="26" r:id="rId6"/>
    <sheet name="Kelloggs" sheetId="24" r:id="rId7"/>
    <sheet name="Rowan Food" sheetId="29" r:id="rId8"/>
    <sheet name="Maelor" sheetId="23" r:id="rId9"/>
    <sheet name="Secanim"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N65" i="1" l="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V18" i="30"/>
  <c r="P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R22" i="29"/>
  <c r="L22" i="29"/>
  <c r="J22" i="29"/>
  <c r="V20" i="29"/>
  <c r="U20" i="29"/>
  <c r="T20" i="29"/>
  <c r="S20" i="29"/>
  <c r="R20" i="29"/>
  <c r="Q20" i="29"/>
  <c r="P20" i="29"/>
  <c r="O20" i="29"/>
  <c r="N20" i="29"/>
  <c r="M20" i="29"/>
  <c r="L20" i="29"/>
  <c r="K20" i="29"/>
  <c r="J20" i="29"/>
  <c r="V18" i="29"/>
  <c r="U18" i="29"/>
  <c r="R18" i="29"/>
  <c r="P18" i="29"/>
  <c r="N18"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N20" i="28"/>
  <c r="M20" i="28"/>
  <c r="L20" i="28"/>
  <c r="K20" i="28"/>
  <c r="J20" i="28"/>
  <c r="V18" i="28"/>
  <c r="U18" i="28"/>
  <c r="P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V20" i="27"/>
  <c r="U20" i="27"/>
  <c r="T20" i="27"/>
  <c r="S20" i="27"/>
  <c r="R20" i="27"/>
  <c r="Q20" i="27"/>
  <c r="P20" i="27"/>
  <c r="O20" i="27"/>
  <c r="N20" i="27"/>
  <c r="M20" i="27"/>
  <c r="L20" i="27"/>
  <c r="K20" i="27"/>
  <c r="J20" i="27"/>
  <c r="S18" i="27"/>
  <c r="O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K22" i="26"/>
  <c r="G22" i="26"/>
  <c r="V20" i="26"/>
  <c r="U20" i="26"/>
  <c r="T20" i="26"/>
  <c r="S20" i="26"/>
  <c r="R20" i="26"/>
  <c r="Q20" i="26"/>
  <c r="P20" i="26"/>
  <c r="O20" i="26"/>
  <c r="N20" i="26"/>
  <c r="M20" i="26"/>
  <c r="L20" i="26"/>
  <c r="K20" i="26"/>
  <c r="J20" i="26"/>
  <c r="V18" i="26"/>
  <c r="S18"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M22" i="24"/>
  <c r="V20" i="24"/>
  <c r="U20" i="24"/>
  <c r="T20" i="24"/>
  <c r="S20" i="24"/>
  <c r="R20" i="24"/>
  <c r="Q20" i="24"/>
  <c r="P20" i="24"/>
  <c r="O20" i="24"/>
  <c r="N20" i="24"/>
  <c r="M20" i="24"/>
  <c r="L20" i="24"/>
  <c r="K20" i="24"/>
  <c r="J20" i="24"/>
  <c r="U18" i="24"/>
  <c r="P18" i="24"/>
  <c r="M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Q20" i="23"/>
  <c r="P20" i="23"/>
  <c r="O20" i="23"/>
  <c r="N20" i="23"/>
  <c r="M20" i="23"/>
  <c r="L20" i="23"/>
  <c r="K20" i="23"/>
  <c r="J20" i="23"/>
  <c r="S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M22" i="22"/>
  <c r="V20" i="22"/>
  <c r="U20" i="22"/>
  <c r="T20" i="22"/>
  <c r="S20" i="22"/>
  <c r="R20" i="22"/>
  <c r="Q20" i="22"/>
  <c r="P20" i="22"/>
  <c r="O20" i="22"/>
  <c r="N20" i="22"/>
  <c r="M20" i="22"/>
  <c r="L20" i="22"/>
  <c r="K20" i="22"/>
  <c r="J20" i="22"/>
  <c r="U18" i="22"/>
  <c r="S18" i="22"/>
  <c r="R18" i="22"/>
  <c r="O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U63" i="28" l="1"/>
  <c r="U65" i="28" s="1"/>
  <c r="N63" i="28"/>
  <c r="N65" i="28" s="1"/>
  <c r="F63" i="28"/>
  <c r="H10" i="19"/>
  <c r="H24" i="19" s="1"/>
  <c r="U63" i="30"/>
  <c r="U65" i="30"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I23" i="21" s="1"/>
  <c r="I24" i="21" s="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E23" i="23" s="1"/>
  <c r="E24" i="23" s="1"/>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U59" i="23"/>
  <c r="V21" i="23"/>
  <c r="V23" i="23" s="1"/>
  <c r="V24" i="23" s="1"/>
  <c r="V17" i="23"/>
  <c r="I17" i="24"/>
  <c r="I19" i="24" s="1"/>
  <c r="I20" i="24" s="1"/>
  <c r="I21" i="24"/>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O24" i="22" s="1"/>
  <c r="H59" i="23"/>
  <c r="I21" i="23"/>
  <c r="I23" i="23" s="1"/>
  <c r="I24" i="23" s="1"/>
  <c r="I17" i="23"/>
  <c r="I19" i="23" s="1"/>
  <c r="I20" i="23" s="1"/>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19" i="30" s="1"/>
  <c r="E20" i="30" s="1"/>
  <c r="E21" i="30"/>
  <c r="L59" i="30"/>
  <c r="M17" i="30"/>
  <c r="M21" i="30"/>
  <c r="M23" i="30" s="1"/>
  <c r="M24" i="30" s="1"/>
  <c r="T59" i="30"/>
  <c r="U17" i="30"/>
  <c r="U19" i="30" s="1"/>
  <c r="U20"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19" i="29" s="1"/>
  <c r="G20" i="29" s="1"/>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23" i="30" s="1"/>
  <c r="G24" i="30" s="1"/>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G23" i="22"/>
  <c r="G24" i="22"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H64"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C64" i="22" s="1"/>
  <c r="C65" i="22" s="1"/>
  <c r="K58" i="22"/>
  <c r="K61" i="22" s="1"/>
  <c r="K64" i="22" s="1"/>
  <c r="S58" i="22"/>
  <c r="S61" i="22" s="1"/>
  <c r="S64" i="22" s="1"/>
  <c r="F57" i="23"/>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M19" i="21"/>
  <c r="G57" i="21"/>
  <c r="J19" i="22"/>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R20" i="30" s="1"/>
  <c r="F63" i="30"/>
  <c r="N63" i="30"/>
  <c r="N65" i="30" s="1"/>
  <c r="K19" i="30"/>
  <c r="K20" i="30" s="1"/>
  <c r="S19" i="30"/>
  <c r="S20" i="30" s="1"/>
  <c r="S23" i="30"/>
  <c r="S24" i="30" s="1"/>
  <c r="A31" i="30"/>
  <c r="A33" i="30"/>
  <c r="A39" i="30"/>
  <c r="A41" i="30"/>
  <c r="A47" i="30"/>
  <c r="A49" i="30"/>
  <c r="G57" i="30"/>
  <c r="O57" i="30"/>
  <c r="G59" i="30"/>
  <c r="O59" i="30"/>
  <c r="G63" i="30"/>
  <c r="O63" i="30"/>
  <c r="O65" i="30" s="1"/>
  <c r="P63" i="30"/>
  <c r="P65" i="30" s="1"/>
  <c r="I63" i="30"/>
  <c r="I65" i="30" s="1"/>
  <c r="Q63" i="30"/>
  <c r="Q65" i="30" s="1"/>
  <c r="T19" i="30"/>
  <c r="T20" i="30" s="1"/>
  <c r="N19" i="30"/>
  <c r="N20" i="30" s="1"/>
  <c r="V19" i="30"/>
  <c r="V20" i="30" s="1"/>
  <c r="F23" i="30"/>
  <c r="F24" i="30" s="1"/>
  <c r="N23" i="30"/>
  <c r="N24" i="30" s="1"/>
  <c r="B63" i="30"/>
  <c r="J63" i="30"/>
  <c r="J65" i="30" s="1"/>
  <c r="R63" i="30"/>
  <c r="R65" i="30" s="1"/>
  <c r="M19" i="30"/>
  <c r="M20" i="30" s="1"/>
  <c r="G19" i="30"/>
  <c r="G20" i="30" s="1"/>
  <c r="A32" i="30"/>
  <c r="A34" i="30"/>
  <c r="A40" i="30"/>
  <c r="A42" i="30"/>
  <c r="A48" i="30"/>
  <c r="A50" i="30"/>
  <c r="C63" i="30"/>
  <c r="K63" i="30"/>
  <c r="K65" i="30" s="1"/>
  <c r="S63" i="30"/>
  <c r="S65" i="30" s="1"/>
  <c r="P19" i="30"/>
  <c r="P20" i="30" s="1"/>
  <c r="D63" i="30"/>
  <c r="L63" i="30"/>
  <c r="L65" i="30" s="1"/>
  <c r="T63" i="30"/>
  <c r="T65" i="30" s="1"/>
  <c r="H63" i="30"/>
  <c r="Q19" i="30"/>
  <c r="Q20" i="30" s="1"/>
  <c r="E63" i="30"/>
  <c r="M63" i="30"/>
  <c r="M65" i="30" s="1"/>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N19" i="29"/>
  <c r="V19" i="29"/>
  <c r="F23" i="29"/>
  <c r="F24" i="29" s="1"/>
  <c r="N23" i="29"/>
  <c r="N24" i="29" s="1"/>
  <c r="B63" i="29"/>
  <c r="J63" i="29"/>
  <c r="R63" i="29"/>
  <c r="L19" i="29"/>
  <c r="O19" i="29"/>
  <c r="A32" i="29"/>
  <c r="A34" i="29"/>
  <c r="A40" i="29"/>
  <c r="A42" i="29"/>
  <c r="A48" i="29"/>
  <c r="A50" i="29"/>
  <c r="C63" i="29"/>
  <c r="K63" i="29"/>
  <c r="S63" i="29"/>
  <c r="P19" i="29"/>
  <c r="D63" i="29"/>
  <c r="L63" i="29"/>
  <c r="T63" i="29"/>
  <c r="E63" i="29"/>
  <c r="M63" i="29"/>
  <c r="K19" i="28"/>
  <c r="S19" i="28"/>
  <c r="K23" i="28"/>
  <c r="K24" i="28" s="1"/>
  <c r="A31" i="28"/>
  <c r="A33" i="28"/>
  <c r="A37" i="28"/>
  <c r="A39" i="28"/>
  <c r="A41" i="28"/>
  <c r="A45" i="28"/>
  <c r="A47" i="28"/>
  <c r="A49" i="28"/>
  <c r="G57" i="28"/>
  <c r="O57" i="28"/>
  <c r="G59" i="28"/>
  <c r="O59" i="28"/>
  <c r="G63" i="28"/>
  <c r="O63" i="28"/>
  <c r="O65" i="28" s="1"/>
  <c r="L19" i="28"/>
  <c r="L23" i="28"/>
  <c r="L24" i="28" s="1"/>
  <c r="T23" i="28"/>
  <c r="T24" i="28" s="1"/>
  <c r="H59" i="28"/>
  <c r="P59" i="28"/>
  <c r="H63" i="28"/>
  <c r="P63" i="28"/>
  <c r="P65" i="28" s="1"/>
  <c r="M19" i="28"/>
  <c r="U19" i="28"/>
  <c r="M23" i="28"/>
  <c r="M24" i="28" s="1"/>
  <c r="I57" i="28"/>
  <c r="Q57" i="28"/>
  <c r="I63" i="28"/>
  <c r="I65" i="28" s="1"/>
  <c r="Q63" i="28"/>
  <c r="Q65" i="28" s="1"/>
  <c r="R19" i="28"/>
  <c r="V19" i="28"/>
  <c r="N23" i="28"/>
  <c r="N24" i="28" s="1"/>
  <c r="V23" i="28"/>
  <c r="V24" i="28" s="1"/>
  <c r="B63" i="28"/>
  <c r="J63" i="28"/>
  <c r="J65" i="28" s="1"/>
  <c r="R63" i="28"/>
  <c r="R65" i="28" s="1"/>
  <c r="A32" i="28"/>
  <c r="A34" i="28"/>
  <c r="A40" i="28"/>
  <c r="A42" i="28"/>
  <c r="A48" i="28"/>
  <c r="A50" i="28"/>
  <c r="C63" i="28"/>
  <c r="K63" i="28"/>
  <c r="K65" i="28" s="1"/>
  <c r="S63" i="28"/>
  <c r="S65" i="28" s="1"/>
  <c r="H19" i="28"/>
  <c r="H20" i="28" s="1"/>
  <c r="D63" i="28"/>
  <c r="L63" i="28"/>
  <c r="L65" i="28" s="1"/>
  <c r="T63" i="28"/>
  <c r="T65" i="28" s="1"/>
  <c r="I19" i="28"/>
  <c r="I20" i="28" s="1"/>
  <c r="E63" i="28"/>
  <c r="M63" i="28"/>
  <c r="M65" i="28" s="1"/>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I19" i="26"/>
  <c r="I20" i="26" s="1"/>
  <c r="J23" i="24"/>
  <c r="J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E19" i="23"/>
  <c r="E20" i="23" s="1"/>
  <c r="M19" i="23"/>
  <c r="M23" i="23"/>
  <c r="M24" i="23" s="1"/>
  <c r="I57" i="23"/>
  <c r="Q57" i="23"/>
  <c r="F23" i="23"/>
  <c r="F24" i="23" s="1"/>
  <c r="N23" i="23"/>
  <c r="N24" i="23" s="1"/>
  <c r="G19" i="23"/>
  <c r="G20" i="23" s="1"/>
  <c r="O19" i="23"/>
  <c r="A32" i="23"/>
  <c r="A34" i="23"/>
  <c r="A40" i="23"/>
  <c r="A42" i="23"/>
  <c r="A48" i="23"/>
  <c r="A50" i="23"/>
  <c r="H19" i="23"/>
  <c r="H20" i="23" s="1"/>
  <c r="Q19" i="23"/>
  <c r="U63" i="22"/>
  <c r="M63" i="22"/>
  <c r="E63" i="22"/>
  <c r="F63" i="22"/>
  <c r="T63" i="22"/>
  <c r="L63" i="22"/>
  <c r="D63" i="22"/>
  <c r="S63" i="22"/>
  <c r="K63" i="22"/>
  <c r="C63" i="22"/>
  <c r="N63" i="22"/>
  <c r="R63" i="22"/>
  <c r="J63" i="22"/>
  <c r="B63" i="22"/>
  <c r="Q63" i="22"/>
  <c r="I63" i="22"/>
  <c r="P63" i="22"/>
  <c r="H63" i="22"/>
  <c r="O63" i="22"/>
  <c r="G63" i="22"/>
  <c r="S19" i="22"/>
  <c r="L19" i="22"/>
  <c r="T19" i="22"/>
  <c r="L23" i="22"/>
  <c r="L24" i="22" s="1"/>
  <c r="T23" i="22"/>
  <c r="T24" i="22" s="1"/>
  <c r="K23" i="22"/>
  <c r="K24" i="22" s="1"/>
  <c r="A31" i="22"/>
  <c r="A33" i="22"/>
  <c r="A41" i="22"/>
  <c r="A47" i="22"/>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G19" i="21"/>
  <c r="G20" i="21" s="1"/>
  <c r="Q19" i="21"/>
  <c r="J23" i="21"/>
  <c r="J24" i="21" s="1"/>
  <c r="R23" i="21"/>
  <c r="R24" i="21" s="1"/>
  <c r="I19" i="21"/>
  <c r="I20"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B65" i="24"/>
  <c r="D65" i="27"/>
  <c r="H65" i="22"/>
  <c r="C23" i="21"/>
  <c r="C24" i="21" s="1"/>
  <c r="E65" i="22"/>
  <c r="H65" i="23"/>
  <c r="E65" i="23"/>
  <c r="C65" i="30"/>
  <c r="C19" i="29"/>
  <c r="C20" i="29" s="1"/>
  <c r="C65" i="26"/>
  <c r="H65" i="26"/>
  <c r="D65" i="30"/>
  <c r="B65" i="30"/>
  <c r="H65" i="30"/>
  <c r="D65" i="28"/>
  <c r="C65" i="27"/>
  <c r="E65" i="27"/>
  <c r="D65" i="21"/>
  <c r="G64" i="30"/>
  <c r="G65" i="30" s="1"/>
  <c r="E64" i="30"/>
  <c r="E65" i="30" s="1"/>
  <c r="D64" i="24"/>
  <c r="D65" i="24" s="1"/>
  <c r="C64" i="29"/>
  <c r="C65" i="29" s="1"/>
  <c r="C64" i="23"/>
  <c r="C65" i="23" s="1"/>
  <c r="F66" i="26"/>
  <c r="F65" i="26"/>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S66" i="26"/>
  <c r="L66" i="28"/>
  <c r="L66" i="26"/>
  <c r="T66" i="30"/>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D66" i="26"/>
  <c r="L66" i="24"/>
  <c r="I66" i="24"/>
  <c r="P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F64" i="1"/>
  <c r="E64" i="1"/>
  <c r="D64" i="1"/>
  <c r="B64" i="1"/>
  <c r="D63" i="1"/>
  <c r="L63" i="1"/>
  <c r="L65" i="1" s="1"/>
  <c r="F63" i="1"/>
  <c r="R63" i="1"/>
  <c r="J63" i="1"/>
  <c r="J65" i="1" s="1"/>
  <c r="Q63" i="1"/>
  <c r="Q66" i="1" s="1"/>
  <c r="I63" i="1"/>
  <c r="I65" i="1" s="1"/>
  <c r="C63" i="1"/>
  <c r="K63" i="1"/>
  <c r="K65" i="1" s="1"/>
  <c r="P63" i="1"/>
  <c r="H63" i="1"/>
  <c r="T63" i="1"/>
  <c r="T66" i="1" s="1"/>
  <c r="S63" i="1"/>
  <c r="O63" i="1"/>
  <c r="G63" i="1"/>
  <c r="N63" i="1"/>
  <c r="E63" i="1"/>
  <c r="B63" i="1"/>
  <c r="U63" i="1"/>
  <c r="M63" i="1"/>
  <c r="M65" i="1" s="1"/>
  <c r="C65" i="1" l="1"/>
  <c r="B65" i="1"/>
  <c r="F65" i="1"/>
  <c r="D65" i="1"/>
  <c r="E65" i="1"/>
  <c r="G65" i="1"/>
  <c r="H65" i="1"/>
  <c r="G66" i="30"/>
  <c r="D66" i="24"/>
  <c r="C66" i="29"/>
  <c r="H66" i="29"/>
  <c r="H65" i="29"/>
  <c r="H66" i="28"/>
  <c r="H65" i="28"/>
  <c r="H66" i="21"/>
  <c r="H66" i="24"/>
  <c r="H65" i="24"/>
  <c r="H66" i="27"/>
  <c r="H65" i="27"/>
  <c r="G66" i="24"/>
  <c r="G65" i="24"/>
  <c r="G66" i="22"/>
  <c r="G65" i="22"/>
  <c r="G66" i="28"/>
  <c r="G65" i="28"/>
  <c r="G66" i="29"/>
  <c r="G65" i="29"/>
  <c r="G66" i="21"/>
  <c r="G65" i="21"/>
  <c r="G66" i="27"/>
  <c r="G65" i="27"/>
  <c r="G66" i="23"/>
  <c r="G65" i="23"/>
  <c r="G66" i="26"/>
  <c r="G65" i="26"/>
  <c r="F66" i="23"/>
  <c r="F65" i="23"/>
  <c r="F66" i="22"/>
  <c r="F65" i="22"/>
  <c r="F66" i="27"/>
  <c r="F65" i="27"/>
  <c r="F66" i="24"/>
  <c r="F65" i="24"/>
  <c r="F66" i="21"/>
  <c r="F65" i="21"/>
  <c r="F66" i="28"/>
  <c r="F65" i="28"/>
  <c r="F66" i="29"/>
  <c r="F65" i="29"/>
  <c r="F66" i="30"/>
  <c r="F65" i="30"/>
  <c r="E66" i="29"/>
  <c r="E65" i="29"/>
  <c r="E66" i="26"/>
  <c r="E65" i="26"/>
  <c r="E66" i="21"/>
  <c r="E65" i="21"/>
  <c r="E66" i="28"/>
  <c r="E65" i="28"/>
  <c r="E66" i="24"/>
  <c r="E65" i="24"/>
  <c r="D66" i="23"/>
  <c r="D66" i="22"/>
  <c r="D66" i="29"/>
  <c r="C66" i="24"/>
  <c r="C65" i="24"/>
  <c r="C66" i="28"/>
  <c r="C65" i="28"/>
  <c r="B66" i="21"/>
  <c r="B65" i="21"/>
  <c r="B66" i="27"/>
  <c r="B65" i="27"/>
  <c r="B66" i="28"/>
  <c r="B65" i="28"/>
  <c r="B66" i="26"/>
  <c r="B65" i="26"/>
  <c r="B66" i="22"/>
  <c r="B65" i="22"/>
  <c r="B66" i="29"/>
  <c r="B65" i="29"/>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<sst xmlns="http://schemas.openxmlformats.org/spreadsheetml/2006/main" count="2275" uniqueCount="183">
  <si>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</si>
  <si>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</si>
  <si>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</si>
  <si>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</si>
  <si>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</si>
  <si>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</si>
  <si>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</si>
  <si>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</si>
  <si>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</si>
  <si>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</si>
  <si>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</si>
  <si>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</si>
  <si>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</si>
  <si>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</si>
  <si>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</si>
  <si>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</si>
  <si>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</si>
  <si>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</si>
  <si>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</si>
  <si>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</si>
  <si>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</si>
  <si>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</si>
  <si>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</si>
  <si>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</si>
  <si>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</si>
  <si>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</si>
  <si>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</si>
  <si>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</si>
  <si>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</si>
  <si>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</si>
  <si>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</si>
  <si>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</si>
  <si>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</si>
  <si>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</si>
  <si>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</si>
  <si>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</si>
  <si>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</si>
  <si>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</si>
  <si>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</si>
  <si>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</si>
  <si>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</si>
  <si>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</si>
  <si>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</si>
  <si>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</si>
  <si>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</si>
  <si>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</si>
  <si>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</si>
  <si>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</si>
  <si>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</si>
  <si>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</si>
  <si>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</si>
  <si>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</si>
  <si>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</si>
  <si>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</si>
  <si>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</si>
  <si>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</si>
  <si>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</si>
  <si>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</si>
  <si>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</si>
  <si>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</si>
  <si>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</si>
  <si>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</si>
  <si>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</si>
  <si>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</si>
  <si>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</si>
  <si>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</si>
  <si>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</si>
  <si>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</si>
  <si>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</si>
  <si>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</si>
  <si>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</si>
  <si>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</si>
  <si>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</si>
  <si>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</si>
  <si>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</si>
  <si>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</si>
  <si>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</si>
  <si>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</si>
  <si>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</si>
  <si>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</si>
  <si>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</si>
  <si>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</si>
  <si>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</si>
  <si>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</si>
  <si>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</si>
  <si>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</si>
  <si>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</si>
  <si>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</si>
  <si>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</si>
  <si>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</si>
  <si>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</si>
  <si>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</si>
  <si>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</si>
  <si>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</si>
  <si>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</si>
  <si>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</si>
  <si>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</si>
  <si>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</si>
  <si>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</si>
  <si>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</si>
  <si>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</si>
  <si>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</si>
  <si>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</si>
  <si>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</si>
  <si>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</si>
  <si>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</si>
  <si>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</si>
  <si>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</si>
  <si>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</si>
  <si>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</si>
  <si>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</si>
  <si>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</si>
  <si>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</si>
  <si>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</si>
  <si>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</si>
  <si>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</si>
  <si>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</si>
  <si>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</si>
  <si>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</si>
  <si>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</si>
  <si>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</si>
  <si>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</si>
  <si>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</si>
  <si>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</si>
  <si>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</si>
  <si>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</si>
  <si>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</si>
  <si>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</si>
  <si>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</si>
  <si>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</si>
  <si>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</si>
  <si>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</si>
  <si>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</si>
  <si>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</si>
  <si>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</si>
  <si>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</si>
  <si>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</si>
  <si>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</si>
  <si>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</si>
  <si>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</si>
  <si>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</si>
  <si>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</si>
  <si>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</si>
  <si>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</si>
  <si>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</si>
  <si>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</si>
  <si>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</si>
  <si>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</si>
  <si>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</si>
  <si>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</si>
  <si>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</si>
  <si>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</si>
  <si>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</si>
  <si>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</si>
  <si>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</si>
  <si>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</si>
  <si>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</si>
  <si>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</si>
  <si>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</si>
  <si>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</si>
  <si>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PAN-017507</t>
  </si>
  <si>
    <t xml:space="preserve">Trade effluent services </t>
  </si>
  <si>
    <t>Ethan Banfield</t>
  </si>
  <si>
    <t>A</t>
  </si>
  <si>
    <t>B</t>
  </si>
  <si>
    <t>Moderate</t>
  </si>
  <si>
    <t>EPR- KP3594VE</t>
  </si>
  <si>
    <t>Dyke Farm, Padeswood Lane, Mold, CH7 4HZ</t>
  </si>
  <si>
    <t>02 05 01</t>
  </si>
  <si>
    <t>Beechdean</t>
  </si>
  <si>
    <t>07 07 12</t>
  </si>
  <si>
    <t>Croda Goole</t>
  </si>
  <si>
    <t>02 03 05</t>
  </si>
  <si>
    <t>Croda Widnes</t>
  </si>
  <si>
    <t>02 02 04</t>
  </si>
  <si>
    <t>Dwise</t>
  </si>
  <si>
    <t>02 07 05</t>
  </si>
  <si>
    <t>Encirc</t>
  </si>
  <si>
    <t>Penderyn</t>
  </si>
  <si>
    <t>Kelloggs</t>
  </si>
  <si>
    <t>Maelor</t>
  </si>
  <si>
    <t>Secanim</t>
  </si>
  <si>
    <t>Rowan Food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</si>
</sst>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0">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3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FF0000"/>
      </font>
    </dxf>
    <dxf>
      <font>
        <color rgb="FFFF0000"/>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7" dataDxfId="395" headerRowBorderDxfId="396" tableBorderDxfId="394" totalsRowBorderDxfId="393">
  <autoFilter ref="AI1:AN26" xr:uid="{F8B5EC87-3095-445A-A980-2CFAA0A7B9A2}"/>
  <sortState xmlns:xlrd2="http://schemas.microsoft.com/office/spreadsheetml/2017/richdata2" ref="AI2:AL25">
    <sortCondition ref="AL1:AL25"/>
  </sortState>
  <tableColumns count="6">
    <tableColumn id="1" xr3:uid="{360F44E4-7249-415F-8D5E-41D249F9A162}" name="Crop" dataDxfId="392"/>
    <tableColumn id="2" xr3:uid="{55E07717-B4EC-4E8A-B9A9-34F3CF85E32D}" name="P Offtake" dataDxfId="391"/>
    <tableColumn id="3" xr3:uid="{7B25FA52-8104-4FE3-AED4-B53CBFDF89B2}" name="K Offtake" dataDxfId="390"/>
    <tableColumn id="4" xr3:uid="{0DBAE461-2D09-43C8-9342-3980D552AE4D}" name="Order" dataDxfId="389"/>
    <tableColumn id="5" xr3:uid="{52CACE7B-0CBA-46FC-9F24-02CBD6100239}" name="Lime pH requirement" dataDxfId="388"/>
    <tableColumn id="6" xr3:uid="{F1432630-9B16-4266-8147-CE754A715307}" name="Column1" dataDxfId="38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54" dataDxfId="352" headerRowBorderDxfId="353" tableBorderDxfId="351" totalsRowBorderDxfId="350">
  <autoFilter ref="AI1:AN26" xr:uid="{F8B5EC87-3095-445A-A980-2CFAA0A7B9A2}"/>
  <sortState xmlns:xlrd2="http://schemas.microsoft.com/office/spreadsheetml/2017/richdata2" ref="AI2:AL25">
    <sortCondition ref="AL1:AL25"/>
  </sortState>
  <tableColumns count="6">
    <tableColumn id="1" xr3:uid="{7E96A84B-948F-445F-BD6E-30CC8E6E6DD1}" name="Crop" dataDxfId="349"/>
    <tableColumn id="2" xr3:uid="{12657DDB-F680-47DE-ABB1-8675D5F91E41}" name="P Offtake" dataDxfId="348"/>
    <tableColumn id="3" xr3:uid="{DEB99109-D325-4F98-8A71-E70C03433437}" name="K Offtake" dataDxfId="347"/>
    <tableColumn id="4" xr3:uid="{E96A561F-7E7F-4FB3-97AA-0B35D8C8E93A}" name="Order" dataDxfId="346"/>
    <tableColumn id="5" xr3:uid="{181DD475-0A71-4C52-AF1A-8BFF46F5A827}" name="Lime pH requirement" dataDxfId="345"/>
    <tableColumn id="6" xr3:uid="{AC3FA7E8-D76B-43A3-B715-04446DFF63C6}" name="Column1" dataDxfId="34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06008BA1-A1E9-4286-B67A-352533C06A26}" name="Crop" dataDxfId="306"/>
    <tableColumn id="2" xr3:uid="{2AEB5EEB-C9D1-41DC-913E-953A33D1A4AF}" name="P Offtake" dataDxfId="305"/>
    <tableColumn id="3" xr3:uid="{8FA16A0B-1017-4CEE-862E-0A8CBD8EB3D3}" name="K Offtake" dataDxfId="304"/>
    <tableColumn id="4" xr3:uid="{E7A3B8CD-4036-47F4-B818-C3F22E80C749}" name="Order" dataDxfId="303"/>
    <tableColumn id="5" xr3:uid="{8F3EBD84-7904-4559-9B5C-63088B792C98}" name="Lime pH requirement" dataDxfId="302"/>
    <tableColumn id="6" xr3:uid="{A21DD95A-C955-4510-9114-E3F1CB645370}" name="Column1" dataDxfId="30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24" dataDxfId="222" headerRowBorderDxfId="223" tableBorderDxfId="221" totalsRowBorderDxfId="220">
  <autoFilter ref="AI1:AN26" xr:uid="{F8B5EC87-3095-445A-A980-2CFAA0A7B9A2}"/>
  <sortState xmlns:xlrd2="http://schemas.microsoft.com/office/spreadsheetml/2017/richdata2" ref="AI2:AL25">
    <sortCondition ref="AL1:AL25"/>
  </sortState>
  <tableColumns count="6">
    <tableColumn id="1" xr3:uid="{11579FCC-3D9F-49AD-888D-5D79B801F6AE}" name="Crop" dataDxfId="219"/>
    <tableColumn id="2" xr3:uid="{05C08116-56D5-4CC6-A649-B06AF891B931}" name="P Offtake" dataDxfId="218"/>
    <tableColumn id="3" xr3:uid="{59CDE959-192B-4757-9203-A0F691CF0F96}" name="K Offtake" dataDxfId="217"/>
    <tableColumn id="4" xr3:uid="{9FB8E4F7-B91F-4CE0-AF39-D4895D0ECF2F}" name="Order" dataDxfId="216"/>
    <tableColumn id="5" xr3:uid="{688FF2A4-D7C6-4425-A915-A9ADD700A9EE}" name="Lime pH requirement" dataDxfId="215"/>
    <tableColumn id="6" xr3:uid="{05FC5CFF-3D81-4B5F-87C7-2364076F2714}" name="Column1" dataDxfId="21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67" dataDxfId="265" headerRowBorderDxfId="266" tableBorderDxfId="264" totalsRowBorderDxfId="263">
  <autoFilter ref="AI1:AN26" xr:uid="{F8B5EC87-3095-445A-A980-2CFAA0A7B9A2}"/>
  <sortState xmlns:xlrd2="http://schemas.microsoft.com/office/spreadsheetml/2017/richdata2" ref="AI2:AL25">
    <sortCondition ref="AL1:AL25"/>
  </sortState>
  <tableColumns count="6">
    <tableColumn id="1" xr3:uid="{973D7FFB-D248-4199-9B2E-B3C6CC09D382}" name="Crop" dataDxfId="262"/>
    <tableColumn id="2" xr3:uid="{7F2A3986-EC86-4CF9-BD10-791170BA6682}" name="P Offtake" dataDxfId="261"/>
    <tableColumn id="3" xr3:uid="{D6129C35-9DC6-42E5-AE3F-EA3A083168E6}" name="K Offtake" dataDxfId="260"/>
    <tableColumn id="4" xr3:uid="{C1CC42B5-564A-4DE7-B817-B7D686FE9A11}" name="Order" dataDxfId="259"/>
    <tableColumn id="5" xr3:uid="{620F3ABD-564C-411A-8DEA-CE1A34F9FC36}" name="Lime pH requirement" dataDxfId="258"/>
    <tableColumn id="6" xr3:uid="{76C9BC4F-4FF3-4AFB-8E7B-16DC0CC3E97C}" name="Column1" dataDxfId="25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81" dataDxfId="179" headerRowBorderDxfId="180" tableBorderDxfId="178" totalsRowBorderDxfId="177">
  <autoFilter ref="AI1:AN26" xr:uid="{F8B5EC87-3095-445A-A980-2CFAA0A7B9A2}"/>
  <sortState xmlns:xlrd2="http://schemas.microsoft.com/office/spreadsheetml/2017/richdata2" ref="AI2:AL25">
    <sortCondition ref="AL1:AL25"/>
  </sortState>
  <tableColumns count="6">
    <tableColumn id="1" xr3:uid="{D13A12FC-EAE6-4280-A219-C2622262E5F4}" name="Crop" dataDxfId="176"/>
    <tableColumn id="2" xr3:uid="{FD06C4A3-4B75-490D-88CF-232C7DC3EFC6}" name="P Offtake" dataDxfId="175"/>
    <tableColumn id="3" xr3:uid="{B043BEFF-10D4-4840-989B-BB13A502ECDF}" name="K Offtake" dataDxfId="174"/>
    <tableColumn id="4" xr3:uid="{48481FDC-5D20-466C-B554-D45886EA366A}" name="Order" dataDxfId="173"/>
    <tableColumn id="5" xr3:uid="{9E0852D2-9D0D-44AB-98B7-FBA51F331ACF}" name="Lime pH requirement" dataDxfId="172"/>
    <tableColumn id="6" xr3:uid="{29F9C4A5-6854-4F37-8BD1-0DD9B6024A55}" name="Column1" dataDxfId="17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8" dataDxfId="136" headerRowBorderDxfId="137" tableBorderDxfId="135" totalsRowBorderDxfId="134">
  <autoFilter ref="AI1:AN26" xr:uid="{F8B5EC87-3095-445A-A980-2CFAA0A7B9A2}"/>
  <sortState xmlns:xlrd2="http://schemas.microsoft.com/office/spreadsheetml/2017/richdata2" ref="AI2:AL25">
    <sortCondition ref="AL1:AL25"/>
  </sortState>
  <tableColumns count="6">
    <tableColumn id="1" xr3:uid="{1B554ED3-7AAF-4192-827C-B071945474B8}" name="Crop" dataDxfId="133"/>
    <tableColumn id="2" xr3:uid="{35F435E0-8D8E-44D1-84BD-C2FF51C3F944}" name="P Offtake" dataDxfId="132"/>
    <tableColumn id="3" xr3:uid="{38465C9D-AA8F-443A-80F5-96D1F6258317}" name="K Offtake" dataDxfId="131"/>
    <tableColumn id="4" xr3:uid="{E0C0E6AF-5628-4BC3-9625-81A87B93D279}" name="Order" dataDxfId="130"/>
    <tableColumn id="5" xr3:uid="{ACDE1D9A-7F94-4404-BDDC-1235C32C758F}" name="Lime pH requirement" dataDxfId="129"/>
    <tableColumn id="6" xr3:uid="{B093C9DF-C4CF-4906-9658-89F446EB9C12}" name="Column1" dataDxfId="12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6" dataDxfId="94" headerRowBorderDxfId="95" tableBorderDxfId="93" totalsRowBorderDxfId="92">
  <autoFilter ref="AI1:AN26" xr:uid="{F8B5EC87-3095-445A-A980-2CFAA0A7B9A2}"/>
  <sortState xmlns:xlrd2="http://schemas.microsoft.com/office/spreadsheetml/2017/richdata2" ref="AI2:AL25">
    <sortCondition ref="AL1:AL25"/>
  </sortState>
  <tableColumns count="6">
    <tableColumn id="1" xr3:uid="{C4B2E6E9-5990-417D-9E04-7933BDF1FC69}" name="Crop" dataDxfId="91"/>
    <tableColumn id="2" xr3:uid="{E74EF8D0-6C68-49B8-AE52-40C276CA5FC9}" name="P Offtake" dataDxfId="90"/>
    <tableColumn id="3" xr3:uid="{9E0A7857-36E3-482D-B4B2-65B90760417F}" name="K Offtake" dataDxfId="89"/>
    <tableColumn id="4" xr3:uid="{A78867D2-7566-4070-AF99-15EE4CEB1699}" name="Order" dataDxfId="88"/>
    <tableColumn id="5" xr3:uid="{240FD5FA-5659-468E-8544-C93086800EC9}" name="Lime pH requirement" dataDxfId="87"/>
    <tableColumn id="6" xr3:uid="{D5C8E9C3-9076-473B-AE62-DA32692BAABC}" name="Column1" dataDxfId="8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3" dataDxfId="51" headerRowBorderDxfId="52" tableBorderDxfId="50" totalsRowBorderDxfId="49">
  <autoFilter ref="AI1:AN26" xr:uid="{F8B5EC87-3095-445A-A980-2CFAA0A7B9A2}"/>
  <sortState xmlns:xlrd2="http://schemas.microsoft.com/office/spreadsheetml/2017/richdata2" ref="AI2:AL25">
    <sortCondition ref="AL1:AL25"/>
  </sortState>
  <tableColumns count="6">
    <tableColumn id="1" xr3:uid="{82F1A1D2-F5AA-4D76-98E8-3C18592FB8CF}" name="Crop" dataDxfId="48"/>
    <tableColumn id="2" xr3:uid="{17F60BEE-3BBA-4198-AA21-518EC4696EB6}" name="P Offtake" dataDxfId="47"/>
    <tableColumn id="3" xr3:uid="{95D820EB-2583-433A-A070-6E8356E186E7}" name="K Offtake" dataDxfId="46"/>
    <tableColumn id="4" xr3:uid="{F3AE1839-F59F-4A70-B11A-A32E3FDD1A00}" name="Order" dataDxfId="45"/>
    <tableColumn id="5" xr3:uid="{C52880C5-B266-4CF0-9A11-778ABC47F9F0}" name="Lime pH requirement" dataDxfId="44"/>
    <tableColumn id="6" xr3:uid="{233F7657-9414-44B1-9E43-A91A69CB97ED}" name="Column1" dataDxfId="4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38" sqref="B3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2" t="s">
        <v>41</v>
      </c>
      <c r="B1" s="122"/>
      <c r="C1" s="138" t="s">
        <v>160</v>
      </c>
      <c r="D1" s="139"/>
      <c r="E1" s="93" t="s">
        <v>45</v>
      </c>
      <c r="F1" s="120">
        <v>51.8</v>
      </c>
      <c r="G1" s="123" t="s">
        <v>43</v>
      </c>
      <c r="H1" s="124"/>
      <c r="I1" s="121">
        <v>3.76</v>
      </c>
      <c r="J1" s="122" t="s">
        <v>153</v>
      </c>
      <c r="K1" s="122"/>
      <c r="L1" s="121">
        <v>25</v>
      </c>
      <c r="AB1" s="18"/>
      <c r="AC1" s="18"/>
      <c r="AD1" s="30" t="s">
        <v>126</v>
      </c>
      <c r="AE1" s="17"/>
      <c r="AF1" s="17"/>
      <c r="AG1" s="18"/>
      <c r="AH1" s="18"/>
      <c r="AI1" s="40" t="s">
        <v>79</v>
      </c>
      <c r="AJ1" s="41" t="s">
        <v>94</v>
      </c>
      <c r="AK1" s="42" t="s">
        <v>95</v>
      </c>
      <c r="AL1" s="43" t="s">
        <v>125</v>
      </c>
      <c r="AM1" s="43" t="s">
        <v>131</v>
      </c>
      <c r="AN1" s="43" t="s">
        <v>111</v>
      </c>
    </row>
    <row r="2" spans="1:40" x14ac:dyDescent="0.2">
      <c r="A2" s="122" t="s">
        <v>87</v>
      </c>
      <c r="B2" s="122"/>
      <c r="C2" s="136" t="s">
        <v>166</v>
      </c>
      <c r="D2" s="137"/>
      <c r="E2" s="93" t="s">
        <v>109</v>
      </c>
      <c r="F2" s="120" t="s">
        <v>168</v>
      </c>
      <c r="G2" s="141" t="s">
        <v>110</v>
      </c>
      <c r="H2" s="142"/>
      <c r="I2" s="121">
        <v>516</v>
      </c>
      <c r="J2" s="122" t="s">
        <v>158</v>
      </c>
      <c r="K2" s="122"/>
      <c r="L2" s="121">
        <v>0.06</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36" t="s">
        <v>161</v>
      </c>
      <c r="D3" s="137"/>
      <c r="E3" s="93" t="s">
        <v>108</v>
      </c>
      <c r="F3" s="31" t="s">
        <v>78</v>
      </c>
      <c r="G3" s="122" t="s">
        <v>159</v>
      </c>
      <c r="H3" s="122"/>
      <c r="I3" s="121">
        <v>2360</v>
      </c>
      <c r="J3" s="123" t="s">
        <v>154</v>
      </c>
      <c r="K3" s="124"/>
      <c r="L3" s="96">
        <f>(L1/(L2*10000))*100</f>
        <v>4.1666666666666661</v>
      </c>
      <c r="AB3" s="30" t="s">
        <v>57</v>
      </c>
      <c r="AC3" s="17"/>
      <c r="AD3" s="30" t="s">
        <v>71</v>
      </c>
      <c r="AE3" s="17"/>
      <c r="AF3" s="17"/>
      <c r="AG3" s="44" t="s">
        <v>77</v>
      </c>
      <c r="AH3" s="18"/>
      <c r="AI3" s="48" t="s">
        <v>113</v>
      </c>
      <c r="AJ3" s="49">
        <v>1.7</v>
      </c>
      <c r="AK3" s="50">
        <v>6</v>
      </c>
      <c r="AL3" s="51">
        <v>1</v>
      </c>
      <c r="AM3" s="11">
        <v>6.2</v>
      </c>
      <c r="AN3" s="11" t="s">
        <v>112</v>
      </c>
    </row>
    <row r="4" spans="1:40" x14ac:dyDescent="0.2">
      <c r="A4" s="122" t="s">
        <v>0</v>
      </c>
      <c r="B4" s="122"/>
      <c r="C4" s="138" t="s">
        <v>167</v>
      </c>
      <c r="D4" s="139"/>
      <c r="E4" s="94" t="s">
        <v>1</v>
      </c>
      <c r="F4" s="119" t="s">
        <v>169</v>
      </c>
      <c r="G4" s="122"/>
      <c r="H4" s="122"/>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2" t="s">
        <v>47</v>
      </c>
      <c r="B5" s="122"/>
      <c r="C5" s="140" t="s">
        <v>162</v>
      </c>
      <c r="D5" s="140"/>
      <c r="E5" s="94"/>
      <c r="F5" s="95"/>
      <c r="G5" s="122"/>
      <c r="H5" s="122"/>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2" t="s">
        <v>2</v>
      </c>
      <c r="B8" s="122"/>
      <c r="C8" s="15">
        <v>21</v>
      </c>
      <c r="D8" s="15">
        <v>22</v>
      </c>
      <c r="E8" s="15">
        <v>23</v>
      </c>
      <c r="F8" s="15">
        <v>24</v>
      </c>
      <c r="G8" s="15" t="s">
        <v>163</v>
      </c>
      <c r="H8" s="15" t="s">
        <v>164</v>
      </c>
      <c r="I8" s="15">
        <v>25</v>
      </c>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2" t="s">
        <v>3</v>
      </c>
      <c r="B9" s="122"/>
      <c r="C9" s="15" t="s">
        <v>165</v>
      </c>
      <c r="D9" s="15" t="s">
        <v>165</v>
      </c>
      <c r="E9" s="15">
        <v>1</v>
      </c>
      <c r="F9" s="15">
        <v>1</v>
      </c>
      <c r="G9" s="15" t="s">
        <v>165</v>
      </c>
      <c r="H9" s="15" t="s">
        <v>165</v>
      </c>
      <c r="I9" s="15">
        <v>1</v>
      </c>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2" t="s">
        <v>4</v>
      </c>
      <c r="B10" s="122"/>
      <c r="C10" s="15">
        <v>6</v>
      </c>
      <c r="D10" s="15">
        <v>5.4</v>
      </c>
      <c r="E10" s="15">
        <v>6.3</v>
      </c>
      <c r="F10" s="15">
        <v>5.9</v>
      </c>
      <c r="G10" s="15">
        <v>6.1</v>
      </c>
      <c r="H10" s="15">
        <v>5.8</v>
      </c>
      <c r="I10" s="15">
        <v>6.7</v>
      </c>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2" t="s">
        <v>5</v>
      </c>
      <c r="B11" s="122"/>
      <c r="C11" s="15">
        <v>0</v>
      </c>
      <c r="D11" s="15">
        <v>0</v>
      </c>
      <c r="E11" s="15">
        <v>2</v>
      </c>
      <c r="F11" s="15">
        <v>2</v>
      </c>
      <c r="G11" s="15">
        <v>1</v>
      </c>
      <c r="H11" s="15">
        <v>1</v>
      </c>
      <c r="I11" s="15">
        <v>3</v>
      </c>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2" t="s">
        <v>6</v>
      </c>
      <c r="B12" s="122"/>
      <c r="C12" s="15">
        <v>1</v>
      </c>
      <c r="D12" s="15">
        <v>1</v>
      </c>
      <c r="E12" s="15">
        <v>2</v>
      </c>
      <c r="F12" s="15">
        <v>1</v>
      </c>
      <c r="G12" s="15">
        <v>1</v>
      </c>
      <c r="H12" s="15">
        <v>1</v>
      </c>
      <c r="I12" s="15">
        <v>1</v>
      </c>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2" t="s">
        <v>7</v>
      </c>
      <c r="B13" s="122"/>
      <c r="C13" s="15">
        <v>3</v>
      </c>
      <c r="D13" s="15">
        <v>3</v>
      </c>
      <c r="E13" s="15">
        <v>2</v>
      </c>
      <c r="F13" s="15">
        <v>2</v>
      </c>
      <c r="G13" s="15">
        <v>2</v>
      </c>
      <c r="H13" s="15">
        <v>2</v>
      </c>
      <c r="I13" s="15">
        <v>2</v>
      </c>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4" t="s">
        <v>8</v>
      </c>
      <c r="B14" s="134"/>
      <c r="C14" s="100" t="s">
        <v>113</v>
      </c>
      <c r="D14" s="100" t="s">
        <v>113</v>
      </c>
      <c r="E14" s="100" t="s">
        <v>68</v>
      </c>
      <c r="F14" s="100" t="s">
        <v>68</v>
      </c>
      <c r="G14" s="100" t="s">
        <v>113</v>
      </c>
      <c r="H14" s="100" t="s">
        <v>113</v>
      </c>
      <c r="I14" s="100" t="s">
        <v>113</v>
      </c>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3" t="s">
        <v>9</v>
      </c>
      <c r="B15" s="133"/>
      <c r="C15" s="15">
        <v>38</v>
      </c>
      <c r="D15" s="15">
        <v>38</v>
      </c>
      <c r="E15" s="15">
        <v>5.5</v>
      </c>
      <c r="F15" s="15">
        <v>5.5</v>
      </c>
      <c r="G15" s="15">
        <v>38</v>
      </c>
      <c r="H15" s="15">
        <v>38</v>
      </c>
      <c r="I15" s="15">
        <v>38</v>
      </c>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5" t="s">
        <v>44</v>
      </c>
      <c r="B16" s="135"/>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55.455945999999997</v>
      </c>
      <c r="D18" s="16">
        <f>$D32</f>
        <v>55.455945999999997</v>
      </c>
      <c r="E18" s="16">
        <f>$D33</f>
        <v>45.270159999999997</v>
      </c>
      <c r="F18" s="16">
        <f>$D34</f>
        <v>45.270159999999997</v>
      </c>
      <c r="G18" s="16">
        <f>$D35</f>
        <v>55.455945999999997</v>
      </c>
      <c r="H18" s="16">
        <f>$D36</f>
        <v>55.455945999999997</v>
      </c>
      <c r="I18" s="16">
        <f>$D37</f>
        <v>55.455945999999997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-9.144053999999997</v>
      </c>
      <c r="D19" s="16">
        <f t="shared" ref="D19:V19" si="1">D18-D17</f>
        <v>-9.144053999999997</v>
      </c>
      <c r="E19" s="16">
        <f t="shared" si="1"/>
        <v>-1.4798400000000029</v>
      </c>
      <c r="F19" s="16">
        <f t="shared" si="1"/>
        <v>-1.4798400000000029</v>
      </c>
      <c r="G19" s="16">
        <f t="shared" si="1"/>
        <v>-9.144053999999997</v>
      </c>
      <c r="H19" s="16">
        <f t="shared" si="1"/>
        <v>-9.144053999999997</v>
      </c>
      <c r="I19" s="16">
        <f t="shared" si="1"/>
        <v>-9.144053999999997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49.893025000000002</v>
      </c>
      <c r="D22" s="16">
        <f>$E32</f>
        <v>49.893025000000002</v>
      </c>
      <c r="E22" s="16">
        <f>$E33</f>
        <v>40.729000000000006</v>
      </c>
      <c r="F22" s="16">
        <f>$E34</f>
        <v>40.729000000000006</v>
      </c>
      <c r="G22" s="16">
        <f>$E35</f>
        <v>49.893025000000002</v>
      </c>
      <c r="H22" s="16">
        <f>$E36</f>
        <v>49.893025000000002</v>
      </c>
      <c r="I22" s="16">
        <f>$E37</f>
        <v>49.893025000000002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-178.10697500000001</v>
      </c>
      <c r="D23" s="16">
        <f t="shared" ref="D23:V23" si="3">D22-D21</f>
        <v>-178.10697500000001</v>
      </c>
      <c r="E23" s="16">
        <f t="shared" si="3"/>
        <v>-25.270999999999994</v>
      </c>
      <c r="F23" s="16">
        <f t="shared" si="3"/>
        <v>-25.270999999999994</v>
      </c>
      <c r="G23" s="16">
        <f t="shared" si="3"/>
        <v>-178.10697500000001</v>
      </c>
      <c r="H23" s="16">
        <f t="shared" si="3"/>
        <v>-178.10697500000001</v>
      </c>
      <c r="I23" s="16">
        <f t="shared" si="3"/>
        <v>-178.10697500000001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1.85</v>
      </c>
      <c r="C28" s="15">
        <v>0.06</v>
      </c>
      <c r="D28" s="15">
        <v>98.8</v>
      </c>
      <c r="E28" s="15">
        <v>169</v>
      </c>
      <c r="F28" s="15">
        <v>25.6</v>
      </c>
      <c r="G28" s="15">
        <v>0.221</v>
      </c>
      <c r="H28" s="15">
        <v>1</v>
      </c>
      <c r="I28" s="15">
        <v>0.5</v>
      </c>
      <c r="J28" s="15">
        <v>0.01</v>
      </c>
      <c r="K28" s="23">
        <v>0.05</v>
      </c>
      <c r="L28" s="15">
        <v>0.2</v>
      </c>
      <c r="M28" s="15">
        <v>0.2</v>
      </c>
      <c r="N28" s="15"/>
      <c r="O28" s="15"/>
      <c r="P28" s="15">
        <v>337</v>
      </c>
      <c r="Q28" s="15">
        <v>77.900000000000006</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245</v>
      </c>
      <c r="C31" s="77">
        <f>IF(C$27="%w/w SAR",((C$28*10)*$B31),IF(C$27="%w/w DM",(((C$28*10)*($B$28/100))*$B31),IF(C$27="kg/t SAR",(C$28*$B31),IF(C$27="kg/t DM",((C$28*($B$28/100))*$B31),IF(C$27="mg/kg SAR",((C$28*0.001)*$B31),IF(C$27="mg/kg DM",(((C$28*0.001)*($B$28/100))*$B31),0))))))</f>
        <v>147</v>
      </c>
      <c r="D31" s="77">
        <f>(IF(D$27="%w/w SAR",((D$28*10)*$B31),IF(D$27="%w/w DM",(((D$28*10)*($B$28/100))*$B31),IF(D$27="kg/t SAR",(D$28*$B31),IF(D$27="kg/t DM",((D$28*($B$28/100))*$B31),IF(D$27="mg/kg SAR",((D$28*0.001)*$B31),IF(D$27="mg/kg DM",(((D$28*0.001)*($B$28/100))*$B31),"0")))))))*2.291</f>
        <v>55.455945999999997</v>
      </c>
      <c r="E31" s="77">
        <f>(IF(E$27="%w/w SAR",((E$28*10)*$B31),IF(E$27="%w/w DM",(((E$28*10)*($B$28/100))*$B31),IF(E$27="kg/t SAR",(E$28*$B31),IF(E$27="kg/t DM",((E$28*($B$28/100))*$B31),IF(E$27="mg/kg SAR",((E$28*0.001)*$B31),IF(E$27="mg/kg DM",(((E$28*0.001)*($B$28/100))*$B31),"0")))))))*1.205</f>
        <v>49.893025000000002</v>
      </c>
      <c r="F31" s="77">
        <f>(IF(F$27="%w/w SAR",((F$28*10)*$B31),IF(F$27="%w/w DM",(((F$28*10)*($B$28/100))*$B31),IF(F$27="kg/t SAR",(F$28*$B31),IF(F$27="kg/t DM",((F$28*($B$28/100))*$B31),IF(F$27="mg/kg SAR",((F$28*0.001)*$B31),IF(F$27="mg/kg DM",(((F$28*0.001)*($B$28/100))*$B31),"0")))))))*1.658</f>
        <v>10.398975999999999</v>
      </c>
      <c r="G31" s="77">
        <f t="shared" ref="G31:P31" si="5">IF(G$27="%w/w SAR",((G$28*10)*$B31),IF(G$27="%w/w DM",(((G$28*10)*($B$28/100))*$B31),IF(G$27="kg/t SAR",(G$28*$B31),IF(G$27="kg/t DM",((G$28*($B$28/100))*$B31),IF(G$27="mg/kg SAR",((G$28*0.001)*$B31),IF(G$27="mg/kg DM",(((G$28*0.001)*($B$28/100))*$B31),0))))))</f>
        <v>5.4144999999999999E-2</v>
      </c>
      <c r="H31" s="77">
        <f t="shared" si="5"/>
        <v>0.245</v>
      </c>
      <c r="I31" s="77">
        <f t="shared" si="5"/>
        <v>0.1225</v>
      </c>
      <c r="J31" s="77">
        <f t="shared" si="5"/>
        <v>2.4500000000000004E-3</v>
      </c>
      <c r="K31" s="77">
        <f t="shared" si="5"/>
        <v>1.225E-2</v>
      </c>
      <c r="L31" s="77">
        <f t="shared" si="5"/>
        <v>4.9000000000000002E-2</v>
      </c>
      <c r="M31" s="77">
        <f t="shared" si="5"/>
        <v>4.9000000000000002E-2</v>
      </c>
      <c r="N31" s="77">
        <f t="shared" si="5"/>
        <v>0</v>
      </c>
      <c r="O31" s="77">
        <f t="shared" si="5"/>
        <v>0</v>
      </c>
      <c r="P31" s="77">
        <f t="shared" si="5"/>
        <v>82.565000000000012</v>
      </c>
      <c r="Q31" s="77">
        <f>(IF(Q$27="%w/w SAR",((Q$28*10)*$B31),IF(Q$27="%w/w DM",(((Q$28*10)*($B$28/100))*$B31),IF(Q$27="kg/t SAR",(Q$28*$B31),IF(Q$27="kg/t DM",((Q$28*($B$28/100))*$B31),IF(Q$27="mg/kg SAR",((Q$28*0.001)*$B31),IF(Q$27="mg/kg DM",(((Q$28*0.001)*($B$28/100))*$B31),0)))))))*2.5</f>
        <v>47.713750000000005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245</v>
      </c>
      <c r="C32" s="77">
        <f t="shared" ref="C32:C50" si="6">IF(C$27="%w/w SAR",((C$28*10)*$B32),IF(C$27="%w/w DM",(((C$28*10)*($B$28/100))*$B32),IF(C$27="kg/t SAR",(C$28*$B32),IF(C$27="kg/t DM",((C$28*($B$28/100))*$B32),IF(C$27="mg/kg SAR",((C$28*0.001)*$B32),IF(C$27="mg/kg DM",(((C$28*0.001)*($B$28/100))*$B32),0))))))</f>
        <v>147</v>
      </c>
      <c r="D32" s="77">
        <f t="shared" ref="D32:D50" si="7">(IF(D$27="%w/w SAR",((D$28*10)*$B32),IF(D$27="%w/w DM",(((D$28*10)*($B$28/100))*$B32),IF(D$27="kg/t SAR",(D$28*$B32),IF(D$27="kg/t DM",((D$28*($B$28/100))*$B32),IF(D$27="mg/kg SAR",((D$28*0.001)*$B32),IF(D$27="mg/kg DM",(((D$28*0.001)*($B$28/100))*$B32),"0")))))))*2.291</f>
        <v>55.455945999999997</v>
      </c>
      <c r="E32" s="77">
        <f t="shared" ref="E32:E50" si="8">(IF(E$27="%w/w SAR",((E$28*10)*$B32),IF(E$27="%w/w DM",(((E$28*10)*($B$28/100))*$B32),IF(E$27="kg/t SAR",(E$28*$B32),IF(E$27="kg/t DM",((E$28*($B$28/100))*$B32),IF(E$27="mg/kg SAR",((E$28*0.001)*$B32),IF(E$27="mg/kg DM",(((E$28*0.001)*($B$28/100))*$B32),"0")))))))*1.205</f>
        <v>49.893025000000002</v>
      </c>
      <c r="F32" s="77">
        <f t="shared" ref="F32:F50" si="9">(IF(F$27="%w/w SAR",((F$28*10)*$B32),IF(F$27="%w/w DM",(((F$28*10)*($B$28/100))*$B32),IF(F$27="kg/t SAR",(F$28*$B32),IF(F$27="kg/t DM",((F$28*($B$28/100))*$B32),IF(F$27="mg/kg SAR",((F$28*0.001)*$B32),IF(F$27="mg/kg DM",(((F$28*0.001)*($B$28/100))*$B32),"0")))))))*1.658</f>
        <v>10.398975999999999</v>
      </c>
      <c r="G32" s="77">
        <f t="shared" ref="G32:P50" si="10">IF(G$27="%w/w SAR",((G$28*10)*$B32),IF(G$27="%w/w DM",(((G$28*10)*($B$28/100))*$B32),IF(G$27="kg/t SAR",(G$28*$B32),IF(G$27="kg/t DM",((G$28*($B$28/100))*$B32),IF(G$27="mg/kg SAR",((G$28*0.001)*$B32),IF(G$27="mg/kg DM",(((G$28*0.001)*($B$28/100))*$B32),0))))))</f>
        <v>5.4144999999999999E-2</v>
      </c>
      <c r="H32" s="77">
        <f t="shared" si="10"/>
        <v>0.245</v>
      </c>
      <c r="I32" s="77">
        <f t="shared" si="10"/>
        <v>0.1225</v>
      </c>
      <c r="J32" s="77">
        <f t="shared" si="10"/>
        <v>2.4500000000000004E-3</v>
      </c>
      <c r="K32" s="77">
        <f t="shared" si="10"/>
        <v>1.225E-2</v>
      </c>
      <c r="L32" s="77">
        <f t="shared" si="10"/>
        <v>4.9000000000000002E-2</v>
      </c>
      <c r="M32" s="77">
        <f t="shared" si="10"/>
        <v>4.9000000000000002E-2</v>
      </c>
      <c r="N32" s="77">
        <f t="shared" si="10"/>
        <v>0</v>
      </c>
      <c r="O32" s="77">
        <f t="shared" si="10"/>
        <v>0</v>
      </c>
      <c r="P32" s="77">
        <f t="shared" si="10"/>
        <v>82.565000000000012</v>
      </c>
      <c r="Q32" s="77">
        <f t="shared" ref="Q32:Q50" si="11">(IF(Q$27="%w/w SAR",((Q$28*10)*$B32),IF(Q$27="%w/w DM",(((Q$28*10)*($B$28/100))*$B32),IF(Q$27="kg/t SAR",(Q$28*$B32),IF(Q$27="kg/t DM",((Q$28*($B$28/100))*$B32),IF(Q$27="mg/kg SAR",((Q$28*0.001)*$B32),IF(Q$27="mg/kg DM",(((Q$28*0.001)*($B$28/100))*$B32),0)))))))*2.5</f>
        <v>47.713750000000005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23</v>
      </c>
      <c r="B33" s="15">
        <v>200</v>
      </c>
      <c r="C33" s="77">
        <f t="shared" si="6"/>
        <v>120</v>
      </c>
      <c r="D33" s="77">
        <f t="shared" si="7"/>
        <v>45.270159999999997</v>
      </c>
      <c r="E33" s="77">
        <f t="shared" si="8"/>
        <v>40.729000000000006</v>
      </c>
      <c r="F33" s="77">
        <f t="shared" si="9"/>
        <v>8.4889600000000005</v>
      </c>
      <c r="G33" s="77">
        <f t="shared" si="10"/>
        <v>4.4200000000000003E-2</v>
      </c>
      <c r="H33" s="77">
        <f t="shared" si="10"/>
        <v>0.2</v>
      </c>
      <c r="I33" s="77">
        <f t="shared" si="10"/>
        <v>0.1</v>
      </c>
      <c r="J33" s="77">
        <f t="shared" si="10"/>
        <v>2E-3</v>
      </c>
      <c r="K33" s="77">
        <f t="shared" si="10"/>
        <v>0.01</v>
      </c>
      <c r="L33" s="77">
        <f t="shared" si="10"/>
        <v>0.04</v>
      </c>
      <c r="M33" s="77">
        <f t="shared" si="10"/>
        <v>0.04</v>
      </c>
      <c r="N33" s="77">
        <f t="shared" si="10"/>
        <v>0</v>
      </c>
      <c r="O33" s="77">
        <f t="shared" si="10"/>
        <v>0</v>
      </c>
      <c r="P33" s="77">
        <f t="shared" si="10"/>
        <v>67.400000000000006</v>
      </c>
      <c r="Q33" s="77">
        <f t="shared" si="11"/>
        <v>38.950000000000003</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24</v>
      </c>
      <c r="B34" s="15">
        <v>200</v>
      </c>
      <c r="C34" s="77">
        <f t="shared" si="6"/>
        <v>120</v>
      </c>
      <c r="D34" s="77">
        <f t="shared" si="7"/>
        <v>45.270159999999997</v>
      </c>
      <c r="E34" s="77">
        <f t="shared" si="8"/>
        <v>40.729000000000006</v>
      </c>
      <c r="F34" s="77">
        <f t="shared" si="9"/>
        <v>8.4889600000000005</v>
      </c>
      <c r="G34" s="77">
        <f t="shared" si="10"/>
        <v>4.4200000000000003E-2</v>
      </c>
      <c r="H34" s="77">
        <f t="shared" si="10"/>
        <v>0.2</v>
      </c>
      <c r="I34" s="77">
        <f t="shared" si="10"/>
        <v>0.1</v>
      </c>
      <c r="J34" s="77">
        <f t="shared" si="10"/>
        <v>2E-3</v>
      </c>
      <c r="K34" s="77">
        <f t="shared" si="10"/>
        <v>0.01</v>
      </c>
      <c r="L34" s="77">
        <f t="shared" si="10"/>
        <v>0.04</v>
      </c>
      <c r="M34" s="77">
        <f t="shared" si="10"/>
        <v>0.04</v>
      </c>
      <c r="N34" s="77">
        <f t="shared" si="10"/>
        <v>0</v>
      </c>
      <c r="O34" s="77">
        <f t="shared" si="10"/>
        <v>0</v>
      </c>
      <c r="P34" s="77">
        <f t="shared" si="10"/>
        <v>67.400000000000006</v>
      </c>
      <c r="Q34" s="77">
        <f t="shared" si="11"/>
        <v>38.950000000000003</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A</v>
      </c>
      <c r="B35" s="15">
        <v>245</v>
      </c>
      <c r="C35" s="77">
        <f t="shared" si="6"/>
        <v>147</v>
      </c>
      <c r="D35" s="77">
        <f t="shared" si="7"/>
        <v>55.455945999999997</v>
      </c>
      <c r="E35" s="77">
        <f t="shared" si="8"/>
        <v>49.893025000000002</v>
      </c>
      <c r="F35" s="77">
        <f t="shared" si="9"/>
        <v>10.398975999999999</v>
      </c>
      <c r="G35" s="77">
        <f t="shared" si="10"/>
        <v>5.4144999999999999E-2</v>
      </c>
      <c r="H35" s="77">
        <f t="shared" si="10"/>
        <v>0.245</v>
      </c>
      <c r="I35" s="77">
        <f t="shared" si="10"/>
        <v>0.1225</v>
      </c>
      <c r="J35" s="77">
        <f t="shared" si="10"/>
        <v>2.4500000000000004E-3</v>
      </c>
      <c r="K35" s="77">
        <f t="shared" si="10"/>
        <v>1.225E-2</v>
      </c>
      <c r="L35" s="77">
        <f t="shared" si="10"/>
        <v>4.9000000000000002E-2</v>
      </c>
      <c r="M35" s="77">
        <f t="shared" si="10"/>
        <v>4.9000000000000002E-2</v>
      </c>
      <c r="N35" s="77">
        <f t="shared" si="10"/>
        <v>0</v>
      </c>
      <c r="O35" s="77">
        <f t="shared" si="10"/>
        <v>0</v>
      </c>
      <c r="P35" s="77">
        <f t="shared" si="10"/>
        <v>82.565000000000012</v>
      </c>
      <c r="Q35" s="77">
        <f t="shared" si="11"/>
        <v>47.713750000000005</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t="str">
        <f>H8</f>
        <v>B</v>
      </c>
      <c r="B36" s="15">
        <v>245</v>
      </c>
      <c r="C36" s="77">
        <f t="shared" si="6"/>
        <v>147</v>
      </c>
      <c r="D36" s="77">
        <f t="shared" si="7"/>
        <v>55.455945999999997</v>
      </c>
      <c r="E36" s="77">
        <f t="shared" si="8"/>
        <v>49.893025000000002</v>
      </c>
      <c r="F36" s="77">
        <f t="shared" si="9"/>
        <v>10.398975999999999</v>
      </c>
      <c r="G36" s="77">
        <f t="shared" si="10"/>
        <v>5.4144999999999999E-2</v>
      </c>
      <c r="H36" s="77">
        <f t="shared" si="10"/>
        <v>0.245</v>
      </c>
      <c r="I36" s="77">
        <f t="shared" si="10"/>
        <v>0.1225</v>
      </c>
      <c r="J36" s="77">
        <f t="shared" si="10"/>
        <v>2.4500000000000004E-3</v>
      </c>
      <c r="K36" s="77">
        <f t="shared" si="10"/>
        <v>1.225E-2</v>
      </c>
      <c r="L36" s="77">
        <f t="shared" si="10"/>
        <v>4.9000000000000002E-2</v>
      </c>
      <c r="M36" s="77">
        <f t="shared" si="10"/>
        <v>4.9000000000000002E-2</v>
      </c>
      <c r="N36" s="77">
        <f t="shared" si="10"/>
        <v>0</v>
      </c>
      <c r="O36" s="77">
        <f t="shared" si="10"/>
        <v>0</v>
      </c>
      <c r="P36" s="77">
        <f t="shared" si="10"/>
        <v>82.565000000000012</v>
      </c>
      <c r="Q36" s="77">
        <f t="shared" si="11"/>
        <v>47.713750000000005</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25</v>
      </c>
      <c r="B37" s="15">
        <v>245</v>
      </c>
      <c r="C37" s="77">
        <f t="shared" si="6"/>
        <v>147</v>
      </c>
      <c r="D37" s="77">
        <f t="shared" si="7"/>
        <v>55.455945999999997</v>
      </c>
      <c r="E37" s="77">
        <f t="shared" si="8"/>
        <v>49.893025000000002</v>
      </c>
      <c r="F37" s="77">
        <f t="shared" si="9"/>
        <v>10.398975999999999</v>
      </c>
      <c r="G37" s="77">
        <f t="shared" si="10"/>
        <v>5.4144999999999999E-2</v>
      </c>
      <c r="H37" s="77">
        <f t="shared" si="10"/>
        <v>0.245</v>
      </c>
      <c r="I37" s="77">
        <f t="shared" si="10"/>
        <v>0.1225</v>
      </c>
      <c r="J37" s="77">
        <f t="shared" si="10"/>
        <v>2.4500000000000004E-3</v>
      </c>
      <c r="K37" s="77">
        <f t="shared" si="10"/>
        <v>1.225E-2</v>
      </c>
      <c r="L37" s="77">
        <f t="shared" si="10"/>
        <v>4.9000000000000002E-2</v>
      </c>
      <c r="M37" s="77">
        <f t="shared" si="10"/>
        <v>4.9000000000000002E-2</v>
      </c>
      <c r="N37" s="77">
        <f t="shared" si="10"/>
        <v>0</v>
      </c>
      <c r="O37" s="77">
        <f t="shared" si="10"/>
        <v>0</v>
      </c>
      <c r="P37" s="77">
        <f t="shared" si="10"/>
        <v>82.565000000000012</v>
      </c>
      <c r="Q37" s="77">
        <f t="shared" si="11"/>
        <v>47.713750000000005</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Arable</v>
      </c>
      <c r="E58" s="13" t="str">
        <f>F16&amp;" I "&amp;(VLOOKUP(F14,Table24[],6,FALSE))</f>
        <v>Medium/Clay I Arable</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6.7</v>
      </c>
      <c r="E59" s="76">
        <f>VLOOKUP(F$14,Table24[],5,FALSE)</f>
        <v>6.7</v>
      </c>
      <c r="F59" s="76">
        <f>VLOOKUP(G$14,Table24[],5,FALSE)</f>
        <v>6.2</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245</v>
      </c>
      <c r="C62" s="77">
        <f>B32</f>
        <v>245</v>
      </c>
      <c r="D62" s="77">
        <f>B33</f>
        <v>200</v>
      </c>
      <c r="E62" s="77">
        <f>B34</f>
        <v>200</v>
      </c>
      <c r="F62" s="77">
        <f>B35</f>
        <v>245</v>
      </c>
      <c r="G62" s="77">
        <f>B36</f>
        <v>245</v>
      </c>
      <c r="H62" s="77">
        <f>B37</f>
        <v>245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29" priority="50" operator="equal">
      <formula>"DECREASE"</formula>
    </cfRule>
    <cfRule type="cellIs" dxfId="428" priority="51" operator="equal">
      <formula>"INCREASE"</formula>
    </cfRule>
  </conditionalFormatting>
  <conditionalFormatting sqref="B42:B50 B62:U66">
    <cfRule type="cellIs" dxfId="427" priority="49" operator="greaterThan">
      <formula>$B$51</formula>
    </cfRule>
  </conditionalFormatting>
  <conditionalFormatting sqref="C31:C50">
    <cfRule type="cellIs" dxfId="426" priority="48" operator="greaterThan">
      <formula>$C$51</formula>
    </cfRule>
  </conditionalFormatting>
  <conditionalFormatting sqref="C18:V18">
    <cfRule type="cellIs" dxfId="425" priority="44" operator="equal">
      <formula>0</formula>
    </cfRule>
  </conditionalFormatting>
  <conditionalFormatting sqref="C17:V17">
    <cfRule type="cellIs" dxfId="424" priority="42" operator="equal">
      <formula>0</formula>
    </cfRule>
  </conditionalFormatting>
  <conditionalFormatting sqref="C19:V19">
    <cfRule type="cellIs" dxfId="423" priority="41" operator="equal">
      <formula>0</formula>
    </cfRule>
  </conditionalFormatting>
  <conditionalFormatting sqref="G31:G50">
    <cfRule type="cellIs" dxfId="422" priority="38" operator="greaterThan">
      <formula>$G$51</formula>
    </cfRule>
  </conditionalFormatting>
  <conditionalFormatting sqref="H31:H50">
    <cfRule type="cellIs" dxfId="421" priority="37" operator="greaterThan">
      <formula>$H$51</formula>
    </cfRule>
  </conditionalFormatting>
  <conditionalFormatting sqref="I31:I50">
    <cfRule type="cellIs" dxfId="420" priority="36" operator="greaterThan">
      <formula>$I$51</formula>
    </cfRule>
  </conditionalFormatting>
  <conditionalFormatting sqref="K31:K50">
    <cfRule type="cellIs" dxfId="419" priority="34" operator="greaterThan">
      <formula>$K$51</formula>
    </cfRule>
  </conditionalFormatting>
  <conditionalFormatting sqref="L31:L50">
    <cfRule type="cellIs" dxfId="418" priority="33" operator="greaterThan">
      <formula>$L$51</formula>
    </cfRule>
  </conditionalFormatting>
  <conditionalFormatting sqref="M31:M50">
    <cfRule type="cellIs" dxfId="417" priority="32" operator="greaterThan">
      <formula>$M$51</formula>
    </cfRule>
  </conditionalFormatting>
  <conditionalFormatting sqref="P31:P50">
    <cfRule type="cellIs" dxfId="416" priority="31" operator="greaterThan">
      <formula>$P$51</formula>
    </cfRule>
  </conditionalFormatting>
  <conditionalFormatting sqref="R31:R50">
    <cfRule type="cellIs" dxfId="415" priority="30" operator="greaterThan">
      <formula>$R$51</formula>
    </cfRule>
  </conditionalFormatting>
  <conditionalFormatting sqref="S31:S50">
    <cfRule type="cellIs" dxfId="414" priority="29" operator="greaterThan">
      <formula>$S$51</formula>
    </cfRule>
  </conditionalFormatting>
  <conditionalFormatting sqref="T31:T50">
    <cfRule type="cellIs" dxfId="413" priority="28" operator="greaterThan">
      <formula>$T$51</formula>
    </cfRule>
  </conditionalFormatting>
  <conditionalFormatting sqref="U31:U50">
    <cfRule type="cellIs" dxfId="412" priority="27" operator="greaterThan">
      <formula>$U$51</formula>
    </cfRule>
  </conditionalFormatting>
  <conditionalFormatting sqref="C22:V22">
    <cfRule type="cellIs" dxfId="411" priority="25" operator="equal">
      <formula>0</formula>
    </cfRule>
  </conditionalFormatting>
  <conditionalFormatting sqref="C24:V24">
    <cfRule type="cellIs" dxfId="410" priority="23" operator="equal">
      <formula>"DECREASE"</formula>
    </cfRule>
    <cfRule type="cellIs" dxfId="409" priority="24" operator="equal">
      <formula>"INCREASE"</formula>
    </cfRule>
  </conditionalFormatting>
  <conditionalFormatting sqref="C23:V23">
    <cfRule type="cellIs" dxfId="408" priority="22" operator="equal">
      <formula>0</formula>
    </cfRule>
  </conditionalFormatting>
  <conditionalFormatting sqref="C21:V21">
    <cfRule type="cellIs" dxfId="407" priority="15" operator="equal">
      <formula>0</formula>
    </cfRule>
  </conditionalFormatting>
  <conditionalFormatting sqref="B66:U66">
    <cfRule type="cellIs" dxfId="406" priority="11" operator="equal">
      <formula>"UNDER"</formula>
    </cfRule>
    <cfRule type="cellIs" dxfId="405" priority="12" operator="equal">
      <formula>"OVER"</formula>
    </cfRule>
  </conditionalFormatting>
  <conditionalFormatting sqref="J31:J50">
    <cfRule type="cellIs" dxfId="404" priority="10" operator="greaterThan">
      <formula>$J$51</formula>
    </cfRule>
  </conditionalFormatting>
  <conditionalFormatting sqref="L3">
    <cfRule type="cellIs" dxfId="403" priority="8" operator="lessThan">
      <formula>30</formula>
    </cfRule>
    <cfRule type="cellIs" dxfId="402" priority="9" operator="greaterThanOrEqual">
      <formula>30</formula>
    </cfRule>
  </conditionalFormatting>
  <conditionalFormatting sqref="B31:B41">
    <cfRule type="cellIs" dxfId="401" priority="4" operator="greaterThan">
      <formula>$B$51</formula>
    </cfRule>
  </conditionalFormatting>
  <conditionalFormatting sqref="I1">
    <cfRule type="cellIs" dxfId="400" priority="3" operator="between">
      <formula>0.1</formula>
      <formula>5</formula>
    </cfRule>
  </conditionalFormatting>
  <conditionalFormatting sqref="I2">
    <cfRule type="cellIs" dxfId="399" priority="2" operator="greaterThan">
      <formula>5000.1</formula>
    </cfRule>
  </conditionalFormatting>
  <conditionalFormatting sqref="I3">
    <cfRule type="cellIs" dxfId="398" priority="1" operator="greaterThan">
      <formula>40000.01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2" t="s">
        <v>41</v>
      </c>
      <c r="B1" s="122"/>
      <c r="C1" s="143" t="str">
        <f>Beechdean!C1:D1</f>
        <v>PAN-017507</v>
      </c>
      <c r="D1" s="144"/>
      <c r="E1" s="93" t="s">
        <v>45</v>
      </c>
      <c r="F1" s="39">
        <f>Beechdean!F1</f>
        <v>51.8</v>
      </c>
      <c r="G1" s="123" t="s">
        <v>43</v>
      </c>
      <c r="H1" s="124"/>
      <c r="I1" s="121">
        <v>7.01</v>
      </c>
      <c r="J1" s="122" t="s">
        <v>153</v>
      </c>
      <c r="K1" s="122"/>
      <c r="L1" s="121">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0" t="s">
        <v>170</v>
      </c>
      <c r="G2" s="141" t="s">
        <v>110</v>
      </c>
      <c r="H2" s="142"/>
      <c r="I2" s="121">
        <v>3261</v>
      </c>
      <c r="J2" s="122" t="s">
        <v>158</v>
      </c>
      <c r="K2" s="122"/>
      <c r="L2" s="121">
        <v>0.22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78</v>
      </c>
      <c r="G3" s="122" t="s">
        <v>159</v>
      </c>
      <c r="H3" s="122"/>
      <c r="I3" s="118"/>
      <c r="J3" s="123" t="s">
        <v>154</v>
      </c>
      <c r="K3" s="124"/>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0"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54.227969999999999</v>
      </c>
      <c r="D18" s="16">
        <f>$D32</f>
        <v>54.227969999999999</v>
      </c>
      <c r="E18" s="16">
        <f>$D33</f>
        <v>44.587441999999996</v>
      </c>
      <c r="F18" s="16">
        <f>$D34</f>
        <v>44.587441999999996</v>
      </c>
      <c r="G18" s="16">
        <f>$D35</f>
        <v>54.227969999999999</v>
      </c>
      <c r="H18" s="16">
        <f>$D36</f>
        <v>54.227969999999999</v>
      </c>
      <c r="I18" s="16">
        <f>$D37</f>
        <v>54.227969999999999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-10.372029999999995</v>
      </c>
      <c r="D19" s="16">
        <f t="shared" ref="D19:V19" si="1">D18-D17</f>
        <v>-10.372029999999995</v>
      </c>
      <c r="E19" s="16">
        <f t="shared" si="1"/>
        <v>-2.1625580000000042</v>
      </c>
      <c r="F19" s="16">
        <f t="shared" si="1"/>
        <v>-2.1625580000000042</v>
      </c>
      <c r="G19" s="16">
        <f t="shared" si="1"/>
        <v>-10.372029999999995</v>
      </c>
      <c r="H19" s="16">
        <f t="shared" si="1"/>
        <v>-10.372029999999995</v>
      </c>
      <c r="I19" s="16">
        <f t="shared" si="1"/>
        <v>-10.372029999999995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11.604149999999999</v>
      </c>
      <c r="D22" s="16">
        <f>$E32</f>
        <v>11.604149999999999</v>
      </c>
      <c r="E22" s="16">
        <f>$E33</f>
        <v>9.5411900000000003</v>
      </c>
      <c r="F22" s="16">
        <f>$E34</f>
        <v>9.5411900000000003</v>
      </c>
      <c r="G22" s="16">
        <f>$E35</f>
        <v>11.604149999999999</v>
      </c>
      <c r="H22" s="16">
        <f>$E36</f>
        <v>11.604149999999999</v>
      </c>
      <c r="I22" s="16">
        <f>$E37</f>
        <v>11.604149999999999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-216.39585</v>
      </c>
      <c r="D23" s="16">
        <f t="shared" ref="D23:V23" si="3">D22-D21</f>
        <v>-216.39585</v>
      </c>
      <c r="E23" s="16">
        <f t="shared" si="3"/>
        <v>-56.45881</v>
      </c>
      <c r="F23" s="16">
        <f t="shared" si="3"/>
        <v>-56.45881</v>
      </c>
      <c r="G23" s="16">
        <f t="shared" si="3"/>
        <v>-216.39585</v>
      </c>
      <c r="H23" s="16">
        <f t="shared" si="3"/>
        <v>-216.39585</v>
      </c>
      <c r="I23" s="16">
        <f t="shared" si="3"/>
        <v>-216.39585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3.24</v>
      </c>
      <c r="C28" s="15">
        <v>0.22</v>
      </c>
      <c r="D28" s="15">
        <v>526</v>
      </c>
      <c r="E28" s="15">
        <v>214</v>
      </c>
      <c r="F28" s="15">
        <v>92</v>
      </c>
      <c r="G28" s="15">
        <v>0.98</v>
      </c>
      <c r="H28" s="15">
        <v>11.1</v>
      </c>
      <c r="I28" s="15">
        <v>0.5</v>
      </c>
      <c r="J28" s="15">
        <v>0.01</v>
      </c>
      <c r="K28" s="23">
        <v>0.05</v>
      </c>
      <c r="L28" s="15">
        <v>0.65300000000000002</v>
      </c>
      <c r="M28" s="15">
        <v>5.1100000000000003</v>
      </c>
      <c r="N28" s="15"/>
      <c r="O28" s="15"/>
      <c r="P28" s="15">
        <v>4373</v>
      </c>
      <c r="Q28" s="15">
        <v>4373</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45</v>
      </c>
      <c r="C31" s="77">
        <f>IF(C$27="%w/w SAR",((C$28*10)*$B31),IF(C$27="%w/w DM",(((C$28*10)*($B$28/100))*$B31),IF(C$27="kg/t SAR",(C$28*$B31),IF(C$27="kg/t DM",((C$28*($B$28/100))*$B31),IF(C$27="mg/kg SAR",((C$28*0.001)*$B31),IF(C$27="mg/kg DM",(((C$28*0.001)*($B$28/100))*$B31),0))))))</f>
        <v>99.000000000000014</v>
      </c>
      <c r="D31" s="77">
        <f>(IF(D$27="%w/w SAR",((D$28*10)*$B31),IF(D$27="%w/w DM",(((D$28*10)*($B$28/100))*$B31),IF(D$27="kg/t SAR",(D$28*$B31),IF(D$27="kg/t DM",((D$28*($B$28/100))*$B31),IF(D$27="mg/kg SAR",((D$28*0.001)*$B31),IF(D$27="mg/kg DM",(((D$28*0.001)*($B$28/100))*$B31),"0")))))))*2.291</f>
        <v>54.227969999999999</v>
      </c>
      <c r="E31" s="77">
        <f>(IF(E$27="%w/w SAR",((E$28*10)*$B31),IF(E$27="%w/w DM",(((E$28*10)*($B$28/100))*$B31),IF(E$27="kg/t SAR",(E$28*$B31),IF(E$27="kg/t DM",((E$28*($B$28/100))*$B31),IF(E$27="mg/kg SAR",((E$28*0.001)*$B31),IF(E$27="mg/kg DM",(((E$28*0.001)*($B$28/100))*$B31),"0")))))))*1.205</f>
        <v>11.604149999999999</v>
      </c>
      <c r="F31" s="77">
        <f>(IF(F$27="%w/w SAR",((F$28*10)*$B31),IF(F$27="%w/w DM",(((F$28*10)*($B$28/100))*$B31),IF(F$27="kg/t SAR",(F$28*$B31),IF(F$27="kg/t DM",((F$28*($B$28/100))*$B31),IF(F$27="mg/kg SAR",((F$28*0.001)*$B31),IF(F$27="mg/kg DM",(((F$28*0.001)*($B$28/100))*$B31),"0")))))))*1.658</f>
        <v>6.8641199999999989</v>
      </c>
      <c r="G31" s="77">
        <f t="shared" ref="G31:P46" si="5">IF(G$27="%w/w SAR",((G$28*10)*$B31),IF(G$27="%w/w DM",(((G$28*10)*($B$28/100))*$B31),IF(G$27="kg/t SAR",(G$28*$B31),IF(G$27="kg/t DM",((G$28*($B$28/100))*$B31),IF(G$27="mg/kg SAR",((G$28*0.001)*$B31),IF(G$27="mg/kg DM",(((G$28*0.001)*($B$28/100))*$B31),0))))))</f>
        <v>4.41E-2</v>
      </c>
      <c r="H31" s="77">
        <f t="shared" si="5"/>
        <v>0.4995</v>
      </c>
      <c r="I31" s="77">
        <f t="shared" si="5"/>
        <v>2.2499999999999999E-2</v>
      </c>
      <c r="J31" s="77">
        <f t="shared" si="5"/>
        <v>4.5000000000000004E-4</v>
      </c>
      <c r="K31" s="77">
        <f t="shared" si="5"/>
        <v>2.2500000000000003E-3</v>
      </c>
      <c r="L31" s="77">
        <f t="shared" si="5"/>
        <v>2.9385000000000001E-2</v>
      </c>
      <c r="M31" s="77">
        <f t="shared" si="5"/>
        <v>0.22995000000000004</v>
      </c>
      <c r="N31" s="77">
        <f t="shared" si="5"/>
        <v>0</v>
      </c>
      <c r="O31" s="77">
        <f t="shared" si="5"/>
        <v>0</v>
      </c>
      <c r="P31" s="77">
        <f t="shared" si="5"/>
        <v>196.785</v>
      </c>
      <c r="Q31" s="77">
        <f>(IF(Q$27="%w/w SAR",((Q$28*10)*$B31),IF(Q$27="%w/w DM",(((Q$28*10)*($B$28/100))*$B31),IF(Q$27="kg/t SAR",(Q$28*$B31),IF(Q$27="kg/t DM",((Q$28*($B$28/100))*$B31),IF(Q$27="mg/kg SAR",((Q$28*0.001)*$B31),IF(Q$27="mg/kg DM",(((Q$28*0.001)*($B$28/100))*$B31),0)))))))*2.5</f>
        <v>491.96249999999998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45</v>
      </c>
      <c r="C32" s="77">
        <f t="shared" ref="C32:C50" si="6">IF(C$27="%w/w SAR",((C$28*10)*$B32),IF(C$27="%w/w DM",(((C$28*10)*($B$28/100))*$B32),IF(C$27="kg/t SAR",(C$28*$B32),IF(C$27="kg/t DM",((C$28*($B$28/100))*$B32),IF(C$27="mg/kg SAR",((C$28*0.001)*$B32),IF(C$27="mg/kg DM",(((C$28*0.001)*($B$28/100))*$B32),0))))))</f>
        <v>99.000000000000014</v>
      </c>
      <c r="D32" s="77">
        <f t="shared" ref="D32:D50" si="7">(IF(D$27="%w/w SAR",((D$28*10)*$B32),IF(D$27="%w/w DM",(((D$28*10)*($B$28/100))*$B32),IF(D$27="kg/t SAR",(D$28*$B32),IF(D$27="kg/t DM",((D$28*($B$28/100))*$B32),IF(D$27="mg/kg SAR",((D$28*0.001)*$B32),IF(D$27="mg/kg DM",(((D$28*0.001)*($B$28/100))*$B32),"0")))))))*2.291</f>
        <v>54.227969999999999</v>
      </c>
      <c r="E32" s="77">
        <f t="shared" ref="E32:E50" si="8">(IF(E$27="%w/w SAR",((E$28*10)*$B32),IF(E$27="%w/w DM",(((E$28*10)*($B$28/100))*$B32),IF(E$27="kg/t SAR",(E$28*$B32),IF(E$27="kg/t DM",((E$28*($B$28/100))*$B32),IF(E$27="mg/kg SAR",((E$28*0.001)*$B32),IF(E$27="mg/kg DM",(((E$28*0.001)*($B$28/100))*$B32),"0")))))))*1.205</f>
        <v>11.604149999999999</v>
      </c>
      <c r="F32" s="77">
        <f t="shared" ref="F32:F50" si="9">(IF(F$27="%w/w SAR",((F$28*10)*$B32),IF(F$27="%w/w DM",(((F$28*10)*($B$28/100))*$B32),IF(F$27="kg/t SAR",(F$28*$B32),IF(F$27="kg/t DM",((F$28*($B$28/100))*$B32),IF(F$27="mg/kg SAR",((F$28*0.001)*$B32),IF(F$27="mg/kg DM",(((F$28*0.001)*($B$28/100))*$B32),"0")))))))*1.658</f>
        <v>6.8641199999999989</v>
      </c>
      <c r="G32" s="77">
        <f t="shared" si="5"/>
        <v>4.41E-2</v>
      </c>
      <c r="H32" s="77">
        <f t="shared" si="5"/>
        <v>0.4995</v>
      </c>
      <c r="I32" s="77">
        <f t="shared" si="5"/>
        <v>2.2499999999999999E-2</v>
      </c>
      <c r="J32" s="77">
        <f t="shared" si="5"/>
        <v>4.5000000000000004E-4</v>
      </c>
      <c r="K32" s="77">
        <f t="shared" si="5"/>
        <v>2.2500000000000003E-3</v>
      </c>
      <c r="L32" s="77">
        <f t="shared" si="5"/>
        <v>2.9385000000000001E-2</v>
      </c>
      <c r="M32" s="77">
        <f t="shared" si="5"/>
        <v>0.22995000000000004</v>
      </c>
      <c r="N32" s="77">
        <f t="shared" si="5"/>
        <v>0</v>
      </c>
      <c r="O32" s="77">
        <f t="shared" si="5"/>
        <v>0</v>
      </c>
      <c r="P32" s="77">
        <f t="shared" si="5"/>
        <v>196.785</v>
      </c>
      <c r="Q32" s="77">
        <f t="shared" ref="Q32:Q50" si="10">(IF(Q$27="%w/w SAR",((Q$28*10)*$B32),IF(Q$27="%w/w DM",(((Q$28*10)*($B$28/100))*$B32),IF(Q$27="kg/t SAR",(Q$28*$B32),IF(Q$27="kg/t DM",((Q$28*($B$28/100))*$B32),IF(Q$27="mg/kg SAR",((Q$28*0.001)*$B32),IF(Q$27="mg/kg DM",(((Q$28*0.001)*($B$28/100))*$B32),0)))))))*2.5</f>
        <v>491.96249999999998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37</v>
      </c>
      <c r="C33" s="77">
        <f t="shared" si="6"/>
        <v>81.400000000000006</v>
      </c>
      <c r="D33" s="77">
        <f t="shared" si="7"/>
        <v>44.587441999999996</v>
      </c>
      <c r="E33" s="77">
        <f t="shared" si="8"/>
        <v>9.5411900000000003</v>
      </c>
      <c r="F33" s="77">
        <f t="shared" si="9"/>
        <v>5.6438319999999997</v>
      </c>
      <c r="G33" s="77">
        <f t="shared" si="5"/>
        <v>3.6260000000000001E-2</v>
      </c>
      <c r="H33" s="77">
        <f t="shared" si="5"/>
        <v>0.41070000000000001</v>
      </c>
      <c r="I33" s="77">
        <f t="shared" si="5"/>
        <v>1.8499999999999999E-2</v>
      </c>
      <c r="J33" s="77">
        <f t="shared" si="5"/>
        <v>3.7000000000000005E-4</v>
      </c>
      <c r="K33" s="77">
        <f t="shared" si="5"/>
        <v>1.8500000000000001E-3</v>
      </c>
      <c r="L33" s="77">
        <f t="shared" si="5"/>
        <v>2.4161000000000002E-2</v>
      </c>
      <c r="M33" s="77">
        <f t="shared" si="5"/>
        <v>0.18907000000000004</v>
      </c>
      <c r="N33" s="77">
        <f t="shared" si="5"/>
        <v>0</v>
      </c>
      <c r="O33" s="77">
        <f t="shared" si="5"/>
        <v>0</v>
      </c>
      <c r="P33" s="77">
        <f t="shared" si="5"/>
        <v>161.80100000000002</v>
      </c>
      <c r="Q33" s="77">
        <f t="shared" si="10"/>
        <v>404.50250000000005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37</v>
      </c>
      <c r="C34" s="77">
        <f t="shared" si="6"/>
        <v>81.400000000000006</v>
      </c>
      <c r="D34" s="77">
        <f t="shared" si="7"/>
        <v>44.587441999999996</v>
      </c>
      <c r="E34" s="77">
        <f t="shared" si="8"/>
        <v>9.5411900000000003</v>
      </c>
      <c r="F34" s="77">
        <f t="shared" si="9"/>
        <v>5.6438319999999997</v>
      </c>
      <c r="G34" s="77">
        <f t="shared" si="5"/>
        <v>3.6260000000000001E-2</v>
      </c>
      <c r="H34" s="77">
        <f t="shared" si="5"/>
        <v>0.41070000000000001</v>
      </c>
      <c r="I34" s="77">
        <f t="shared" si="5"/>
        <v>1.8499999999999999E-2</v>
      </c>
      <c r="J34" s="77">
        <f t="shared" si="5"/>
        <v>3.7000000000000005E-4</v>
      </c>
      <c r="K34" s="77">
        <f t="shared" si="5"/>
        <v>1.8500000000000001E-3</v>
      </c>
      <c r="L34" s="77">
        <f t="shared" si="5"/>
        <v>2.4161000000000002E-2</v>
      </c>
      <c r="M34" s="77">
        <f t="shared" si="5"/>
        <v>0.18907000000000004</v>
      </c>
      <c r="N34" s="77">
        <f t="shared" si="5"/>
        <v>0</v>
      </c>
      <c r="O34" s="77">
        <f t="shared" si="5"/>
        <v>0</v>
      </c>
      <c r="P34" s="77">
        <f t="shared" si="5"/>
        <v>161.80100000000002</v>
      </c>
      <c r="Q34" s="77">
        <f t="shared" si="10"/>
        <v>404.50250000000005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45</v>
      </c>
      <c r="C35" s="77">
        <f t="shared" si="6"/>
        <v>99.000000000000014</v>
      </c>
      <c r="D35" s="77">
        <f t="shared" si="7"/>
        <v>54.227969999999999</v>
      </c>
      <c r="E35" s="77">
        <f t="shared" si="8"/>
        <v>11.604149999999999</v>
      </c>
      <c r="F35" s="77">
        <f t="shared" si="9"/>
        <v>6.8641199999999989</v>
      </c>
      <c r="G35" s="77">
        <f t="shared" si="5"/>
        <v>4.41E-2</v>
      </c>
      <c r="H35" s="77">
        <f t="shared" si="5"/>
        <v>0.4995</v>
      </c>
      <c r="I35" s="77">
        <f t="shared" si="5"/>
        <v>2.2499999999999999E-2</v>
      </c>
      <c r="J35" s="77">
        <f t="shared" si="5"/>
        <v>4.5000000000000004E-4</v>
      </c>
      <c r="K35" s="77">
        <f t="shared" si="5"/>
        <v>2.2500000000000003E-3</v>
      </c>
      <c r="L35" s="77">
        <f t="shared" si="5"/>
        <v>2.9385000000000001E-2</v>
      </c>
      <c r="M35" s="77">
        <f t="shared" si="5"/>
        <v>0.22995000000000004</v>
      </c>
      <c r="N35" s="77">
        <f t="shared" si="5"/>
        <v>0</v>
      </c>
      <c r="O35" s="77">
        <f t="shared" si="5"/>
        <v>0</v>
      </c>
      <c r="P35" s="77">
        <f t="shared" si="5"/>
        <v>196.785</v>
      </c>
      <c r="Q35" s="77">
        <f t="shared" si="10"/>
        <v>491.96249999999998</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45</v>
      </c>
      <c r="C36" s="77">
        <f t="shared" si="6"/>
        <v>99.000000000000014</v>
      </c>
      <c r="D36" s="77">
        <f t="shared" si="7"/>
        <v>54.227969999999999</v>
      </c>
      <c r="E36" s="77">
        <f t="shared" si="8"/>
        <v>11.604149999999999</v>
      </c>
      <c r="F36" s="77">
        <f t="shared" si="9"/>
        <v>6.8641199999999989</v>
      </c>
      <c r="G36" s="77">
        <f t="shared" si="5"/>
        <v>4.41E-2</v>
      </c>
      <c r="H36" s="77">
        <f t="shared" si="5"/>
        <v>0.4995</v>
      </c>
      <c r="I36" s="77">
        <f t="shared" si="5"/>
        <v>2.2499999999999999E-2</v>
      </c>
      <c r="J36" s="77">
        <f t="shared" si="5"/>
        <v>4.5000000000000004E-4</v>
      </c>
      <c r="K36" s="77">
        <f t="shared" si="5"/>
        <v>2.2500000000000003E-3</v>
      </c>
      <c r="L36" s="77">
        <f t="shared" si="5"/>
        <v>2.9385000000000001E-2</v>
      </c>
      <c r="M36" s="77">
        <f t="shared" si="5"/>
        <v>0.22995000000000004</v>
      </c>
      <c r="N36" s="77">
        <f t="shared" si="5"/>
        <v>0</v>
      </c>
      <c r="O36" s="77">
        <f t="shared" si="5"/>
        <v>0</v>
      </c>
      <c r="P36" s="77">
        <f t="shared" si="5"/>
        <v>196.785</v>
      </c>
      <c r="Q36" s="77">
        <f t="shared" si="10"/>
        <v>491.96249999999998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45</v>
      </c>
      <c r="C37" s="77">
        <f t="shared" si="6"/>
        <v>99.000000000000014</v>
      </c>
      <c r="D37" s="77">
        <f t="shared" si="7"/>
        <v>54.227969999999999</v>
      </c>
      <c r="E37" s="77">
        <f t="shared" si="8"/>
        <v>11.604149999999999</v>
      </c>
      <c r="F37" s="77">
        <f t="shared" si="9"/>
        <v>6.8641199999999989</v>
      </c>
      <c r="G37" s="77">
        <f t="shared" si="5"/>
        <v>4.41E-2</v>
      </c>
      <c r="H37" s="77">
        <f t="shared" si="5"/>
        <v>0.4995</v>
      </c>
      <c r="I37" s="77">
        <f t="shared" si="5"/>
        <v>2.2499999999999999E-2</v>
      </c>
      <c r="J37" s="77">
        <f t="shared" si="5"/>
        <v>4.5000000000000004E-4</v>
      </c>
      <c r="K37" s="77">
        <f t="shared" si="5"/>
        <v>2.2500000000000003E-3</v>
      </c>
      <c r="L37" s="77">
        <f t="shared" si="5"/>
        <v>2.9385000000000001E-2</v>
      </c>
      <c r="M37" s="77">
        <f t="shared" si="5"/>
        <v>0.22995000000000004</v>
      </c>
      <c r="N37" s="77">
        <f t="shared" si="5"/>
        <v>0</v>
      </c>
      <c r="O37" s="77">
        <f t="shared" si="5"/>
        <v>0</v>
      </c>
      <c r="P37" s="77">
        <f t="shared" si="5"/>
        <v>196.785</v>
      </c>
      <c r="Q37" s="77">
        <f t="shared" si="10"/>
        <v>491.96249999999998</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Arable</v>
      </c>
      <c r="E58" s="13" t="str">
        <f>F16&amp;" I "&amp;(VLOOKUP(F14,Table245[],6,FALSE))</f>
        <v>Medium/Clay I Arable</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6.7</v>
      </c>
      <c r="E59" s="76">
        <f>VLOOKUP(F$14,Table245[],5,FALSE)</f>
        <v>6.7</v>
      </c>
      <c r="F59" s="76">
        <f>VLOOKUP(G$14,Table245[],5,FALSE)</f>
        <v>6.2</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45</v>
      </c>
      <c r="C62" s="77">
        <f>B32</f>
        <v>45</v>
      </c>
      <c r="D62" s="77">
        <f>B33</f>
        <v>37</v>
      </c>
      <c r="E62" s="77">
        <f>B34</f>
        <v>37</v>
      </c>
      <c r="F62" s="77">
        <f>B35</f>
        <v>45</v>
      </c>
      <c r="G62" s="77">
        <f>B36</f>
        <v>45</v>
      </c>
      <c r="H62" s="77">
        <f>B37</f>
        <v>45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86" priority="42" operator="equal">
      <formula>"DECREASE"</formula>
    </cfRule>
    <cfRule type="cellIs" dxfId="385" priority="43" operator="equal">
      <formula>"INCREASE"</formula>
    </cfRule>
  </conditionalFormatting>
  <conditionalFormatting sqref="B38:B50 B62:U66">
    <cfRule type="cellIs" dxfId="384" priority="41" operator="greaterThan">
      <formula>$B$51</formula>
    </cfRule>
  </conditionalFormatting>
  <conditionalFormatting sqref="C31:C50">
    <cfRule type="cellIs" dxfId="383" priority="40" operator="greaterThan">
      <formula>$C$51</formula>
    </cfRule>
  </conditionalFormatting>
  <conditionalFormatting sqref="C18:V18">
    <cfRule type="cellIs" dxfId="382" priority="39" operator="equal">
      <formula>0</formula>
    </cfRule>
  </conditionalFormatting>
  <conditionalFormatting sqref="C17:V17">
    <cfRule type="cellIs" dxfId="381" priority="38" operator="equal">
      <formula>0</formula>
    </cfRule>
  </conditionalFormatting>
  <conditionalFormatting sqref="C19:V19">
    <cfRule type="cellIs" dxfId="380" priority="37" operator="equal">
      <formula>0</formula>
    </cfRule>
  </conditionalFormatting>
  <conditionalFormatting sqref="G31:G50">
    <cfRule type="cellIs" dxfId="379" priority="36" operator="greaterThan">
      <formula>$G$51</formula>
    </cfRule>
  </conditionalFormatting>
  <conditionalFormatting sqref="H31:H50">
    <cfRule type="cellIs" dxfId="378" priority="35" operator="greaterThan">
      <formula>$H$51</formula>
    </cfRule>
  </conditionalFormatting>
  <conditionalFormatting sqref="I31:I50">
    <cfRule type="cellIs" dxfId="377" priority="34" operator="greaterThan">
      <formula>$I$51</formula>
    </cfRule>
  </conditionalFormatting>
  <conditionalFormatting sqref="K31:K50">
    <cfRule type="cellIs" dxfId="376" priority="33" operator="greaterThan">
      <formula>$K$51</formula>
    </cfRule>
  </conditionalFormatting>
  <conditionalFormatting sqref="L31:L50">
    <cfRule type="cellIs" dxfId="375" priority="32" operator="greaterThan">
      <formula>$L$51</formula>
    </cfRule>
  </conditionalFormatting>
  <conditionalFormatting sqref="M31:M50">
    <cfRule type="cellIs" dxfId="374" priority="31" operator="greaterThan">
      <formula>$M$51</formula>
    </cfRule>
  </conditionalFormatting>
  <conditionalFormatting sqref="P31:P50">
    <cfRule type="cellIs" dxfId="373" priority="30" operator="greaterThan">
      <formula>$P$51</formula>
    </cfRule>
  </conditionalFormatting>
  <conditionalFormatting sqref="R31:R50">
    <cfRule type="cellIs" dxfId="372" priority="29" operator="greaterThan">
      <formula>$R$51</formula>
    </cfRule>
  </conditionalFormatting>
  <conditionalFormatting sqref="S31:S50">
    <cfRule type="cellIs" dxfId="371" priority="28" operator="greaterThan">
      <formula>$S$51</formula>
    </cfRule>
  </conditionalFormatting>
  <conditionalFormatting sqref="T31:T50">
    <cfRule type="cellIs" dxfId="370" priority="27" operator="greaterThan">
      <formula>$T$51</formula>
    </cfRule>
  </conditionalFormatting>
  <conditionalFormatting sqref="U31:U50">
    <cfRule type="cellIs" dxfId="369" priority="26" operator="greaterThan">
      <formula>$U$51</formula>
    </cfRule>
  </conditionalFormatting>
  <conditionalFormatting sqref="C22:V22">
    <cfRule type="cellIs" dxfId="368" priority="25" operator="equal">
      <formula>0</formula>
    </cfRule>
  </conditionalFormatting>
  <conditionalFormatting sqref="C24:V24">
    <cfRule type="cellIs" dxfId="367" priority="23" operator="equal">
      <formula>"DECREASE"</formula>
    </cfRule>
    <cfRule type="cellIs" dxfId="366" priority="24" operator="equal">
      <formula>"INCREASE"</formula>
    </cfRule>
  </conditionalFormatting>
  <conditionalFormatting sqref="C23:V23">
    <cfRule type="cellIs" dxfId="365" priority="22" operator="equal">
      <formula>0</formula>
    </cfRule>
  </conditionalFormatting>
  <conditionalFormatting sqref="C21:V21">
    <cfRule type="cellIs" dxfId="364" priority="18" operator="equal">
      <formula>0</formula>
    </cfRule>
  </conditionalFormatting>
  <conditionalFormatting sqref="B66:U66">
    <cfRule type="cellIs" dxfId="363" priority="16" operator="equal">
      <formula>"UNDER"</formula>
    </cfRule>
    <cfRule type="cellIs" dxfId="362" priority="17" operator="equal">
      <formula>"OVER"</formula>
    </cfRule>
  </conditionalFormatting>
  <conditionalFormatting sqref="J31:J50">
    <cfRule type="cellIs" dxfId="361" priority="13" operator="greaterThan">
      <formula>$J$51</formula>
    </cfRule>
  </conditionalFormatting>
  <conditionalFormatting sqref="L3">
    <cfRule type="cellIs" dxfId="360" priority="9" operator="lessThan">
      <formula>30</formula>
    </cfRule>
    <cfRule type="cellIs" dxfId="359" priority="10" operator="greaterThanOrEqual">
      <formula>30</formula>
    </cfRule>
  </conditionalFormatting>
  <conditionalFormatting sqref="I3">
    <cfRule type="cellIs" dxfId="358" priority="6" operator="greaterThan">
      <formula>40000.01</formula>
    </cfRule>
  </conditionalFormatting>
  <conditionalFormatting sqref="B31:B37">
    <cfRule type="cellIs" dxfId="357" priority="3" operator="greaterThan">
      <formula>$B$51</formula>
    </cfRule>
  </conditionalFormatting>
  <conditionalFormatting sqref="I1">
    <cfRule type="cellIs" dxfId="356" priority="2" operator="between">
      <formula>0.1</formula>
      <formula>5</formula>
    </cfRule>
  </conditionalFormatting>
  <conditionalFormatting sqref="I2">
    <cfRule type="cellIs" dxfId="355" priority="1" operator="greaterThan">
      <formula>5000.1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2" t="s">
        <v>41</v>
      </c>
      <c r="B1" s="122"/>
      <c r="C1" s="143" t="str">
        <f>Beechdean!C1:D1</f>
        <v>PAN-017507</v>
      </c>
      <c r="D1" s="144"/>
      <c r="E1" s="93" t="s">
        <v>45</v>
      </c>
      <c r="F1" s="39">
        <f>Beechdean!F1</f>
        <v>51.8</v>
      </c>
      <c r="G1" s="123" t="s">
        <v>43</v>
      </c>
      <c r="H1" s="124"/>
      <c r="I1" s="121">
        <v>7.04</v>
      </c>
      <c r="J1" s="122" t="s">
        <v>153</v>
      </c>
      <c r="K1" s="122"/>
      <c r="L1" s="121">
        <v>140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0" t="s">
        <v>172</v>
      </c>
      <c r="G2" s="141" t="s">
        <v>110</v>
      </c>
      <c r="H2" s="142"/>
      <c r="I2" s="121">
        <v>613</v>
      </c>
      <c r="J2" s="122" t="s">
        <v>158</v>
      </c>
      <c r="K2" s="122"/>
      <c r="L2" s="121">
        <v>0.36</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78</v>
      </c>
      <c r="G3" s="122" t="s">
        <v>159</v>
      </c>
      <c r="H3" s="122"/>
      <c r="I3" s="121">
        <v>4280</v>
      </c>
      <c r="J3" s="123" t="s">
        <v>154</v>
      </c>
      <c r="K3" s="124"/>
      <c r="L3" s="97">
        <f>(L1/(L2*10000))*100</f>
        <v>3.8888888888888888</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0"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54.605984999999997</v>
      </c>
      <c r="D18" s="16">
        <f>$D32</f>
        <v>54.605984999999997</v>
      </c>
      <c r="E18" s="16">
        <f>$D33</f>
        <v>43.684788000000005</v>
      </c>
      <c r="F18" s="16">
        <f>$D34</f>
        <v>43.684788000000005</v>
      </c>
      <c r="G18" s="16">
        <f>$D35</f>
        <v>54.605984999999997</v>
      </c>
      <c r="H18" s="16">
        <f>$D36</f>
        <v>54.605984999999997</v>
      </c>
      <c r="I18" s="16">
        <f>$D37</f>
        <v>54.605984999999997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-9.9940149999999974</v>
      </c>
      <c r="D19" s="16">
        <f t="shared" ref="D19:V19" si="1">D18-D17</f>
        <v>-9.9940149999999974</v>
      </c>
      <c r="E19" s="16">
        <f t="shared" si="1"/>
        <v>-3.0652119999999954</v>
      </c>
      <c r="F19" s="16">
        <f t="shared" si="1"/>
        <v>-3.0652119999999954</v>
      </c>
      <c r="G19" s="16">
        <f t="shared" si="1"/>
        <v>-9.9940149999999974</v>
      </c>
      <c r="H19" s="16">
        <f t="shared" si="1"/>
        <v>-9.9940149999999974</v>
      </c>
      <c r="I19" s="16">
        <f t="shared" si="1"/>
        <v>-9.9940149999999974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(VLOOKUP(D$14,$AI2:$AK24,3,FALSE))*D$15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11.598125000000001</v>
      </c>
      <c r="D22" s="16">
        <f>$E32</f>
        <v>11.598125000000001</v>
      </c>
      <c r="E22" s="16">
        <f>$E33</f>
        <v>9.2785000000000011</v>
      </c>
      <c r="F22" s="16">
        <f>$E34</f>
        <v>9.2785000000000011</v>
      </c>
      <c r="G22" s="16">
        <f>$E35</f>
        <v>11.598125000000001</v>
      </c>
      <c r="H22" s="16">
        <f>$E36</f>
        <v>11.598125000000001</v>
      </c>
      <c r="I22" s="16">
        <f>$E37</f>
        <v>11.598125000000001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-216.40187499999999</v>
      </c>
      <c r="D23" s="16">
        <f t="shared" ref="D23:V23" si="3">D22-D21</f>
        <v>-216.40187499999999</v>
      </c>
      <c r="E23" s="16">
        <f t="shared" si="3"/>
        <v>-56.721499999999999</v>
      </c>
      <c r="F23" s="16">
        <f t="shared" si="3"/>
        <v>-56.721499999999999</v>
      </c>
      <c r="G23" s="16">
        <f t="shared" si="3"/>
        <v>-216.40187499999999</v>
      </c>
      <c r="H23" s="16">
        <f t="shared" si="3"/>
        <v>-216.40187499999999</v>
      </c>
      <c r="I23" s="16">
        <f t="shared" si="3"/>
        <v>-216.40187499999999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5.33</v>
      </c>
      <c r="C28" s="15">
        <v>0.36</v>
      </c>
      <c r="D28" s="15">
        <v>681</v>
      </c>
      <c r="E28" s="15">
        <v>275</v>
      </c>
      <c r="F28" s="15">
        <v>212</v>
      </c>
      <c r="G28" s="15">
        <v>1.98</v>
      </c>
      <c r="H28" s="15">
        <v>11.2</v>
      </c>
      <c r="I28" s="15">
        <v>0.5</v>
      </c>
      <c r="J28" s="15">
        <v>1.6E-2</v>
      </c>
      <c r="K28" s="23">
        <v>0.05</v>
      </c>
      <c r="L28" s="15">
        <v>0.318</v>
      </c>
      <c r="M28" s="15">
        <v>0.53300000000000003</v>
      </c>
      <c r="N28" s="15"/>
      <c r="O28" s="15"/>
      <c r="P28" s="15">
        <v>415</v>
      </c>
      <c r="Q28" s="15">
        <v>711</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35</v>
      </c>
      <c r="C31" s="77">
        <f>IF(C$27="%w/w SAR",((C$28*10)*$B31),IF(C$27="%w/w DM",(((C$28*10)*($B$28/100))*$B31),IF(C$27="kg/t SAR",(C$28*$B31),IF(C$27="kg/t DM",((C$28*($B$28/100))*$B31),IF(C$27="mg/kg SAR",((C$28*0.001)*$B31),IF(C$27="mg/kg DM",(((C$28*0.001)*($B$28/100))*$B31),0))))))</f>
        <v>125.99999999999999</v>
      </c>
      <c r="D31" s="77">
        <f>(IF(D$27="%w/w SAR",((D$28*10)*$B31),IF(D$27="%w/w DM",(((D$28*10)*($B$28/100))*$B31),IF(D$27="kg/t SAR",(D$28*$B31),IF(D$27="kg/t DM",((D$28*($B$28/100))*$B31),IF(D$27="mg/kg SAR",((D$28*0.001)*$B31),IF(D$27="mg/kg DM",(((D$28*0.001)*($B$28/100))*$B31),"0")))))))*2.291</f>
        <v>54.605984999999997</v>
      </c>
      <c r="E31" s="77">
        <f>(IF(E$27="%w/w SAR",((E$28*10)*$B31),IF(E$27="%w/w DM",(((E$28*10)*($B$28/100))*$B31),IF(E$27="kg/t SAR",(E$28*$B31),IF(E$27="kg/t DM",((E$28*($B$28/100))*$B31),IF(E$27="mg/kg SAR",((E$28*0.001)*$B31),IF(E$27="mg/kg DM",(((E$28*0.001)*($B$28/100))*$B31),"0")))))))*1.205</f>
        <v>11.598125000000001</v>
      </c>
      <c r="F31" s="77">
        <f>(IF(F$27="%w/w SAR",((F$28*10)*$B31),IF(F$27="%w/w DM",(((F$28*10)*($B$28/100))*$B31),IF(F$27="kg/t SAR",(F$28*$B31),IF(F$27="kg/t DM",((F$28*($B$28/100))*$B31),IF(F$27="mg/kg SAR",((F$28*0.001)*$B31),IF(F$27="mg/kg DM",(((F$28*0.001)*($B$28/100))*$B31),"0")))))))*1.658</f>
        <v>12.302359999999998</v>
      </c>
      <c r="G31" s="77">
        <f t="shared" ref="G31:P46" si="5">IF(G$27="%w/w SAR",((G$28*10)*$B31),IF(G$27="%w/w DM",(((G$28*10)*($B$28/100))*$B31),IF(G$27="kg/t SAR",(G$28*$B31),IF(G$27="kg/t DM",((G$28*($B$28/100))*$B31),IF(G$27="mg/kg SAR",((G$28*0.001)*$B31),IF(G$27="mg/kg DM",(((G$28*0.001)*($B$28/100))*$B31),0))))))</f>
        <v>6.93E-2</v>
      </c>
      <c r="H31" s="77">
        <f t="shared" si="5"/>
        <v>0.39200000000000002</v>
      </c>
      <c r="I31" s="77">
        <f t="shared" si="5"/>
        <v>1.7500000000000002E-2</v>
      </c>
      <c r="J31" s="77">
        <f t="shared" si="5"/>
        <v>5.5999999999999995E-4</v>
      </c>
      <c r="K31" s="77">
        <f t="shared" si="5"/>
        <v>1.75E-3</v>
      </c>
      <c r="L31" s="77">
        <f t="shared" si="5"/>
        <v>1.1130000000000001E-2</v>
      </c>
      <c r="M31" s="77">
        <f t="shared" si="5"/>
        <v>1.8655000000000001E-2</v>
      </c>
      <c r="N31" s="77">
        <f t="shared" si="5"/>
        <v>0</v>
      </c>
      <c r="O31" s="77">
        <f t="shared" si="5"/>
        <v>0</v>
      </c>
      <c r="P31" s="77">
        <f t="shared" si="5"/>
        <v>14.525000000000002</v>
      </c>
      <c r="Q31" s="77">
        <f>(IF(Q$27="%w/w SAR",((Q$28*10)*$B31),IF(Q$27="%w/w DM",(((Q$28*10)*($B$28/100))*$B31),IF(Q$27="kg/t SAR",(Q$28*$B31),IF(Q$27="kg/t DM",((Q$28*($B$28/100))*$B31),IF(Q$27="mg/kg SAR",((Q$28*0.001)*$B31),IF(Q$27="mg/kg DM",(((Q$28*0.001)*($B$28/100))*$B31),0)))))))*2.5</f>
        <v>62.212499999999991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35</v>
      </c>
      <c r="C32" s="77">
        <f t="shared" ref="C32:C50" si="6">IF(C$27="%w/w SAR",((C$28*10)*$B32),IF(C$27="%w/w DM",(((C$28*10)*($B$28/100))*$B32),IF(C$27="kg/t SAR",(C$28*$B32),IF(C$27="kg/t DM",((C$28*($B$28/100))*$B32),IF(C$27="mg/kg SAR",((C$28*0.001)*$B32),IF(C$27="mg/kg DM",(((C$28*0.001)*($B$28/100))*$B32),0))))))</f>
        <v>125.99999999999999</v>
      </c>
      <c r="D32" s="77">
        <f t="shared" ref="D32:D50" si="7">(IF(D$27="%w/w SAR",((D$28*10)*$B32),IF(D$27="%w/w DM",(((D$28*10)*($B$28/100))*$B32),IF(D$27="kg/t SAR",(D$28*$B32),IF(D$27="kg/t DM",((D$28*($B$28/100))*$B32),IF(D$27="mg/kg SAR",((D$28*0.001)*$B32),IF(D$27="mg/kg DM",(((D$28*0.001)*($B$28/100))*$B32),"0")))))))*2.291</f>
        <v>54.605984999999997</v>
      </c>
      <c r="E32" s="77">
        <f t="shared" ref="E32:E50" si="8">(IF(E$27="%w/w SAR",((E$28*10)*$B32),IF(E$27="%w/w DM",(((E$28*10)*($B$28/100))*$B32),IF(E$27="kg/t SAR",(E$28*$B32),IF(E$27="kg/t DM",((E$28*($B$28/100))*$B32),IF(E$27="mg/kg SAR",((E$28*0.001)*$B32),IF(E$27="mg/kg DM",(((E$28*0.001)*($B$28/100))*$B32),"0")))))))*1.205</f>
        <v>11.598125000000001</v>
      </c>
      <c r="F32" s="77">
        <f t="shared" ref="F32:F50" si="9">(IF(F$27="%w/w SAR",((F$28*10)*$B32),IF(F$27="%w/w DM",(((F$28*10)*($B$28/100))*$B32),IF(F$27="kg/t SAR",(F$28*$B32),IF(F$27="kg/t DM",((F$28*($B$28/100))*$B32),IF(F$27="mg/kg SAR",((F$28*0.001)*$B32),IF(F$27="mg/kg DM",(((F$28*0.001)*($B$28/100))*$B32),"0")))))))*1.658</f>
        <v>12.302359999999998</v>
      </c>
      <c r="G32" s="77">
        <f t="shared" si="5"/>
        <v>6.93E-2</v>
      </c>
      <c r="H32" s="77">
        <f t="shared" si="5"/>
        <v>0.39200000000000002</v>
      </c>
      <c r="I32" s="77">
        <f t="shared" si="5"/>
        <v>1.7500000000000002E-2</v>
      </c>
      <c r="J32" s="77">
        <f t="shared" si="5"/>
        <v>5.5999999999999995E-4</v>
      </c>
      <c r="K32" s="77">
        <f t="shared" si="5"/>
        <v>1.75E-3</v>
      </c>
      <c r="L32" s="77">
        <f t="shared" si="5"/>
        <v>1.1130000000000001E-2</v>
      </c>
      <c r="M32" s="77">
        <f t="shared" si="5"/>
        <v>1.8655000000000001E-2</v>
      </c>
      <c r="N32" s="77">
        <f t="shared" si="5"/>
        <v>0</v>
      </c>
      <c r="O32" s="77">
        <f t="shared" si="5"/>
        <v>0</v>
      </c>
      <c r="P32" s="77">
        <f t="shared" si="5"/>
        <v>14.525000000000002</v>
      </c>
      <c r="Q32" s="77">
        <f t="shared" ref="Q32:Q50" si="10">(IF(Q$27="%w/w SAR",((Q$28*10)*$B32),IF(Q$27="%w/w DM",(((Q$28*10)*($B$28/100))*$B32),IF(Q$27="kg/t SAR",(Q$28*$B32),IF(Q$27="kg/t DM",((Q$28*($B$28/100))*$B32),IF(Q$27="mg/kg SAR",((Q$28*0.001)*$B32),IF(Q$27="mg/kg DM",(((Q$28*0.001)*($B$28/100))*$B32),0)))))))*2.5</f>
        <v>62.212499999999991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28</v>
      </c>
      <c r="C33" s="77">
        <f t="shared" si="6"/>
        <v>100.79999999999998</v>
      </c>
      <c r="D33" s="77">
        <f t="shared" si="7"/>
        <v>43.684788000000005</v>
      </c>
      <c r="E33" s="77">
        <f t="shared" si="8"/>
        <v>9.2785000000000011</v>
      </c>
      <c r="F33" s="77">
        <f t="shared" si="9"/>
        <v>9.8418879999999991</v>
      </c>
      <c r="G33" s="77">
        <f t="shared" si="5"/>
        <v>5.5440000000000003E-2</v>
      </c>
      <c r="H33" s="77">
        <f t="shared" si="5"/>
        <v>0.31359999999999999</v>
      </c>
      <c r="I33" s="77">
        <f t="shared" si="5"/>
        <v>1.4E-2</v>
      </c>
      <c r="J33" s="77">
        <f t="shared" si="5"/>
        <v>4.4799999999999999E-4</v>
      </c>
      <c r="K33" s="77">
        <f t="shared" si="5"/>
        <v>1.4E-3</v>
      </c>
      <c r="L33" s="77">
        <f t="shared" si="5"/>
        <v>8.9040000000000005E-3</v>
      </c>
      <c r="M33" s="77">
        <f t="shared" si="5"/>
        <v>1.4924000000000002E-2</v>
      </c>
      <c r="N33" s="77">
        <f t="shared" si="5"/>
        <v>0</v>
      </c>
      <c r="O33" s="77">
        <f t="shared" si="5"/>
        <v>0</v>
      </c>
      <c r="P33" s="77">
        <f t="shared" si="5"/>
        <v>11.620000000000001</v>
      </c>
      <c r="Q33" s="77">
        <f t="shared" si="10"/>
        <v>49.769999999999996</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28</v>
      </c>
      <c r="C34" s="77">
        <f t="shared" si="6"/>
        <v>100.79999999999998</v>
      </c>
      <c r="D34" s="77">
        <f t="shared" si="7"/>
        <v>43.684788000000005</v>
      </c>
      <c r="E34" s="77">
        <f t="shared" si="8"/>
        <v>9.2785000000000011</v>
      </c>
      <c r="F34" s="77">
        <f t="shared" si="9"/>
        <v>9.8418879999999991</v>
      </c>
      <c r="G34" s="77">
        <f t="shared" si="5"/>
        <v>5.5440000000000003E-2</v>
      </c>
      <c r="H34" s="77">
        <f t="shared" si="5"/>
        <v>0.31359999999999999</v>
      </c>
      <c r="I34" s="77">
        <f t="shared" si="5"/>
        <v>1.4E-2</v>
      </c>
      <c r="J34" s="77">
        <f t="shared" si="5"/>
        <v>4.4799999999999999E-4</v>
      </c>
      <c r="K34" s="77">
        <f t="shared" si="5"/>
        <v>1.4E-3</v>
      </c>
      <c r="L34" s="77">
        <f t="shared" si="5"/>
        <v>8.9040000000000005E-3</v>
      </c>
      <c r="M34" s="77">
        <f t="shared" si="5"/>
        <v>1.4924000000000002E-2</v>
      </c>
      <c r="N34" s="77">
        <f t="shared" si="5"/>
        <v>0</v>
      </c>
      <c r="O34" s="77">
        <f t="shared" si="5"/>
        <v>0</v>
      </c>
      <c r="P34" s="77">
        <f t="shared" si="5"/>
        <v>11.620000000000001</v>
      </c>
      <c r="Q34" s="77">
        <f t="shared" si="10"/>
        <v>49.769999999999996</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35</v>
      </c>
      <c r="C35" s="77">
        <f t="shared" si="6"/>
        <v>125.99999999999999</v>
      </c>
      <c r="D35" s="77">
        <f t="shared" si="7"/>
        <v>54.605984999999997</v>
      </c>
      <c r="E35" s="77">
        <f t="shared" si="8"/>
        <v>11.598125000000001</v>
      </c>
      <c r="F35" s="77">
        <f t="shared" si="9"/>
        <v>12.302359999999998</v>
      </c>
      <c r="G35" s="77">
        <f t="shared" si="5"/>
        <v>6.93E-2</v>
      </c>
      <c r="H35" s="77">
        <f t="shared" si="5"/>
        <v>0.39200000000000002</v>
      </c>
      <c r="I35" s="77">
        <f t="shared" si="5"/>
        <v>1.7500000000000002E-2</v>
      </c>
      <c r="J35" s="77">
        <f t="shared" si="5"/>
        <v>5.5999999999999995E-4</v>
      </c>
      <c r="K35" s="77">
        <f t="shared" si="5"/>
        <v>1.75E-3</v>
      </c>
      <c r="L35" s="77">
        <f t="shared" si="5"/>
        <v>1.1130000000000001E-2</v>
      </c>
      <c r="M35" s="77">
        <f t="shared" si="5"/>
        <v>1.8655000000000001E-2</v>
      </c>
      <c r="N35" s="77">
        <f t="shared" si="5"/>
        <v>0</v>
      </c>
      <c r="O35" s="77">
        <f t="shared" si="5"/>
        <v>0</v>
      </c>
      <c r="P35" s="77">
        <f t="shared" si="5"/>
        <v>14.525000000000002</v>
      </c>
      <c r="Q35" s="77">
        <f t="shared" si="10"/>
        <v>62.212499999999991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35</v>
      </c>
      <c r="C36" s="77">
        <f t="shared" si="6"/>
        <v>125.99999999999999</v>
      </c>
      <c r="D36" s="77">
        <f t="shared" si="7"/>
        <v>54.605984999999997</v>
      </c>
      <c r="E36" s="77">
        <f t="shared" si="8"/>
        <v>11.598125000000001</v>
      </c>
      <c r="F36" s="77">
        <f t="shared" si="9"/>
        <v>12.302359999999998</v>
      </c>
      <c r="G36" s="77">
        <f t="shared" si="5"/>
        <v>6.93E-2</v>
      </c>
      <c r="H36" s="77">
        <f t="shared" si="5"/>
        <v>0.39200000000000002</v>
      </c>
      <c r="I36" s="77">
        <f t="shared" si="5"/>
        <v>1.7500000000000002E-2</v>
      </c>
      <c r="J36" s="77">
        <f t="shared" si="5"/>
        <v>5.5999999999999995E-4</v>
      </c>
      <c r="K36" s="77">
        <f t="shared" si="5"/>
        <v>1.75E-3</v>
      </c>
      <c r="L36" s="77">
        <f t="shared" si="5"/>
        <v>1.1130000000000001E-2</v>
      </c>
      <c r="M36" s="77">
        <f t="shared" si="5"/>
        <v>1.8655000000000001E-2</v>
      </c>
      <c r="N36" s="77">
        <f t="shared" si="5"/>
        <v>0</v>
      </c>
      <c r="O36" s="77">
        <f t="shared" si="5"/>
        <v>0</v>
      </c>
      <c r="P36" s="77">
        <f t="shared" si="5"/>
        <v>14.525000000000002</v>
      </c>
      <c r="Q36" s="77">
        <f t="shared" si="10"/>
        <v>62.212499999999991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35</v>
      </c>
      <c r="C37" s="77">
        <f t="shared" si="6"/>
        <v>125.99999999999999</v>
      </c>
      <c r="D37" s="77">
        <f t="shared" si="7"/>
        <v>54.605984999999997</v>
      </c>
      <c r="E37" s="77">
        <f t="shared" si="8"/>
        <v>11.598125000000001</v>
      </c>
      <c r="F37" s="77">
        <f t="shared" si="9"/>
        <v>12.302359999999998</v>
      </c>
      <c r="G37" s="77">
        <f t="shared" si="5"/>
        <v>6.93E-2</v>
      </c>
      <c r="H37" s="77">
        <f t="shared" si="5"/>
        <v>0.39200000000000002</v>
      </c>
      <c r="I37" s="77">
        <f t="shared" si="5"/>
        <v>1.7500000000000002E-2</v>
      </c>
      <c r="J37" s="77">
        <f t="shared" si="5"/>
        <v>5.5999999999999995E-4</v>
      </c>
      <c r="K37" s="77">
        <f t="shared" si="5"/>
        <v>1.75E-3</v>
      </c>
      <c r="L37" s="77">
        <f t="shared" si="5"/>
        <v>1.1130000000000001E-2</v>
      </c>
      <c r="M37" s="77">
        <f t="shared" si="5"/>
        <v>1.8655000000000001E-2</v>
      </c>
      <c r="N37" s="77">
        <f t="shared" si="5"/>
        <v>0</v>
      </c>
      <c r="O37" s="77">
        <f t="shared" si="5"/>
        <v>0</v>
      </c>
      <c r="P37" s="77">
        <f t="shared" si="5"/>
        <v>14.525000000000002</v>
      </c>
      <c r="Q37" s="77">
        <f t="shared" si="10"/>
        <v>62.212499999999991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Arable</v>
      </c>
      <c r="E58" s="13" t="str">
        <f>F16&amp;" I "&amp;(VLOOKUP(F14,Table245811[],6,FALSE))</f>
        <v>Medium/Clay I Arable</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6.7</v>
      </c>
      <c r="E59" s="76">
        <f>VLOOKUP(F$14,Table245811[],5,FALSE)</f>
        <v>6.7</v>
      </c>
      <c r="F59" s="76">
        <f>VLOOKUP(G$14,Table245811[],5,FALSE)</f>
        <v>6.2</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35</v>
      </c>
      <c r="C62" s="77">
        <f>B32</f>
        <v>35</v>
      </c>
      <c r="D62" s="77">
        <f>B33</f>
        <v>28</v>
      </c>
      <c r="E62" s="77">
        <f>B34</f>
        <v>28</v>
      </c>
      <c r="F62" s="77">
        <f>B35</f>
        <v>35</v>
      </c>
      <c r="G62" s="77">
        <f>B36</f>
        <v>35</v>
      </c>
      <c r="H62" s="77">
        <f>B37</f>
        <v>35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43" priority="44" operator="equal">
      <formula>"DECREASE"</formula>
    </cfRule>
    <cfRule type="cellIs" dxfId="342" priority="45" operator="equal">
      <formula>"INCREASE"</formula>
    </cfRule>
  </conditionalFormatting>
  <conditionalFormatting sqref="B38:B50 B62:U66">
    <cfRule type="cellIs" dxfId="341" priority="43" operator="greaterThan">
      <formula>$B$51</formula>
    </cfRule>
  </conditionalFormatting>
  <conditionalFormatting sqref="C31:C50">
    <cfRule type="cellIs" dxfId="340" priority="42" operator="greaterThan">
      <formula>$C$51</formula>
    </cfRule>
  </conditionalFormatting>
  <conditionalFormatting sqref="C18:V18">
    <cfRule type="cellIs" dxfId="339" priority="41" operator="equal">
      <formula>0</formula>
    </cfRule>
  </conditionalFormatting>
  <conditionalFormatting sqref="C17:V17">
    <cfRule type="cellIs" dxfId="338" priority="40" operator="equal">
      <formula>0</formula>
    </cfRule>
  </conditionalFormatting>
  <conditionalFormatting sqref="C19:V19">
    <cfRule type="cellIs" dxfId="337" priority="39" operator="equal">
      <formula>0</formula>
    </cfRule>
  </conditionalFormatting>
  <conditionalFormatting sqref="G31:G50">
    <cfRule type="cellIs" dxfId="336" priority="38" operator="greaterThan">
      <formula>$G$51</formula>
    </cfRule>
  </conditionalFormatting>
  <conditionalFormatting sqref="H31:H50">
    <cfRule type="cellIs" dxfId="335" priority="37" operator="greaterThan">
      <formula>$H$51</formula>
    </cfRule>
  </conditionalFormatting>
  <conditionalFormatting sqref="I31:I50">
    <cfRule type="cellIs" dxfId="334" priority="36" operator="greaterThan">
      <formula>$I$51</formula>
    </cfRule>
  </conditionalFormatting>
  <conditionalFormatting sqref="K31:K50">
    <cfRule type="cellIs" dxfId="333" priority="35" operator="greaterThan">
      <formula>$K$51</formula>
    </cfRule>
  </conditionalFormatting>
  <conditionalFormatting sqref="L31:L50">
    <cfRule type="cellIs" dxfId="332" priority="34" operator="greaterThan">
      <formula>$L$51</formula>
    </cfRule>
  </conditionalFormatting>
  <conditionalFormatting sqref="M31:M50">
    <cfRule type="cellIs" dxfId="331" priority="33" operator="greaterThan">
      <formula>$M$51</formula>
    </cfRule>
  </conditionalFormatting>
  <conditionalFormatting sqref="P31:P50">
    <cfRule type="cellIs" dxfId="330" priority="32" operator="greaterThan">
      <formula>$P$51</formula>
    </cfRule>
  </conditionalFormatting>
  <conditionalFormatting sqref="R31:R50">
    <cfRule type="cellIs" dxfId="329" priority="31" operator="greaterThan">
      <formula>$R$51</formula>
    </cfRule>
  </conditionalFormatting>
  <conditionalFormatting sqref="S31:S50">
    <cfRule type="cellIs" dxfId="328" priority="30" operator="greaterThan">
      <formula>$S$51</formula>
    </cfRule>
  </conditionalFormatting>
  <conditionalFormatting sqref="T31:T50">
    <cfRule type="cellIs" dxfId="327" priority="29" operator="greaterThan">
      <formula>$T$51</formula>
    </cfRule>
  </conditionalFormatting>
  <conditionalFormatting sqref="U31:U50">
    <cfRule type="cellIs" dxfId="326" priority="28" operator="greaterThan">
      <formula>$U$51</formula>
    </cfRule>
  </conditionalFormatting>
  <conditionalFormatting sqref="C22:V22">
    <cfRule type="cellIs" dxfId="325" priority="27" operator="equal">
      <formula>0</formula>
    </cfRule>
  </conditionalFormatting>
  <conditionalFormatting sqref="C24:V24">
    <cfRule type="cellIs" dxfId="324" priority="25" operator="equal">
      <formula>"DECREASE"</formula>
    </cfRule>
    <cfRule type="cellIs" dxfId="323" priority="26" operator="equal">
      <formula>"INCREASE"</formula>
    </cfRule>
  </conditionalFormatting>
  <conditionalFormatting sqref="C23:V23">
    <cfRule type="cellIs" dxfId="322" priority="24" operator="equal">
      <formula>0</formula>
    </cfRule>
  </conditionalFormatting>
  <conditionalFormatting sqref="C21:V21">
    <cfRule type="cellIs" dxfId="321" priority="20" operator="equal">
      <formula>0</formula>
    </cfRule>
  </conditionalFormatting>
  <conditionalFormatting sqref="B66:U66">
    <cfRule type="cellIs" dxfId="320" priority="18" operator="equal">
      <formula>"UNDER"</formula>
    </cfRule>
    <cfRule type="cellIs" dxfId="319" priority="19" operator="equal">
      <formula>"OVER"</formula>
    </cfRule>
  </conditionalFormatting>
  <conditionalFormatting sqref="J31:J50">
    <cfRule type="cellIs" dxfId="318" priority="15" operator="greaterThan">
      <formula>$J$51</formula>
    </cfRule>
  </conditionalFormatting>
  <conditionalFormatting sqref="L3">
    <cfRule type="cellIs" dxfId="317" priority="11" operator="lessThan">
      <formula>30</formula>
    </cfRule>
    <cfRule type="cellIs" dxfId="316" priority="12" operator="greaterThanOrEqual">
      <formula>30</formula>
    </cfRule>
  </conditionalFormatting>
  <conditionalFormatting sqref="B31:B37">
    <cfRule type="cellIs" dxfId="315" priority="4" operator="greaterThan">
      <formula>$B$51</formula>
    </cfRule>
  </conditionalFormatting>
  <conditionalFormatting sqref="I1">
    <cfRule type="cellIs" dxfId="314" priority="3" operator="between">
      <formula>0.1</formula>
      <formula>5</formula>
    </cfRule>
  </conditionalFormatting>
  <conditionalFormatting sqref="I2">
    <cfRule type="cellIs" dxfId="313" priority="2" operator="greaterThan">
      <formula>5000.1</formula>
    </cfRule>
  </conditionalFormatting>
  <conditionalFormatting sqref="I3">
    <cfRule type="cellIs" dxfId="312"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G33" sqref="G3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2" t="s">
        <v>41</v>
      </c>
      <c r="B1" s="122"/>
      <c r="C1" s="143" t="str">
        <f>Beechdean!C1:D1</f>
        <v>PAN-017507</v>
      </c>
      <c r="D1" s="144"/>
      <c r="E1" s="93" t="s">
        <v>45</v>
      </c>
      <c r="F1" s="39">
        <f>Beechdean!F1</f>
        <v>51.8</v>
      </c>
      <c r="G1" s="123" t="s">
        <v>43</v>
      </c>
      <c r="H1" s="124"/>
      <c r="I1" s="121">
        <v>7.66</v>
      </c>
      <c r="J1" s="122" t="s">
        <v>153</v>
      </c>
      <c r="K1" s="122"/>
      <c r="L1" s="121">
        <v>397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0" t="s">
        <v>174</v>
      </c>
      <c r="G2" s="141" t="s">
        <v>110</v>
      </c>
      <c r="H2" s="142"/>
      <c r="I2" s="121">
        <v>768</v>
      </c>
      <c r="J2" s="122" t="s">
        <v>158</v>
      </c>
      <c r="K2" s="122"/>
      <c r="L2" s="121">
        <v>1.32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76</v>
      </c>
      <c r="G3" s="122" t="s">
        <v>159</v>
      </c>
      <c r="H3" s="122"/>
      <c r="I3" s="121">
        <v>7562</v>
      </c>
      <c r="J3" s="123" t="s">
        <v>154</v>
      </c>
      <c r="K3" s="124"/>
      <c r="L3" s="97">
        <f>(L1/(L2*10000))*100</f>
        <v>3.0075757575757573</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0" t="s">
        <v>175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-64.599999999999994</v>
      </c>
      <c r="D19" s="16">
        <f t="shared" ref="D19:V19" si="1">D18-D17</f>
        <v>-64.599999999999994</v>
      </c>
      <c r="E19" s="16">
        <f t="shared" si="1"/>
        <v>-46.75</v>
      </c>
      <c r="F19" s="16">
        <f t="shared" si="1"/>
        <v>-46.75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-228</v>
      </c>
      <c r="D23" s="16">
        <f t="shared" ref="D23:V23" si="3">D22-D21</f>
        <v>-228</v>
      </c>
      <c r="E23" s="16">
        <f t="shared" si="3"/>
        <v>-66</v>
      </c>
      <c r="F23" s="16">
        <f t="shared" si="3"/>
        <v>-66</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82</v>
      </c>
      <c r="C28" s="15">
        <v>0.06</v>
      </c>
      <c r="D28" s="15">
        <v>1329</v>
      </c>
      <c r="E28" s="15">
        <v>904</v>
      </c>
      <c r="F28" s="15">
        <v>3395</v>
      </c>
      <c r="G28" s="15">
        <v>2.16</v>
      </c>
      <c r="H28" s="15">
        <v>5.99</v>
      </c>
      <c r="I28" s="15">
        <v>1</v>
      </c>
      <c r="J28" s="15">
        <v>0.1</v>
      </c>
      <c r="K28" s="23">
        <v>0.1</v>
      </c>
      <c r="L28" s="15">
        <v>1</v>
      </c>
      <c r="M28" s="15">
        <v>2</v>
      </c>
      <c r="N28" s="15"/>
      <c r="O28" s="15"/>
      <c r="P28" s="15">
        <v>1264</v>
      </c>
      <c r="Q28" s="15">
        <v>1854</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v>82</v>
      </c>
      <c r="C55" s="116">
        <v>46.5</v>
      </c>
      <c r="D55" s="117">
        <f>(B55/100)*C55</f>
        <v>38.129999999999995</v>
      </c>
      <c r="E55" s="117">
        <f>G55</f>
        <v>67.977999999999994</v>
      </c>
      <c r="F55" s="116">
        <v>82.9</v>
      </c>
      <c r="G55" s="117">
        <f>(B55/100)*F55</f>
        <v>67.977999999999994</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Arable</v>
      </c>
      <c r="E58" s="13" t="str">
        <f>F16&amp;" I "&amp;(VLOOKUP(F14,Table24581112[],6,FALSE))</f>
        <v>Medium/Clay I Arable</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6.7</v>
      </c>
      <c r="E59" s="76">
        <f>VLOOKUP(F$14,Table24581112[],5,FALSE)</f>
        <v>6.7</v>
      </c>
      <c r="F59" s="76">
        <f>VLOOKUP(G$14,Table24581112[],5,FALSE)</f>
        <v>6.2</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6" priority="44" operator="equal">
      <formula>"DECREASE"</formula>
    </cfRule>
    <cfRule type="cellIs" dxfId="255" priority="45" operator="equal">
      <formula>"INCREASE"</formula>
    </cfRule>
  </conditionalFormatting>
  <conditionalFormatting sqref="B38:B50 B62:U66">
    <cfRule type="cellIs" dxfId="254" priority="43" operator="greaterThan">
      <formula>$B$51</formula>
    </cfRule>
  </conditionalFormatting>
  <conditionalFormatting sqref="C31:C50">
    <cfRule type="cellIs" dxfId="253" priority="42" operator="greaterThan">
      <formula>$C$51</formula>
    </cfRule>
  </conditionalFormatting>
  <conditionalFormatting sqref="C18:V18">
    <cfRule type="cellIs" dxfId="252" priority="41" operator="equal">
      <formula>0</formula>
    </cfRule>
  </conditionalFormatting>
  <conditionalFormatting sqref="C17:V17">
    <cfRule type="cellIs" dxfId="251" priority="40" operator="equal">
      <formula>0</formula>
    </cfRule>
  </conditionalFormatting>
  <conditionalFormatting sqref="C19:V19">
    <cfRule type="cellIs" dxfId="250" priority="39" operator="equal">
      <formula>0</formula>
    </cfRule>
  </conditionalFormatting>
  <conditionalFormatting sqref="G31:G50">
    <cfRule type="cellIs" dxfId="249" priority="38" operator="greaterThan">
      <formula>$G$51</formula>
    </cfRule>
  </conditionalFormatting>
  <conditionalFormatting sqref="H31:H50">
    <cfRule type="cellIs" dxfId="248" priority="37" operator="greaterThan">
      <formula>$H$51</formula>
    </cfRule>
  </conditionalFormatting>
  <conditionalFormatting sqref="I31:I50">
    <cfRule type="cellIs" dxfId="247" priority="36" operator="greaterThan">
      <formula>$I$51</formula>
    </cfRule>
  </conditionalFormatting>
  <conditionalFormatting sqref="K31:K50">
    <cfRule type="cellIs" dxfId="246" priority="35" operator="greaterThan">
      <formula>$K$51</formula>
    </cfRule>
  </conditionalFormatting>
  <conditionalFormatting sqref="L31:L50">
    <cfRule type="cellIs" dxfId="245" priority="34" operator="greaterThan">
      <formula>$L$51</formula>
    </cfRule>
  </conditionalFormatting>
  <conditionalFormatting sqref="M31:M50">
    <cfRule type="cellIs" dxfId="244" priority="33" operator="greaterThan">
      <formula>$M$51</formula>
    </cfRule>
  </conditionalFormatting>
  <conditionalFormatting sqref="P31:P50">
    <cfRule type="cellIs" dxfId="243" priority="32" operator="greaterThan">
      <formula>$P$51</formula>
    </cfRule>
  </conditionalFormatting>
  <conditionalFormatting sqref="R31:R50">
    <cfRule type="cellIs" dxfId="242" priority="31" operator="greaterThan">
      <formula>$R$51</formula>
    </cfRule>
  </conditionalFormatting>
  <conditionalFormatting sqref="S31:S50">
    <cfRule type="cellIs" dxfId="241" priority="30" operator="greaterThan">
      <formula>$S$51</formula>
    </cfRule>
  </conditionalFormatting>
  <conditionalFormatting sqref="T31:T50">
    <cfRule type="cellIs" dxfId="240" priority="29" operator="greaterThan">
      <formula>$T$51</formula>
    </cfRule>
  </conditionalFormatting>
  <conditionalFormatting sqref="U31:U50">
    <cfRule type="cellIs" dxfId="239" priority="28" operator="greaterThan">
      <formula>$U$51</formula>
    </cfRule>
  </conditionalFormatting>
  <conditionalFormatting sqref="C22:V22">
    <cfRule type="cellIs" dxfId="238" priority="27" operator="equal">
      <formula>0</formula>
    </cfRule>
  </conditionalFormatting>
  <conditionalFormatting sqref="C24:V24">
    <cfRule type="cellIs" dxfId="237" priority="25" operator="equal">
      <formula>"DECREASE"</formula>
    </cfRule>
    <cfRule type="cellIs" dxfId="236" priority="26" operator="equal">
      <formula>"INCREASE"</formula>
    </cfRule>
  </conditionalFormatting>
  <conditionalFormatting sqref="C23:V23">
    <cfRule type="cellIs" dxfId="235" priority="24" operator="equal">
      <formula>0</formula>
    </cfRule>
  </conditionalFormatting>
  <conditionalFormatting sqref="C21:V21">
    <cfRule type="cellIs" dxfId="234" priority="20" operator="equal">
      <formula>0</formula>
    </cfRule>
  </conditionalFormatting>
  <conditionalFormatting sqref="B66:U66">
    <cfRule type="cellIs" dxfId="233" priority="18" operator="equal">
      <formula>"UNDER"</formula>
    </cfRule>
    <cfRule type="cellIs" dxfId="232" priority="19" operator="equal">
      <formula>"OVER"</formula>
    </cfRule>
  </conditionalFormatting>
  <conditionalFormatting sqref="J31:J50">
    <cfRule type="cellIs" dxfId="231" priority="15" operator="greaterThan">
      <formula>$J$51</formula>
    </cfRule>
  </conditionalFormatting>
  <conditionalFormatting sqref="L3">
    <cfRule type="cellIs" dxfId="230" priority="11" operator="lessThan">
      <formula>30</formula>
    </cfRule>
    <cfRule type="cellIs" dxfId="229" priority="12" operator="greaterThanOrEqual">
      <formula>30</formula>
    </cfRule>
  </conditionalFormatting>
  <conditionalFormatting sqref="B31:B37">
    <cfRule type="cellIs" dxfId="228" priority="4" operator="greaterThan">
      <formula>$B$51</formula>
    </cfRule>
  </conditionalFormatting>
  <conditionalFormatting sqref="I1">
    <cfRule type="cellIs" dxfId="227" priority="3" operator="between">
      <formula>0.1</formula>
      <formula>5</formula>
    </cfRule>
  </conditionalFormatting>
  <conditionalFormatting sqref="I2">
    <cfRule type="cellIs" dxfId="226" priority="2" operator="greaterThan">
      <formula>5000.1</formula>
    </cfRule>
  </conditionalFormatting>
  <conditionalFormatting sqref="I3">
    <cfRule type="cellIs" dxfId="225"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2" t="s">
        <v>41</v>
      </c>
      <c r="B1" s="122"/>
      <c r="C1" s="143" t="str">
        <f>Beechdean!C1:D1</f>
        <v>PAN-017507</v>
      </c>
      <c r="D1" s="144"/>
      <c r="E1" s="93" t="s">
        <v>45</v>
      </c>
      <c r="F1" s="39">
        <f>Beechdean!F1</f>
        <v>51.8</v>
      </c>
      <c r="G1" s="123" t="s">
        <v>43</v>
      </c>
      <c r="H1" s="124"/>
      <c r="I1" s="121">
        <v>6.84</v>
      </c>
      <c r="J1" s="122" t="s">
        <v>153</v>
      </c>
      <c r="K1" s="122"/>
      <c r="L1" s="121">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0" t="s">
        <v>176</v>
      </c>
      <c r="G2" s="141" t="s">
        <v>110</v>
      </c>
      <c r="H2" s="142"/>
      <c r="I2" s="121">
        <v>887</v>
      </c>
      <c r="J2" s="122" t="s">
        <v>158</v>
      </c>
      <c r="K2" s="122"/>
      <c r="L2" s="121">
        <v>8.11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78</v>
      </c>
      <c r="G3" s="122" t="s">
        <v>159</v>
      </c>
      <c r="H3" s="122"/>
      <c r="I3" s="120"/>
      <c r="J3" s="123" t="s">
        <v>154</v>
      </c>
      <c r="K3" s="124"/>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0" t="s">
        <v>177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52.275808900000001</v>
      </c>
      <c r="D18" s="16">
        <f>$D32</f>
        <v>52.275808900000001</v>
      </c>
      <c r="E18" s="16">
        <f>$D33</f>
        <v>44.807836200000004</v>
      </c>
      <c r="F18" s="16">
        <f>$D34</f>
        <v>44.807836200000004</v>
      </c>
      <c r="G18" s="16">
        <f>$D35</f>
        <v>52.275808900000001</v>
      </c>
      <c r="H18" s="16">
        <f>$D36</f>
        <v>52.275808900000001</v>
      </c>
      <c r="I18" s="16">
        <f>$D37</f>
        <v>52.275808900000001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-12.324191099999993</v>
      </c>
      <c r="D19" s="16">
        <f t="shared" ref="D19:V19" si="1">D18-D17</f>
        <v>-12.324191099999993</v>
      </c>
      <c r="E19" s="16">
        <f t="shared" si="1"/>
        <v>-1.9421637999999959</v>
      </c>
      <c r="F19" s="16">
        <f t="shared" si="1"/>
        <v>-1.9421637999999959</v>
      </c>
      <c r="G19" s="16">
        <f t="shared" si="1"/>
        <v>-12.324191099999993</v>
      </c>
      <c r="H19" s="16">
        <f t="shared" si="1"/>
        <v>-12.324191099999993</v>
      </c>
      <c r="I19" s="16">
        <f t="shared" si="1"/>
        <v>-12.324191099999993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10.775290750000002</v>
      </c>
      <c r="D22" s="16">
        <f>$E32</f>
        <v>10.775290750000002</v>
      </c>
      <c r="E22" s="16">
        <f>$E33</f>
        <v>9.2359635000000022</v>
      </c>
      <c r="F22" s="16">
        <f>$E34</f>
        <v>9.2359635000000022</v>
      </c>
      <c r="G22" s="16">
        <f>$E35</f>
        <v>10.775290750000002</v>
      </c>
      <c r="H22" s="16">
        <f>$E36</f>
        <v>10.775290750000002</v>
      </c>
      <c r="I22" s="16">
        <f>$E37</f>
        <v>10.775290750000002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-217.22470924999999</v>
      </c>
      <c r="D23" s="16">
        <f t="shared" ref="D23:V23" si="3">D22-D21</f>
        <v>-217.22470924999999</v>
      </c>
      <c r="E23" s="16">
        <f t="shared" si="3"/>
        <v>-56.764036499999996</v>
      </c>
      <c r="F23" s="16">
        <f t="shared" si="3"/>
        <v>-56.764036499999996</v>
      </c>
      <c r="G23" s="16">
        <f t="shared" si="3"/>
        <v>-217.22470924999999</v>
      </c>
      <c r="H23" s="16">
        <f t="shared" si="3"/>
        <v>-217.22470924999999</v>
      </c>
      <c r="I23" s="16">
        <f t="shared" si="3"/>
        <v>-217.22470924999999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25">
      <c r="A28" s="108"/>
      <c r="B28" s="24">
        <v>8.81</v>
      </c>
      <c r="C28" s="15">
        <v>8.11</v>
      </c>
      <c r="D28" s="15">
        <v>1.85</v>
      </c>
      <c r="E28" s="15">
        <v>0.72499999999999998</v>
      </c>
      <c r="F28" s="15">
        <v>0.25900000000000001</v>
      </c>
      <c r="G28" s="15">
        <v>29.7</v>
      </c>
      <c r="H28" s="15">
        <v>337</v>
      </c>
      <c r="I28" s="15">
        <v>4.2300000000000004</v>
      </c>
      <c r="J28" s="15">
        <v>0.1</v>
      </c>
      <c r="K28" s="23">
        <v>0.1</v>
      </c>
      <c r="L28" s="15">
        <v>21.1</v>
      </c>
      <c r="M28" s="15">
        <v>65.599999999999994</v>
      </c>
      <c r="N28" s="15"/>
      <c r="O28" s="15"/>
      <c r="P28" s="15">
        <v>1.04</v>
      </c>
      <c r="Q28" s="15">
        <v>1.69</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14</v>
      </c>
      <c r="C31" s="77">
        <f>IF(C$27="%w/w SAR",((C$28*10)*$B31),IF(C$27="%w/w DM",(((C$28*10)*($B$28/100))*$B31),IF(C$27="kg/t SAR",(C$28*$B31),IF(C$27="kg/t DM",((C$28*($B$28/100))*$B31),IF(C$27="mg/kg SAR",((C$28*0.001)*$B31),IF(C$27="mg/kg DM",(((C$28*0.001)*($B$28/100))*$B31),0))))))</f>
        <v>100.02874</v>
      </c>
      <c r="D31" s="77">
        <f>(IF(D$27="%w/w SAR",((D$28*10)*$B31),IF(D$27="%w/w DM",(((D$28*10)*($B$28/100))*$B31),IF(D$27="kg/t SAR",(D$28*$B31),IF(D$27="kg/t DM",((D$28*($B$28/100))*$B31),IF(D$27="mg/kg SAR",((D$28*0.001)*$B31),IF(D$27="mg/kg DM",(((D$28*0.001)*($B$28/100))*$B31),"0")))))))*2.291</f>
        <v>52.275808900000001</v>
      </c>
      <c r="E31" s="77">
        <f>(IF(E$27="%w/w SAR",((E$28*10)*$B31),IF(E$27="%w/w DM",(((E$28*10)*($B$28/100))*$B31),IF(E$27="kg/t SAR",(E$28*$B31),IF(E$27="kg/t DM",((E$28*($B$28/100))*$B31),IF(E$27="mg/kg SAR",((E$28*0.001)*$B31),IF(E$27="mg/kg DM",(((E$28*0.001)*($B$28/100))*$B31),"0")))))))*1.205</f>
        <v>10.775290750000002</v>
      </c>
      <c r="F31" s="77">
        <f>(IF(F$27="%w/w SAR",((F$28*10)*$B31),IF(F$27="%w/w DM",(((F$28*10)*($B$28/100))*$B31),IF(F$27="kg/t SAR",(F$28*$B31),IF(F$27="kg/t DM",((F$28*($B$28/100))*$B31),IF(F$27="mg/kg SAR",((F$28*0.001)*$B31),IF(F$27="mg/kg DM",(((F$28*0.001)*($B$28/100))*$B31),"0")))))))*1.658</f>
        <v>5.2964909480000006</v>
      </c>
      <c r="G31" s="77">
        <f t="shared" ref="G31:P46" si="5">IF(G$27="%w/w SAR",((G$28*10)*$B31),IF(G$27="%w/w DM",(((G$28*10)*($B$28/100))*$B31),IF(G$27="kg/t SAR",(G$28*$B31),IF(G$27="kg/t DM",((G$28*($B$28/100))*$B31),IF(G$27="mg/kg SAR",((G$28*0.001)*$B31),IF(G$27="mg/kg DM",(((G$28*0.001)*($B$28/100))*$B31),0))))))</f>
        <v>3.6631980000000008E-2</v>
      </c>
      <c r="H31" s="77">
        <f t="shared" si="5"/>
        <v>0.41565580000000008</v>
      </c>
      <c r="I31" s="77">
        <f t="shared" si="5"/>
        <v>5.217282000000001E-3</v>
      </c>
      <c r="J31" s="77">
        <f t="shared" si="5"/>
        <v>1.2334000000000002E-4</v>
      </c>
      <c r="K31" s="77">
        <f t="shared" si="5"/>
        <v>1.2334000000000002E-4</v>
      </c>
      <c r="L31" s="77">
        <f t="shared" si="5"/>
        <v>2.6024740000000005E-2</v>
      </c>
      <c r="M31" s="77">
        <f t="shared" si="5"/>
        <v>8.0911040000000004E-2</v>
      </c>
      <c r="N31" s="77">
        <f t="shared" si="5"/>
        <v>0</v>
      </c>
      <c r="O31" s="77">
        <f t="shared" si="5"/>
        <v>0</v>
      </c>
      <c r="P31" s="77">
        <f t="shared" si="5"/>
        <v>12.827360000000002</v>
      </c>
      <c r="Q31" s="77">
        <f>(IF(Q$27="%w/w SAR",((Q$28*10)*$B31),IF(Q$27="%w/w DM",(((Q$28*10)*($B$28/100))*$B31),IF(Q$27="kg/t SAR",(Q$28*$B31),IF(Q$27="kg/t DM",((Q$28*($B$28/100))*$B31),IF(Q$27="mg/kg SAR",((Q$28*0.001)*$B31),IF(Q$27="mg/kg DM",(((Q$28*0.001)*($B$28/100))*$B31),0)))))))*2.5</f>
        <v>52.111150000000002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14</v>
      </c>
      <c r="C32" s="77">
        <f t="shared" ref="C32:C50" si="6">IF(C$27="%w/w SAR",((C$28*10)*$B32),IF(C$27="%w/w DM",(((C$28*10)*($B$28/100))*$B32),IF(C$27="kg/t SAR",(C$28*$B32),IF(C$27="kg/t DM",((C$28*($B$28/100))*$B32),IF(C$27="mg/kg SAR",((C$28*0.001)*$B32),IF(C$27="mg/kg DM",(((C$28*0.001)*($B$28/100))*$B32),0))))))</f>
        <v>100.02874</v>
      </c>
      <c r="D32" s="77">
        <f t="shared" ref="D32:D50" si="7">(IF(D$27="%w/w SAR",((D$28*10)*$B32),IF(D$27="%w/w DM",(((D$28*10)*($B$28/100))*$B32),IF(D$27="kg/t SAR",(D$28*$B32),IF(D$27="kg/t DM",((D$28*($B$28/100))*$B32),IF(D$27="mg/kg SAR",((D$28*0.001)*$B32),IF(D$27="mg/kg DM",(((D$28*0.001)*($B$28/100))*$B32),"0")))))))*2.291</f>
        <v>52.275808900000001</v>
      </c>
      <c r="E32" s="77">
        <f t="shared" ref="E32:E50" si="8">(IF(E$27="%w/w SAR",((E$28*10)*$B32),IF(E$27="%w/w DM",(((E$28*10)*($B$28/100))*$B32),IF(E$27="kg/t SAR",(E$28*$B32),IF(E$27="kg/t DM",((E$28*($B$28/100))*$B32),IF(E$27="mg/kg SAR",((E$28*0.001)*$B32),IF(E$27="mg/kg DM",(((E$28*0.001)*($B$28/100))*$B32),"0")))))))*1.205</f>
        <v>10.775290750000002</v>
      </c>
      <c r="F32" s="77">
        <f t="shared" ref="F32:F50" si="9">(IF(F$27="%w/w SAR",((F$28*10)*$B32),IF(F$27="%w/w DM",(((F$28*10)*($B$28/100))*$B32),IF(F$27="kg/t SAR",(F$28*$B32),IF(F$27="kg/t DM",((F$28*($B$28/100))*$B32),IF(F$27="mg/kg SAR",((F$28*0.001)*$B32),IF(F$27="mg/kg DM",(((F$28*0.001)*($B$28/100))*$B32),"0")))))))*1.658</f>
        <v>5.2964909480000006</v>
      </c>
      <c r="G32" s="77">
        <f t="shared" si="5"/>
        <v>3.6631980000000008E-2</v>
      </c>
      <c r="H32" s="77">
        <f t="shared" si="5"/>
        <v>0.41565580000000008</v>
      </c>
      <c r="I32" s="77">
        <f t="shared" si="5"/>
        <v>5.217282000000001E-3</v>
      </c>
      <c r="J32" s="77">
        <f t="shared" si="5"/>
        <v>1.2334000000000002E-4</v>
      </c>
      <c r="K32" s="77">
        <f t="shared" si="5"/>
        <v>1.2334000000000002E-4</v>
      </c>
      <c r="L32" s="77">
        <f t="shared" si="5"/>
        <v>2.6024740000000005E-2</v>
      </c>
      <c r="M32" s="77">
        <f t="shared" si="5"/>
        <v>8.0911040000000004E-2</v>
      </c>
      <c r="N32" s="77">
        <f t="shared" si="5"/>
        <v>0</v>
      </c>
      <c r="O32" s="77">
        <f t="shared" si="5"/>
        <v>0</v>
      </c>
      <c r="P32" s="77">
        <f t="shared" si="5"/>
        <v>12.827360000000002</v>
      </c>
      <c r="Q32" s="77">
        <f t="shared" ref="Q32:Q50" si="10">(IF(Q$27="%w/w SAR",((Q$28*10)*$B32),IF(Q$27="%w/w DM",(((Q$28*10)*($B$28/100))*$B32),IF(Q$27="kg/t SAR",(Q$28*$B32),IF(Q$27="kg/t DM",((Q$28*($B$28/100))*$B32),IF(Q$27="mg/kg SAR",((Q$28*0.001)*$B32),IF(Q$27="mg/kg DM",(((Q$28*0.001)*($B$28/100))*$B32),0)))))))*2.5</f>
        <v>52.111150000000002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12</v>
      </c>
      <c r="C33" s="77">
        <f t="shared" si="6"/>
        <v>85.738920000000007</v>
      </c>
      <c r="D33" s="77">
        <f t="shared" si="7"/>
        <v>44.807836200000004</v>
      </c>
      <c r="E33" s="77">
        <f t="shared" si="8"/>
        <v>9.2359635000000022</v>
      </c>
      <c r="F33" s="77">
        <f t="shared" si="9"/>
        <v>4.539849384</v>
      </c>
      <c r="G33" s="77">
        <f t="shared" si="5"/>
        <v>3.1398840000000004E-2</v>
      </c>
      <c r="H33" s="77">
        <f t="shared" si="5"/>
        <v>0.35627640000000005</v>
      </c>
      <c r="I33" s="77">
        <f t="shared" si="5"/>
        <v>4.4719560000000009E-3</v>
      </c>
      <c r="J33" s="77">
        <f t="shared" si="5"/>
        <v>1.0572000000000002E-4</v>
      </c>
      <c r="K33" s="77">
        <f t="shared" si="5"/>
        <v>1.0572000000000002E-4</v>
      </c>
      <c r="L33" s="77">
        <f t="shared" si="5"/>
        <v>2.2306920000000004E-2</v>
      </c>
      <c r="M33" s="77">
        <f t="shared" si="5"/>
        <v>6.9352319999999995E-2</v>
      </c>
      <c r="N33" s="77">
        <f t="shared" si="5"/>
        <v>0</v>
      </c>
      <c r="O33" s="77">
        <f t="shared" si="5"/>
        <v>0</v>
      </c>
      <c r="P33" s="77">
        <f t="shared" si="5"/>
        <v>10.994880000000002</v>
      </c>
      <c r="Q33" s="77">
        <f t="shared" si="10"/>
        <v>44.666700000000006</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12</v>
      </c>
      <c r="C34" s="77">
        <f t="shared" si="6"/>
        <v>85.738920000000007</v>
      </c>
      <c r="D34" s="77">
        <f t="shared" si="7"/>
        <v>44.807836200000004</v>
      </c>
      <c r="E34" s="77">
        <f t="shared" si="8"/>
        <v>9.2359635000000022</v>
      </c>
      <c r="F34" s="77">
        <f t="shared" si="9"/>
        <v>4.539849384</v>
      </c>
      <c r="G34" s="77">
        <f t="shared" si="5"/>
        <v>3.1398840000000004E-2</v>
      </c>
      <c r="H34" s="77">
        <f t="shared" si="5"/>
        <v>0.35627640000000005</v>
      </c>
      <c r="I34" s="77">
        <f t="shared" si="5"/>
        <v>4.4719560000000009E-3</v>
      </c>
      <c r="J34" s="77">
        <f t="shared" si="5"/>
        <v>1.0572000000000002E-4</v>
      </c>
      <c r="K34" s="77">
        <f t="shared" si="5"/>
        <v>1.0572000000000002E-4</v>
      </c>
      <c r="L34" s="77">
        <f t="shared" si="5"/>
        <v>2.2306920000000004E-2</v>
      </c>
      <c r="M34" s="77">
        <f t="shared" si="5"/>
        <v>6.9352319999999995E-2</v>
      </c>
      <c r="N34" s="77">
        <f t="shared" si="5"/>
        <v>0</v>
      </c>
      <c r="O34" s="77">
        <f t="shared" si="5"/>
        <v>0</v>
      </c>
      <c r="P34" s="77">
        <f t="shared" si="5"/>
        <v>10.994880000000002</v>
      </c>
      <c r="Q34" s="77">
        <f t="shared" si="10"/>
        <v>44.666700000000006</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14</v>
      </c>
      <c r="C35" s="77">
        <f t="shared" si="6"/>
        <v>100.02874</v>
      </c>
      <c r="D35" s="77">
        <f t="shared" si="7"/>
        <v>52.275808900000001</v>
      </c>
      <c r="E35" s="77">
        <f t="shared" si="8"/>
        <v>10.775290750000002</v>
      </c>
      <c r="F35" s="77">
        <f t="shared" si="9"/>
        <v>5.2964909480000006</v>
      </c>
      <c r="G35" s="77">
        <f t="shared" si="5"/>
        <v>3.6631980000000008E-2</v>
      </c>
      <c r="H35" s="77">
        <f t="shared" si="5"/>
        <v>0.41565580000000008</v>
      </c>
      <c r="I35" s="77">
        <f t="shared" si="5"/>
        <v>5.217282000000001E-3</v>
      </c>
      <c r="J35" s="77">
        <f t="shared" si="5"/>
        <v>1.2334000000000002E-4</v>
      </c>
      <c r="K35" s="77">
        <f t="shared" si="5"/>
        <v>1.2334000000000002E-4</v>
      </c>
      <c r="L35" s="77">
        <f t="shared" si="5"/>
        <v>2.6024740000000005E-2</v>
      </c>
      <c r="M35" s="77">
        <f t="shared" si="5"/>
        <v>8.0911040000000004E-2</v>
      </c>
      <c r="N35" s="77">
        <f t="shared" si="5"/>
        <v>0</v>
      </c>
      <c r="O35" s="77">
        <f t="shared" si="5"/>
        <v>0</v>
      </c>
      <c r="P35" s="77">
        <f t="shared" si="5"/>
        <v>12.827360000000002</v>
      </c>
      <c r="Q35" s="77">
        <f t="shared" si="10"/>
        <v>52.111150000000002</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14</v>
      </c>
      <c r="C36" s="77">
        <f t="shared" si="6"/>
        <v>100.02874</v>
      </c>
      <c r="D36" s="77">
        <f t="shared" si="7"/>
        <v>52.275808900000001</v>
      </c>
      <c r="E36" s="77">
        <f t="shared" si="8"/>
        <v>10.775290750000002</v>
      </c>
      <c r="F36" s="77">
        <f t="shared" si="9"/>
        <v>5.2964909480000006</v>
      </c>
      <c r="G36" s="77">
        <f t="shared" si="5"/>
        <v>3.6631980000000008E-2</v>
      </c>
      <c r="H36" s="77">
        <f t="shared" si="5"/>
        <v>0.41565580000000008</v>
      </c>
      <c r="I36" s="77">
        <f t="shared" si="5"/>
        <v>5.217282000000001E-3</v>
      </c>
      <c r="J36" s="77">
        <f t="shared" si="5"/>
        <v>1.2334000000000002E-4</v>
      </c>
      <c r="K36" s="77">
        <f t="shared" si="5"/>
        <v>1.2334000000000002E-4</v>
      </c>
      <c r="L36" s="77">
        <f t="shared" si="5"/>
        <v>2.6024740000000005E-2</v>
      </c>
      <c r="M36" s="77">
        <f t="shared" si="5"/>
        <v>8.0911040000000004E-2</v>
      </c>
      <c r="N36" s="77">
        <f t="shared" si="5"/>
        <v>0</v>
      </c>
      <c r="O36" s="77">
        <f t="shared" si="5"/>
        <v>0</v>
      </c>
      <c r="P36" s="77">
        <f t="shared" si="5"/>
        <v>12.827360000000002</v>
      </c>
      <c r="Q36" s="77">
        <f t="shared" si="10"/>
        <v>52.111150000000002</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14</v>
      </c>
      <c r="C37" s="77">
        <f t="shared" si="6"/>
        <v>100.02874</v>
      </c>
      <c r="D37" s="77">
        <f t="shared" si="7"/>
        <v>52.275808900000001</v>
      </c>
      <c r="E37" s="77">
        <f t="shared" si="8"/>
        <v>10.775290750000002</v>
      </c>
      <c r="F37" s="77">
        <f t="shared" si="9"/>
        <v>5.2964909480000006</v>
      </c>
      <c r="G37" s="77">
        <f t="shared" si="5"/>
        <v>3.6631980000000008E-2</v>
      </c>
      <c r="H37" s="77">
        <f t="shared" si="5"/>
        <v>0.41565580000000008</v>
      </c>
      <c r="I37" s="77">
        <f t="shared" si="5"/>
        <v>5.217282000000001E-3</v>
      </c>
      <c r="J37" s="77">
        <f t="shared" si="5"/>
        <v>1.2334000000000002E-4</v>
      </c>
      <c r="K37" s="77">
        <f t="shared" si="5"/>
        <v>1.2334000000000002E-4</v>
      </c>
      <c r="L37" s="77">
        <f t="shared" si="5"/>
        <v>2.6024740000000005E-2</v>
      </c>
      <c r="M37" s="77">
        <f t="shared" si="5"/>
        <v>8.0911040000000004E-2</v>
      </c>
      <c r="N37" s="77">
        <f t="shared" si="5"/>
        <v>0</v>
      </c>
      <c r="O37" s="77">
        <f t="shared" si="5"/>
        <v>0</v>
      </c>
      <c r="P37" s="77">
        <f t="shared" si="5"/>
        <v>12.827360000000002</v>
      </c>
      <c r="Q37" s="77">
        <f t="shared" si="10"/>
        <v>52.111150000000002</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Arable</v>
      </c>
      <c r="E58" s="13" t="str">
        <f>F16&amp;" I "&amp;(VLOOKUP(F14,Table24581114[],6,FALSE))</f>
        <v>Medium/Clay I Arable</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6.7</v>
      </c>
      <c r="E59" s="76">
        <f>VLOOKUP(F$14,Table24581114[],5,FALSE)</f>
        <v>6.7</v>
      </c>
      <c r="F59" s="76">
        <f>VLOOKUP(G$14,Table24581114[],5,FALSE)</f>
        <v>6.2</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14</v>
      </c>
      <c r="C62" s="77">
        <f>B32</f>
        <v>14</v>
      </c>
      <c r="D62" s="77">
        <f>B33</f>
        <v>12</v>
      </c>
      <c r="E62" s="77">
        <f>B34</f>
        <v>12</v>
      </c>
      <c r="F62" s="77">
        <f>B35</f>
        <v>14</v>
      </c>
      <c r="G62" s="77">
        <f>B36</f>
        <v>14</v>
      </c>
      <c r="H62" s="77">
        <f>B37</f>
        <v>14</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00" priority="46" operator="equal">
      <formula>"DECREASE"</formula>
    </cfRule>
    <cfRule type="cellIs" dxfId="299" priority="47" operator="equal">
      <formula>"INCREASE"</formula>
    </cfRule>
  </conditionalFormatting>
  <conditionalFormatting sqref="B62:U66">
    <cfRule type="cellIs" dxfId="298" priority="45" operator="greaterThan">
      <formula>$B$51</formula>
    </cfRule>
  </conditionalFormatting>
  <conditionalFormatting sqref="C31:C50">
    <cfRule type="cellIs" dxfId="297" priority="44" operator="greaterThan">
      <formula>$C$51</formula>
    </cfRule>
  </conditionalFormatting>
  <conditionalFormatting sqref="C18:V18">
    <cfRule type="cellIs" dxfId="296" priority="43" operator="equal">
      <formula>0</formula>
    </cfRule>
  </conditionalFormatting>
  <conditionalFormatting sqref="C17:V17">
    <cfRule type="cellIs" dxfId="295" priority="42" operator="equal">
      <formula>0</formula>
    </cfRule>
  </conditionalFormatting>
  <conditionalFormatting sqref="C19:V19">
    <cfRule type="cellIs" dxfId="294" priority="41" operator="equal">
      <formula>0</formula>
    </cfRule>
  </conditionalFormatting>
  <conditionalFormatting sqref="G31:G50">
    <cfRule type="cellIs" dxfId="293" priority="40" operator="greaterThan">
      <formula>$G$51</formula>
    </cfRule>
  </conditionalFormatting>
  <conditionalFormatting sqref="H31:H50">
    <cfRule type="cellIs" dxfId="292" priority="39" operator="greaterThan">
      <formula>$H$51</formula>
    </cfRule>
  </conditionalFormatting>
  <conditionalFormatting sqref="I31:I50">
    <cfRule type="cellIs" dxfId="291" priority="38" operator="greaterThan">
      <formula>$I$51</formula>
    </cfRule>
  </conditionalFormatting>
  <conditionalFormatting sqref="K31:K50">
    <cfRule type="cellIs" dxfId="290" priority="37" operator="greaterThan">
      <formula>$K$51</formula>
    </cfRule>
  </conditionalFormatting>
  <conditionalFormatting sqref="L31:L50">
    <cfRule type="cellIs" dxfId="289" priority="36" operator="greaterThan">
      <formula>$L$51</formula>
    </cfRule>
  </conditionalFormatting>
  <conditionalFormatting sqref="M31:M50">
    <cfRule type="cellIs" dxfId="288" priority="35" operator="greaterThan">
      <formula>$M$51</formula>
    </cfRule>
  </conditionalFormatting>
  <conditionalFormatting sqref="P31:P50">
    <cfRule type="cellIs" dxfId="287" priority="34" operator="greaterThan">
      <formula>$P$51</formula>
    </cfRule>
  </conditionalFormatting>
  <conditionalFormatting sqref="R31:R50">
    <cfRule type="cellIs" dxfId="286" priority="33" operator="greaterThan">
      <formula>$R$51</formula>
    </cfRule>
  </conditionalFormatting>
  <conditionalFormatting sqref="S31:S50">
    <cfRule type="cellIs" dxfId="285" priority="32" operator="greaterThan">
      <formula>$S$51</formula>
    </cfRule>
  </conditionalFormatting>
  <conditionalFormatting sqref="T31:T50">
    <cfRule type="cellIs" dxfId="284" priority="31" operator="greaterThan">
      <formula>$T$51</formula>
    </cfRule>
  </conditionalFormatting>
  <conditionalFormatting sqref="U31:U50">
    <cfRule type="cellIs" dxfId="283" priority="30" operator="greaterThan">
      <formula>$U$51</formula>
    </cfRule>
  </conditionalFormatting>
  <conditionalFormatting sqref="C22:V22">
    <cfRule type="cellIs" dxfId="282" priority="29" operator="equal">
      <formula>0</formula>
    </cfRule>
  </conditionalFormatting>
  <conditionalFormatting sqref="C24:V24">
    <cfRule type="cellIs" dxfId="281" priority="27" operator="equal">
      <formula>"DECREASE"</formula>
    </cfRule>
    <cfRule type="cellIs" dxfId="280" priority="28" operator="equal">
      <formula>"INCREASE"</formula>
    </cfRule>
  </conditionalFormatting>
  <conditionalFormatting sqref="C23:V23">
    <cfRule type="cellIs" dxfId="279" priority="26" operator="equal">
      <formula>0</formula>
    </cfRule>
  </conditionalFormatting>
  <conditionalFormatting sqref="C21:V21">
    <cfRule type="cellIs" dxfId="278" priority="22" operator="equal">
      <formula>0</formula>
    </cfRule>
  </conditionalFormatting>
  <conditionalFormatting sqref="B66:U66">
    <cfRule type="cellIs" dxfId="277" priority="20" operator="equal">
      <formula>"UNDER"</formula>
    </cfRule>
    <cfRule type="cellIs" dxfId="276" priority="21" operator="equal">
      <formula>"OVER"</formula>
    </cfRule>
  </conditionalFormatting>
  <conditionalFormatting sqref="J31:J50">
    <cfRule type="cellIs" dxfId="275" priority="17" operator="greaterThan">
      <formula>$J$51</formula>
    </cfRule>
  </conditionalFormatting>
  <conditionalFormatting sqref="L3">
    <cfRule type="cellIs" dxfId="274" priority="13" operator="lessThan">
      <formula>30</formula>
    </cfRule>
    <cfRule type="cellIs" dxfId="273" priority="14" operator="greaterThanOrEqual">
      <formula>30</formula>
    </cfRule>
  </conditionalFormatting>
  <conditionalFormatting sqref="I3">
    <cfRule type="cellIs" dxfId="272" priority="7" operator="greaterThan">
      <formula>40000.01</formula>
    </cfRule>
  </conditionalFormatting>
  <conditionalFormatting sqref="B38:B50">
    <cfRule type="cellIs" dxfId="271" priority="6" operator="greaterThan">
      <formula>$B$51</formula>
    </cfRule>
  </conditionalFormatting>
  <conditionalFormatting sqref="B31:B37">
    <cfRule type="cellIs" dxfId="270" priority="5" operator="greaterThan">
      <formula>$B$51</formula>
    </cfRule>
  </conditionalFormatting>
  <conditionalFormatting sqref="I1">
    <cfRule type="cellIs" dxfId="269" priority="2" operator="between">
      <formula>0.1</formula>
      <formula>5</formula>
    </cfRule>
  </conditionalFormatting>
  <conditionalFormatting sqref="I2">
    <cfRule type="cellIs" dxfId="268" priority="1" operator="greaterThan">
      <formula>5000.1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2" t="s">
        <v>41</v>
      </c>
      <c r="B1" s="122"/>
      <c r="C1" s="143" t="str">
        <f>Beechdean!C1:D1</f>
        <v>PAN-017507</v>
      </c>
      <c r="D1" s="144"/>
      <c r="E1" s="93" t="s">
        <v>45</v>
      </c>
      <c r="F1" s="39">
        <f>Beechdean!F1</f>
        <v>51.8</v>
      </c>
      <c r="G1" s="123" t="s">
        <v>43</v>
      </c>
      <c r="H1" s="124"/>
      <c r="I1" s="120">
        <v>5.33</v>
      </c>
      <c r="J1" s="122" t="s">
        <v>153</v>
      </c>
      <c r="K1" s="122"/>
      <c r="L1" s="120">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0" t="s">
        <v>176</v>
      </c>
      <c r="G2" s="141" t="s">
        <v>110</v>
      </c>
      <c r="H2" s="142"/>
      <c r="I2" s="120">
        <v>890</v>
      </c>
      <c r="J2" s="122" t="s">
        <v>158</v>
      </c>
      <c r="K2" s="122"/>
      <c r="L2" s="120">
        <v>0.04</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78</v>
      </c>
      <c r="G3" s="122" t="s">
        <v>159</v>
      </c>
      <c r="H3" s="122"/>
      <c r="I3" s="118"/>
      <c r="J3" s="123" t="s">
        <v>154</v>
      </c>
      <c r="K3" s="124"/>
      <c r="L3" s="97">
        <f>(L1/(L2*10000))*100</f>
        <v>60.5</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0" t="s">
        <v>178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54.525799999999997</v>
      </c>
      <c r="D18" s="16">
        <f>$D32</f>
        <v>54.525799999999997</v>
      </c>
      <c r="E18" s="16">
        <f>$D33</f>
        <v>44.903600000000004</v>
      </c>
      <c r="F18" s="16">
        <f>$D34</f>
        <v>44.903600000000004</v>
      </c>
      <c r="G18" s="16">
        <f>$D35</f>
        <v>54.525799999999997</v>
      </c>
      <c r="H18" s="16">
        <f>$D36</f>
        <v>54.525799999999997</v>
      </c>
      <c r="I18" s="16">
        <f>$D37</f>
        <v>54.525799999999997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-10.074199999999998</v>
      </c>
      <c r="D19" s="16">
        <f t="shared" ref="D19:V19" si="1">D18-D17</f>
        <v>-10.074199999999998</v>
      </c>
      <c r="E19" s="16">
        <f t="shared" si="1"/>
        <v>-1.8463999999999956</v>
      </c>
      <c r="F19" s="16">
        <f t="shared" si="1"/>
        <v>-1.8463999999999956</v>
      </c>
      <c r="G19" s="16">
        <f t="shared" si="1"/>
        <v>-10.074199999999998</v>
      </c>
      <c r="H19" s="16">
        <f t="shared" si="1"/>
        <v>-10.074199999999998</v>
      </c>
      <c r="I19" s="16">
        <f t="shared" si="1"/>
        <v>-10.074199999999998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57.767700000000012</v>
      </c>
      <c r="D22" s="16">
        <f>$E32</f>
        <v>57.767700000000012</v>
      </c>
      <c r="E22" s="16">
        <f>$E33</f>
        <v>47.573400000000007</v>
      </c>
      <c r="F22" s="16">
        <f>$E34</f>
        <v>47.573400000000007</v>
      </c>
      <c r="G22" s="16">
        <f>$E35</f>
        <v>57.767700000000012</v>
      </c>
      <c r="H22" s="16">
        <f>$E36</f>
        <v>57.767700000000012</v>
      </c>
      <c r="I22" s="16">
        <f>$E37</f>
        <v>57.767700000000012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-170.23229999999998</v>
      </c>
      <c r="D23" s="16">
        <f t="shared" ref="D23:V23" si="3">D22-D21</f>
        <v>-170.23229999999998</v>
      </c>
      <c r="E23" s="16">
        <f t="shared" si="3"/>
        <v>-18.426599999999993</v>
      </c>
      <c r="F23" s="16">
        <f t="shared" si="3"/>
        <v>-18.426599999999993</v>
      </c>
      <c r="G23" s="16">
        <f t="shared" si="3"/>
        <v>-170.23229999999998</v>
      </c>
      <c r="H23" s="16">
        <f t="shared" si="3"/>
        <v>-170.23229999999998</v>
      </c>
      <c r="I23" s="16">
        <f t="shared" si="3"/>
        <v>-170.23229999999998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55</v>
      </c>
      <c r="S27" s="107" t="s">
        <v>55</v>
      </c>
      <c r="T27" s="107" t="s">
        <v>55</v>
      </c>
      <c r="U27" s="107" t="s">
        <v>55</v>
      </c>
    </row>
    <row r="28" spans="1:40" s="57" customFormat="1" x14ac:dyDescent="0.2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170</v>
      </c>
      <c r="C31" s="77">
        <f>IF(C$27="%w/w SAR",((C$28*10)*$B31),IF(C$27="%w/w DM",(((C$28*10)*($B$28/100))*$B31),IF(C$27="kg/t SAR",(C$28*$B31),IF(C$27="kg/t DM",((C$28*($B$28/100))*$B31),IF(C$27="mg/kg SAR",((C$28*0.001)*$B31),IF(C$27="mg/kg DM",(((C$28*0.001)*($B$28/100))*$B31),0))))))</f>
        <v>68</v>
      </c>
      <c r="D31" s="77">
        <f>(IF(D$27="%w/w SAR",((D$28*10)*$B31),IF(D$27="%w/w DM",(((D$28*10)*($B$28/100))*$B31),IF(D$27="kg/t SAR",(D$28*$B31),IF(D$27="kg/t DM",((D$28*($B$28/100))*$B31),IF(D$27="mg/kg SAR",((D$28*0.001)*$B31),IF(D$27="mg/kg DM",(((D$28*0.001)*($B$28/100))*$B31),"0")))))))*2.291</f>
        <v>54.525799999999997</v>
      </c>
      <c r="E31" s="77">
        <f>(IF(E$27="%w/w SAR",((E$28*10)*$B31),IF(E$27="%w/w DM",(((E$28*10)*($B$28/100))*$B31),IF(E$27="kg/t SAR",(E$28*$B31),IF(E$27="kg/t DM",((E$28*($B$28/100))*$B31),IF(E$27="mg/kg SAR",((E$28*0.001)*$B31),IF(E$27="mg/kg DM",(((E$28*0.001)*($B$28/100))*$B31),"0")))))))*1.205</f>
        <v>57.767700000000012</v>
      </c>
      <c r="F31" s="77">
        <f>(IF(F$27="%w/w SAR",((F$28*10)*$B31),IF(F$27="%w/w DM",(((F$28*10)*($B$28/100))*$B31),IF(F$27="kg/t SAR",(F$28*$B31),IF(F$27="kg/t DM",((F$28*($B$28/100))*$B31),IF(F$27="mg/kg SAR",((F$28*0.001)*$B31),IF(F$27="mg/kg DM",(((F$28*0.001)*($B$28/100))*$B31),"0")))))))*1.658</f>
        <v>9.6959839999999993</v>
      </c>
      <c r="G31" s="77">
        <f t="shared" ref="G31:P46" si="5">IF(G$27="%w/w SAR",((G$28*10)*$B31),IF(G$27="%w/w DM",(((G$28*10)*($B$28/100))*$B31),IF(G$27="kg/t SAR",(G$28*$B31),IF(G$27="kg/t DM",((G$28*($B$28/100))*$B31),IF(G$27="mg/kg SAR",((G$28*0.001)*$B31),IF(G$27="mg/kg DM",(((G$28*0.001)*($B$28/100))*$B31),0))))))</f>
        <v>0.27710000000000001</v>
      </c>
      <c r="H31" s="77">
        <f t="shared" si="5"/>
        <v>8.5000000000000006E-2</v>
      </c>
      <c r="I31" s="77">
        <f t="shared" si="5"/>
        <v>8.5000000000000006E-2</v>
      </c>
      <c r="J31" s="77">
        <f t="shared" si="5"/>
        <v>1.7000000000000001E-3</v>
      </c>
      <c r="K31" s="77">
        <f t="shared" si="5"/>
        <v>8.5000000000000006E-3</v>
      </c>
      <c r="L31" s="77">
        <f t="shared" si="5"/>
        <v>3.4000000000000002E-2</v>
      </c>
      <c r="M31" s="77">
        <f t="shared" si="5"/>
        <v>3.4000000000000002E-2</v>
      </c>
      <c r="N31" s="77">
        <f t="shared" si="5"/>
        <v>0</v>
      </c>
      <c r="O31" s="77">
        <f t="shared" si="5"/>
        <v>0</v>
      </c>
      <c r="P31" s="77">
        <f t="shared" si="5"/>
        <v>150.96</v>
      </c>
      <c r="Q31" s="77">
        <f>(IF(Q$27="%w/w SAR",((Q$28*10)*$B31),IF(Q$27="%w/w DM",(((Q$28*10)*($B$28/100))*$B31),IF(Q$27="kg/t SAR",(Q$28*$B31),IF(Q$27="kg/t DM",((Q$28*($B$28/100))*$B31),IF(Q$27="mg/kg SAR",((Q$28*0.001)*$B31),IF(Q$27="mg/kg DM",(((Q$28*0.001)*($B$28/100))*$B31),0)))))))*2.5</f>
        <v>18.912499999999998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170</v>
      </c>
      <c r="C32" s="77">
        <f t="shared" ref="C32:C50" si="6">IF(C$27="%w/w SAR",((C$28*10)*$B32),IF(C$27="%w/w DM",(((C$28*10)*($B$28/100))*$B32),IF(C$27="kg/t SAR",(C$28*$B32),IF(C$27="kg/t DM",((C$28*($B$28/100))*$B32),IF(C$27="mg/kg SAR",((C$28*0.001)*$B32),IF(C$27="mg/kg DM",(((C$28*0.001)*($B$28/100))*$B32),0))))))</f>
        <v>68</v>
      </c>
      <c r="D32" s="77">
        <f t="shared" ref="D32:D50" si="7">(IF(D$27="%w/w SAR",((D$28*10)*$B32),IF(D$27="%w/w DM",(((D$28*10)*($B$28/100))*$B32),IF(D$27="kg/t SAR",(D$28*$B32),IF(D$27="kg/t DM",((D$28*($B$28/100))*$B32),IF(D$27="mg/kg SAR",((D$28*0.001)*$B32),IF(D$27="mg/kg DM",(((D$28*0.001)*($B$28/100))*$B32),"0")))))))*2.291</f>
        <v>54.525799999999997</v>
      </c>
      <c r="E32" s="77">
        <f t="shared" ref="E32:E50" si="8">(IF(E$27="%w/w SAR",((E$28*10)*$B32),IF(E$27="%w/w DM",(((E$28*10)*($B$28/100))*$B32),IF(E$27="kg/t SAR",(E$28*$B32),IF(E$27="kg/t DM",((E$28*($B$28/100))*$B32),IF(E$27="mg/kg SAR",((E$28*0.001)*$B32),IF(E$27="mg/kg DM",(((E$28*0.001)*($B$28/100))*$B32),"0")))))))*1.205</f>
        <v>57.767700000000012</v>
      </c>
      <c r="F32" s="77">
        <f t="shared" ref="F32:F50" si="9">(IF(F$27="%w/w SAR",((F$28*10)*$B32),IF(F$27="%w/w DM",(((F$28*10)*($B$28/100))*$B32),IF(F$27="kg/t SAR",(F$28*$B32),IF(F$27="kg/t DM",((F$28*($B$28/100))*$B32),IF(F$27="mg/kg SAR",((F$28*0.001)*$B32),IF(F$27="mg/kg DM",(((F$28*0.001)*($B$28/100))*$B32),"0")))))))*1.658</f>
        <v>9.6959839999999993</v>
      </c>
      <c r="G32" s="77">
        <f t="shared" si="5"/>
        <v>0.27710000000000001</v>
      </c>
      <c r="H32" s="77">
        <f t="shared" si="5"/>
        <v>8.5000000000000006E-2</v>
      </c>
      <c r="I32" s="77">
        <f t="shared" si="5"/>
        <v>8.5000000000000006E-2</v>
      </c>
      <c r="J32" s="77">
        <f t="shared" si="5"/>
        <v>1.7000000000000001E-3</v>
      </c>
      <c r="K32" s="77">
        <f t="shared" si="5"/>
        <v>8.5000000000000006E-3</v>
      </c>
      <c r="L32" s="77">
        <f t="shared" si="5"/>
        <v>3.4000000000000002E-2</v>
      </c>
      <c r="M32" s="77">
        <f t="shared" si="5"/>
        <v>3.4000000000000002E-2</v>
      </c>
      <c r="N32" s="77">
        <f t="shared" si="5"/>
        <v>0</v>
      </c>
      <c r="O32" s="77">
        <f t="shared" si="5"/>
        <v>0</v>
      </c>
      <c r="P32" s="77">
        <f t="shared" si="5"/>
        <v>150.96</v>
      </c>
      <c r="Q32" s="77">
        <f t="shared" ref="Q32:Q50" si="10">(IF(Q$27="%w/w SAR",((Q$28*10)*$B32),IF(Q$27="%w/w DM",(((Q$28*10)*($B$28/100))*$B32),IF(Q$27="kg/t SAR",(Q$28*$B32),IF(Q$27="kg/t DM",((Q$28*($B$28/100))*$B32),IF(Q$27="mg/kg SAR",((Q$28*0.001)*$B32),IF(Q$27="mg/kg DM",(((Q$28*0.001)*($B$28/100))*$B32),0)))))))*2.5</f>
        <v>18.912499999999998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140</v>
      </c>
      <c r="C33" s="77">
        <f t="shared" si="6"/>
        <v>56</v>
      </c>
      <c r="D33" s="77">
        <f t="shared" si="7"/>
        <v>44.903600000000004</v>
      </c>
      <c r="E33" s="77">
        <f t="shared" si="8"/>
        <v>47.573400000000007</v>
      </c>
      <c r="F33" s="77">
        <f t="shared" si="9"/>
        <v>7.9849279999999991</v>
      </c>
      <c r="G33" s="77">
        <f t="shared" si="5"/>
        <v>0.22819999999999999</v>
      </c>
      <c r="H33" s="77">
        <f t="shared" si="5"/>
        <v>7.0000000000000007E-2</v>
      </c>
      <c r="I33" s="77">
        <f t="shared" si="5"/>
        <v>7.0000000000000007E-2</v>
      </c>
      <c r="J33" s="77">
        <f t="shared" si="5"/>
        <v>1.4000000000000002E-3</v>
      </c>
      <c r="K33" s="77">
        <f t="shared" si="5"/>
        <v>7.0000000000000001E-3</v>
      </c>
      <c r="L33" s="77">
        <f t="shared" si="5"/>
        <v>2.8000000000000001E-2</v>
      </c>
      <c r="M33" s="77">
        <f t="shared" si="5"/>
        <v>2.8000000000000001E-2</v>
      </c>
      <c r="N33" s="77">
        <f t="shared" si="5"/>
        <v>0</v>
      </c>
      <c r="O33" s="77">
        <f t="shared" si="5"/>
        <v>0</v>
      </c>
      <c r="P33" s="77">
        <f t="shared" si="5"/>
        <v>124.32000000000001</v>
      </c>
      <c r="Q33" s="77">
        <f t="shared" si="10"/>
        <v>15.574999999999999</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140</v>
      </c>
      <c r="C34" s="77">
        <f t="shared" si="6"/>
        <v>56</v>
      </c>
      <c r="D34" s="77">
        <f t="shared" si="7"/>
        <v>44.903600000000004</v>
      </c>
      <c r="E34" s="77">
        <f t="shared" si="8"/>
        <v>47.573400000000007</v>
      </c>
      <c r="F34" s="77">
        <f t="shared" si="9"/>
        <v>7.9849279999999991</v>
      </c>
      <c r="G34" s="77">
        <f t="shared" si="5"/>
        <v>0.22819999999999999</v>
      </c>
      <c r="H34" s="77">
        <f t="shared" si="5"/>
        <v>7.0000000000000007E-2</v>
      </c>
      <c r="I34" s="77">
        <f t="shared" si="5"/>
        <v>7.0000000000000007E-2</v>
      </c>
      <c r="J34" s="77">
        <f t="shared" si="5"/>
        <v>1.4000000000000002E-3</v>
      </c>
      <c r="K34" s="77">
        <f t="shared" si="5"/>
        <v>7.0000000000000001E-3</v>
      </c>
      <c r="L34" s="77">
        <f t="shared" si="5"/>
        <v>2.8000000000000001E-2</v>
      </c>
      <c r="M34" s="77">
        <f t="shared" si="5"/>
        <v>2.8000000000000001E-2</v>
      </c>
      <c r="N34" s="77">
        <f t="shared" si="5"/>
        <v>0</v>
      </c>
      <c r="O34" s="77">
        <f t="shared" si="5"/>
        <v>0</v>
      </c>
      <c r="P34" s="77">
        <f t="shared" si="5"/>
        <v>124.32000000000001</v>
      </c>
      <c r="Q34" s="77">
        <f t="shared" si="10"/>
        <v>15.574999999999999</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170</v>
      </c>
      <c r="C35" s="77">
        <f t="shared" si="6"/>
        <v>68</v>
      </c>
      <c r="D35" s="77">
        <f t="shared" si="7"/>
        <v>54.525799999999997</v>
      </c>
      <c r="E35" s="77">
        <f t="shared" si="8"/>
        <v>57.767700000000012</v>
      </c>
      <c r="F35" s="77">
        <f t="shared" si="9"/>
        <v>9.6959839999999993</v>
      </c>
      <c r="G35" s="77">
        <f t="shared" si="5"/>
        <v>0.27710000000000001</v>
      </c>
      <c r="H35" s="77">
        <f t="shared" si="5"/>
        <v>8.5000000000000006E-2</v>
      </c>
      <c r="I35" s="77">
        <f t="shared" si="5"/>
        <v>8.5000000000000006E-2</v>
      </c>
      <c r="J35" s="77">
        <f t="shared" si="5"/>
        <v>1.7000000000000001E-3</v>
      </c>
      <c r="K35" s="77">
        <f t="shared" si="5"/>
        <v>8.5000000000000006E-3</v>
      </c>
      <c r="L35" s="77">
        <f t="shared" si="5"/>
        <v>3.4000000000000002E-2</v>
      </c>
      <c r="M35" s="77">
        <f t="shared" si="5"/>
        <v>3.4000000000000002E-2</v>
      </c>
      <c r="N35" s="77">
        <f t="shared" si="5"/>
        <v>0</v>
      </c>
      <c r="O35" s="77">
        <f t="shared" si="5"/>
        <v>0</v>
      </c>
      <c r="P35" s="77">
        <f t="shared" si="5"/>
        <v>150.96</v>
      </c>
      <c r="Q35" s="77">
        <f t="shared" si="10"/>
        <v>18.912499999999998</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170</v>
      </c>
      <c r="C36" s="77">
        <f t="shared" si="6"/>
        <v>68</v>
      </c>
      <c r="D36" s="77">
        <f t="shared" si="7"/>
        <v>54.525799999999997</v>
      </c>
      <c r="E36" s="77">
        <f t="shared" si="8"/>
        <v>57.767700000000012</v>
      </c>
      <c r="F36" s="77">
        <f t="shared" si="9"/>
        <v>9.6959839999999993</v>
      </c>
      <c r="G36" s="77">
        <f t="shared" si="5"/>
        <v>0.27710000000000001</v>
      </c>
      <c r="H36" s="77">
        <f t="shared" si="5"/>
        <v>8.5000000000000006E-2</v>
      </c>
      <c r="I36" s="77">
        <f t="shared" si="5"/>
        <v>8.5000000000000006E-2</v>
      </c>
      <c r="J36" s="77">
        <f t="shared" si="5"/>
        <v>1.7000000000000001E-3</v>
      </c>
      <c r="K36" s="77">
        <f t="shared" si="5"/>
        <v>8.5000000000000006E-3</v>
      </c>
      <c r="L36" s="77">
        <f t="shared" si="5"/>
        <v>3.4000000000000002E-2</v>
      </c>
      <c r="M36" s="77">
        <f t="shared" si="5"/>
        <v>3.4000000000000002E-2</v>
      </c>
      <c r="N36" s="77">
        <f t="shared" si="5"/>
        <v>0</v>
      </c>
      <c r="O36" s="77">
        <f t="shared" si="5"/>
        <v>0</v>
      </c>
      <c r="P36" s="77">
        <f t="shared" si="5"/>
        <v>150.96</v>
      </c>
      <c r="Q36" s="77">
        <f t="shared" si="10"/>
        <v>18.912499999999998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170</v>
      </c>
      <c r="C37" s="77">
        <f t="shared" si="6"/>
        <v>68</v>
      </c>
      <c r="D37" s="77">
        <f t="shared" si="7"/>
        <v>54.525799999999997</v>
      </c>
      <c r="E37" s="77">
        <f t="shared" si="8"/>
        <v>57.767700000000012</v>
      </c>
      <c r="F37" s="77">
        <f t="shared" si="9"/>
        <v>9.6959839999999993</v>
      </c>
      <c r="G37" s="77">
        <f t="shared" si="5"/>
        <v>0.27710000000000001</v>
      </c>
      <c r="H37" s="77">
        <f t="shared" si="5"/>
        <v>8.5000000000000006E-2</v>
      </c>
      <c r="I37" s="77">
        <f t="shared" si="5"/>
        <v>8.5000000000000006E-2</v>
      </c>
      <c r="J37" s="77">
        <f t="shared" si="5"/>
        <v>1.7000000000000001E-3</v>
      </c>
      <c r="K37" s="77">
        <f t="shared" si="5"/>
        <v>8.5000000000000006E-3</v>
      </c>
      <c r="L37" s="77">
        <f t="shared" si="5"/>
        <v>3.4000000000000002E-2</v>
      </c>
      <c r="M37" s="77">
        <f t="shared" si="5"/>
        <v>3.4000000000000002E-2</v>
      </c>
      <c r="N37" s="77">
        <f t="shared" si="5"/>
        <v>0</v>
      </c>
      <c r="O37" s="77">
        <f t="shared" si="5"/>
        <v>0</v>
      </c>
      <c r="P37" s="77">
        <f t="shared" si="5"/>
        <v>150.96</v>
      </c>
      <c r="Q37" s="77">
        <f t="shared" si="10"/>
        <v>18.912499999999998</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Arable</v>
      </c>
      <c r="E58" s="13" t="str">
        <f>F16&amp;" I "&amp;(VLOOKUP(F14,Table245810[],6,FALSE))</f>
        <v>Medium/Clay I Arable</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6.7</v>
      </c>
      <c r="E59" s="76">
        <f>VLOOKUP(F$14,Table245810[],5,FALSE)</f>
        <v>6.7</v>
      </c>
      <c r="F59" s="76">
        <f>VLOOKUP(G$14,Table245810[],5,FALSE)</f>
        <v>6.2</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170</v>
      </c>
      <c r="C62" s="77">
        <f>B32</f>
        <v>170</v>
      </c>
      <c r="D62" s="77">
        <f>B33</f>
        <v>140</v>
      </c>
      <c r="E62" s="77">
        <f>B34</f>
        <v>140</v>
      </c>
      <c r="F62" s="77">
        <f>B35</f>
        <v>170</v>
      </c>
      <c r="G62" s="77">
        <f>B36</f>
        <v>170</v>
      </c>
      <c r="H62" s="77">
        <f>B37</f>
        <v>170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13" priority="43" operator="equal">
      <formula>"DECREASE"</formula>
    </cfRule>
    <cfRule type="cellIs" dxfId="212" priority="44" operator="equal">
      <formula>"INCREASE"</formula>
    </cfRule>
  </conditionalFormatting>
  <conditionalFormatting sqref="B38:B50 B62:U66">
    <cfRule type="cellIs" dxfId="211" priority="42" operator="greaterThan">
      <formula>$B$51</formula>
    </cfRule>
  </conditionalFormatting>
  <conditionalFormatting sqref="C31:C50">
    <cfRule type="cellIs" dxfId="210" priority="41" operator="greaterThan">
      <formula>$C$51</formula>
    </cfRule>
  </conditionalFormatting>
  <conditionalFormatting sqref="C18:V18">
    <cfRule type="cellIs" dxfId="209" priority="40" operator="equal">
      <formula>0</formula>
    </cfRule>
  </conditionalFormatting>
  <conditionalFormatting sqref="C17:V17">
    <cfRule type="cellIs" dxfId="208" priority="39" operator="equal">
      <formula>0</formula>
    </cfRule>
  </conditionalFormatting>
  <conditionalFormatting sqref="C19:V19">
    <cfRule type="cellIs" dxfId="207" priority="38" operator="equal">
      <formula>0</formula>
    </cfRule>
  </conditionalFormatting>
  <conditionalFormatting sqref="G31:G50">
    <cfRule type="cellIs" dxfId="206" priority="37" operator="greaterThan">
      <formula>$G$51</formula>
    </cfRule>
  </conditionalFormatting>
  <conditionalFormatting sqref="H31:H50">
    <cfRule type="cellIs" dxfId="205" priority="36" operator="greaterThan">
      <formula>$H$51</formula>
    </cfRule>
  </conditionalFormatting>
  <conditionalFormatting sqref="I31:I50">
    <cfRule type="cellIs" dxfId="204" priority="35" operator="greaterThan">
      <formula>$I$51</formula>
    </cfRule>
  </conditionalFormatting>
  <conditionalFormatting sqref="K31:K50">
    <cfRule type="cellIs" dxfId="203" priority="34" operator="greaterThan">
      <formula>$K$51</formula>
    </cfRule>
  </conditionalFormatting>
  <conditionalFormatting sqref="L31:L50">
    <cfRule type="cellIs" dxfId="202" priority="33" operator="greaterThan">
      <formula>$L$51</formula>
    </cfRule>
  </conditionalFormatting>
  <conditionalFormatting sqref="M31:M50">
    <cfRule type="cellIs" dxfId="201" priority="32" operator="greaterThan">
      <formula>$M$51</formula>
    </cfRule>
  </conditionalFormatting>
  <conditionalFormatting sqref="P31:P50">
    <cfRule type="cellIs" dxfId="200" priority="31" operator="greaterThan">
      <formula>$P$51</formula>
    </cfRule>
  </conditionalFormatting>
  <conditionalFormatting sqref="R31:R50">
    <cfRule type="cellIs" dxfId="199" priority="30" operator="greaterThan">
      <formula>$R$51</formula>
    </cfRule>
  </conditionalFormatting>
  <conditionalFormatting sqref="S31:S50">
    <cfRule type="cellIs" dxfId="198" priority="29" operator="greaterThan">
      <formula>$S$51</formula>
    </cfRule>
  </conditionalFormatting>
  <conditionalFormatting sqref="T31:T50">
    <cfRule type="cellIs" dxfId="197" priority="28" operator="greaterThan">
      <formula>$T$51</formula>
    </cfRule>
  </conditionalFormatting>
  <conditionalFormatting sqref="U31:U50">
    <cfRule type="cellIs" dxfId="196" priority="27" operator="greaterThan">
      <formula>$U$51</formula>
    </cfRule>
  </conditionalFormatting>
  <conditionalFormatting sqref="C22:V22">
    <cfRule type="cellIs" dxfId="195" priority="26" operator="equal">
      <formula>0</formula>
    </cfRule>
  </conditionalFormatting>
  <conditionalFormatting sqref="C24:V24">
    <cfRule type="cellIs" dxfId="194" priority="24" operator="equal">
      <formula>"DECREASE"</formula>
    </cfRule>
    <cfRule type="cellIs" dxfId="193" priority="25" operator="equal">
      <formula>"INCREASE"</formula>
    </cfRule>
  </conditionalFormatting>
  <conditionalFormatting sqref="C23:V23">
    <cfRule type="cellIs" dxfId="192" priority="23" operator="equal">
      <formula>0</formula>
    </cfRule>
  </conditionalFormatting>
  <conditionalFormatting sqref="C21:V21">
    <cfRule type="cellIs" dxfId="191" priority="19" operator="equal">
      <formula>0</formula>
    </cfRule>
  </conditionalFormatting>
  <conditionalFormatting sqref="B66:U66">
    <cfRule type="cellIs" dxfId="190" priority="17" operator="equal">
      <formula>"UNDER"</formula>
    </cfRule>
    <cfRule type="cellIs" dxfId="189" priority="18" operator="equal">
      <formula>"OVER"</formula>
    </cfRule>
  </conditionalFormatting>
  <conditionalFormatting sqref="J31:J50">
    <cfRule type="cellIs" dxfId="188" priority="14" operator="greaterThan">
      <formula>$J$51</formula>
    </cfRule>
  </conditionalFormatting>
  <conditionalFormatting sqref="L3">
    <cfRule type="cellIs" dxfId="187" priority="10" operator="lessThan">
      <formula>30</formula>
    </cfRule>
    <cfRule type="cellIs" dxfId="186" priority="11" operator="greaterThanOrEqual">
      <formula>30</formula>
    </cfRule>
  </conditionalFormatting>
  <conditionalFormatting sqref="I3">
    <cfRule type="cellIs" dxfId="185" priority="7" operator="greaterThan">
      <formula>40000.01</formula>
    </cfRule>
  </conditionalFormatting>
  <conditionalFormatting sqref="I1">
    <cfRule type="cellIs" dxfId="184" priority="3" operator="between">
      <formula>0.1</formula>
      <formula>5</formula>
    </cfRule>
  </conditionalFormatting>
  <conditionalFormatting sqref="I2">
    <cfRule type="cellIs" dxfId="183" priority="2" operator="greaterThan">
      <formula>5000.1</formula>
    </cfRule>
  </conditionalFormatting>
  <conditionalFormatting sqref="B31:B37">
    <cfRule type="cellIs" dxfId="182" priority="1" operator="greaterThan">
      <formula>$B$51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2" t="s">
        <v>41</v>
      </c>
      <c r="B1" s="122"/>
      <c r="C1" s="143" t="str">
        <f>Beechdean!C1:D1</f>
        <v>PAN-017507</v>
      </c>
      <c r="D1" s="144"/>
      <c r="E1" s="93" t="s">
        <v>45</v>
      </c>
      <c r="F1" s="39">
        <f>Beechdean!F1</f>
        <v>51.8</v>
      </c>
      <c r="G1" s="123" t="s">
        <v>43</v>
      </c>
      <c r="H1" s="124"/>
      <c r="I1" s="120">
        <v>3.94</v>
      </c>
      <c r="J1" s="122" t="s">
        <v>153</v>
      </c>
      <c r="K1" s="122"/>
      <c r="L1" s="120">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0" t="s">
        <v>172</v>
      </c>
      <c r="G2" s="141" t="s">
        <v>110</v>
      </c>
      <c r="H2" s="142"/>
      <c r="I2" s="120"/>
      <c r="J2" s="122" t="s">
        <v>158</v>
      </c>
      <c r="K2" s="122"/>
      <c r="L2" s="120">
        <v>0.19</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78</v>
      </c>
      <c r="G3" s="122" t="s">
        <v>159</v>
      </c>
      <c r="H3" s="122"/>
      <c r="I3" s="120">
        <v>220</v>
      </c>
      <c r="J3" s="123" t="s">
        <v>154</v>
      </c>
      <c r="K3" s="124"/>
      <c r="L3" s="97">
        <f>(L1/(L2*10000))*100</f>
        <v>1.3157894736842104</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0" t="s">
        <v>179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55.4422</v>
      </c>
      <c r="D18" s="16">
        <f>$D32</f>
        <v>55.4422</v>
      </c>
      <c r="E18" s="16">
        <f>$D33</f>
        <v>44.353759999999994</v>
      </c>
      <c r="F18" s="16">
        <f>$D34</f>
        <v>44.353759999999994</v>
      </c>
      <c r="G18" s="16">
        <f>$D35</f>
        <v>55.4422</v>
      </c>
      <c r="H18" s="16">
        <f>$D36</f>
        <v>55.4422</v>
      </c>
      <c r="I18" s="16">
        <f>$D37</f>
        <v>55.4422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-9.1577999999999946</v>
      </c>
      <c r="D19" s="16">
        <f t="shared" ref="D19:V19" si="1">D18-D17</f>
        <v>-9.1577999999999946</v>
      </c>
      <c r="E19" s="16">
        <f t="shared" si="1"/>
        <v>-2.3962400000000059</v>
      </c>
      <c r="F19" s="16">
        <f t="shared" si="1"/>
        <v>-2.3962400000000059</v>
      </c>
      <c r="G19" s="16">
        <f t="shared" si="1"/>
        <v>-9.1577999999999946</v>
      </c>
      <c r="H19" s="16">
        <f t="shared" si="1"/>
        <v>-9.1577999999999946</v>
      </c>
      <c r="I19" s="16">
        <f t="shared" si="1"/>
        <v>-9.1577999999999946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18.436499999999999</v>
      </c>
      <c r="D22" s="16">
        <f>$E32</f>
        <v>18.436499999999999</v>
      </c>
      <c r="E22" s="16">
        <f>$E33</f>
        <v>14.749200000000002</v>
      </c>
      <c r="F22" s="16">
        <f>$E34</f>
        <v>14.749200000000002</v>
      </c>
      <c r="G22" s="16">
        <f>$E35</f>
        <v>18.436499999999999</v>
      </c>
      <c r="H22" s="16">
        <f>$E36</f>
        <v>18.436499999999999</v>
      </c>
      <c r="I22" s="16">
        <f>$E37</f>
        <v>18.436499999999999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-209.5635</v>
      </c>
      <c r="D23" s="16">
        <f t="shared" ref="D23:V23" si="3">D22-D21</f>
        <v>-209.5635</v>
      </c>
      <c r="E23" s="16">
        <f t="shared" si="3"/>
        <v>-51.250799999999998</v>
      </c>
      <c r="F23" s="16">
        <f t="shared" si="3"/>
        <v>-51.250799999999998</v>
      </c>
      <c r="G23" s="16">
        <f t="shared" si="3"/>
        <v>-209.5635</v>
      </c>
      <c r="H23" s="16">
        <f t="shared" si="3"/>
        <v>-209.5635</v>
      </c>
      <c r="I23" s="16">
        <f t="shared" si="3"/>
        <v>-209.5635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3.25</v>
      </c>
      <c r="C28" s="15">
        <v>0.19</v>
      </c>
      <c r="D28" s="15">
        <v>242</v>
      </c>
      <c r="E28" s="15">
        <v>153</v>
      </c>
      <c r="F28" s="15">
        <v>28</v>
      </c>
      <c r="G28" s="15">
        <v>2.5</v>
      </c>
      <c r="H28" s="15">
        <v>1.87</v>
      </c>
      <c r="I28" s="15">
        <v>0.753</v>
      </c>
      <c r="J28" s="15">
        <v>0.01</v>
      </c>
      <c r="K28" s="23">
        <v>0.05</v>
      </c>
      <c r="L28" s="15">
        <v>0.2</v>
      </c>
      <c r="M28" s="15">
        <v>0.32300000000000001</v>
      </c>
      <c r="N28" s="15"/>
      <c r="O28" s="15"/>
      <c r="P28" s="15">
        <v>160</v>
      </c>
      <c r="Q28" s="15">
        <v>107</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100</v>
      </c>
      <c r="C31" s="77">
        <f>IF(C$27="%w/w SAR",((C$28*10)*$B31),IF(C$27="%w/w DM",(((C$28*10)*($B$28/100))*$B31),IF(C$27="kg/t SAR",(C$28*$B31),IF(C$27="kg/t DM",((C$28*($B$28/100))*$B31),IF(C$27="mg/kg SAR",((C$28*0.001)*$B31),IF(C$27="mg/kg DM",(((C$28*0.001)*($B$28/100))*$B31),0))))))</f>
        <v>190</v>
      </c>
      <c r="D31" s="77">
        <f>(IF(D$27="%w/w SAR",((D$28*10)*$B31),IF(D$27="%w/w DM",(((D$28*10)*($B$28/100))*$B31),IF(D$27="kg/t SAR",(D$28*$B31),IF(D$27="kg/t DM",((D$28*($B$28/100))*$B31),IF(D$27="mg/kg SAR",((D$28*0.001)*$B31),IF(D$27="mg/kg DM",(((D$28*0.001)*($B$28/100))*$B31),"0")))))))*2.291</f>
        <v>55.4422</v>
      </c>
      <c r="E31" s="77">
        <f>(IF(E$27="%w/w SAR",((E$28*10)*$B31),IF(E$27="%w/w DM",(((E$28*10)*($B$28/100))*$B31),IF(E$27="kg/t SAR",(E$28*$B31),IF(E$27="kg/t DM",((E$28*($B$28/100))*$B31),IF(E$27="mg/kg SAR",((E$28*0.001)*$B31),IF(E$27="mg/kg DM",(((E$28*0.001)*($B$28/100))*$B31),"0")))))))*1.205</f>
        <v>18.436499999999999</v>
      </c>
      <c r="F31" s="77">
        <f>(IF(F$27="%w/w SAR",((F$28*10)*$B31),IF(F$27="%w/w DM",(((F$28*10)*($B$28/100))*$B31),IF(F$27="kg/t SAR",(F$28*$B31),IF(F$27="kg/t DM",((F$28*($B$28/100))*$B31),IF(F$27="mg/kg SAR",((F$28*0.001)*$B31),IF(F$27="mg/kg DM",(((F$28*0.001)*($B$28/100))*$B31),"0")))))))*1.658</f>
        <v>4.6424000000000003</v>
      </c>
      <c r="G31" s="77">
        <f t="shared" ref="G31:P46" si="5">IF(G$27="%w/w SAR",((G$28*10)*$B31),IF(G$27="%w/w DM",(((G$28*10)*($B$28/100))*$B31),IF(G$27="kg/t SAR",(G$28*$B31),IF(G$27="kg/t DM",((G$28*($B$28/100))*$B31),IF(G$27="mg/kg SAR",((G$28*0.001)*$B31),IF(G$27="mg/kg DM",(((G$28*0.001)*($B$28/100))*$B31),0))))))</f>
        <v>0.25</v>
      </c>
      <c r="H31" s="77">
        <f t="shared" si="5"/>
        <v>0.187</v>
      </c>
      <c r="I31" s="77">
        <f t="shared" si="5"/>
        <v>7.5299999999999992E-2</v>
      </c>
      <c r="J31" s="77">
        <f t="shared" si="5"/>
        <v>1E-3</v>
      </c>
      <c r="K31" s="77">
        <f t="shared" si="5"/>
        <v>5.0000000000000001E-3</v>
      </c>
      <c r="L31" s="77">
        <f t="shared" si="5"/>
        <v>0.02</v>
      </c>
      <c r="M31" s="77">
        <f t="shared" si="5"/>
        <v>3.2300000000000002E-2</v>
      </c>
      <c r="N31" s="77">
        <f t="shared" si="5"/>
        <v>0</v>
      </c>
      <c r="O31" s="77">
        <f t="shared" si="5"/>
        <v>0</v>
      </c>
      <c r="P31" s="77">
        <f t="shared" si="5"/>
        <v>16</v>
      </c>
      <c r="Q31" s="77">
        <f>(IF(Q$27="%w/w SAR",((Q$28*10)*$B31),IF(Q$27="%w/w DM",(((Q$28*10)*($B$28/100))*$B31),IF(Q$27="kg/t SAR",(Q$28*$B31),IF(Q$27="kg/t DM",((Q$28*($B$28/100))*$B31),IF(Q$27="mg/kg SAR",((Q$28*0.001)*$B31),IF(Q$27="mg/kg DM",(((Q$28*0.001)*($B$28/100))*$B31),0)))))))*2.5</f>
        <v>26.75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100</v>
      </c>
      <c r="C32" s="77">
        <f t="shared" ref="C32:C50" si="6">IF(C$27="%w/w SAR",((C$28*10)*$B32),IF(C$27="%w/w DM",(((C$28*10)*($B$28/100))*$B32),IF(C$27="kg/t SAR",(C$28*$B32),IF(C$27="kg/t DM",((C$28*($B$28/100))*$B32),IF(C$27="mg/kg SAR",((C$28*0.001)*$B32),IF(C$27="mg/kg DM",(((C$28*0.001)*($B$28/100))*$B32),0))))))</f>
        <v>190</v>
      </c>
      <c r="D32" s="77">
        <f t="shared" ref="D32:D50" si="7">(IF(D$27="%w/w SAR",((D$28*10)*$B32),IF(D$27="%w/w DM",(((D$28*10)*($B$28/100))*$B32),IF(D$27="kg/t SAR",(D$28*$B32),IF(D$27="kg/t DM",((D$28*($B$28/100))*$B32),IF(D$27="mg/kg SAR",((D$28*0.001)*$B32),IF(D$27="mg/kg DM",(((D$28*0.001)*($B$28/100))*$B32),"0")))))))*2.291</f>
        <v>55.4422</v>
      </c>
      <c r="E32" s="77">
        <f t="shared" ref="E32:E50" si="8">(IF(E$27="%w/w SAR",((E$28*10)*$B32),IF(E$27="%w/w DM",(((E$28*10)*($B$28/100))*$B32),IF(E$27="kg/t SAR",(E$28*$B32),IF(E$27="kg/t DM",((E$28*($B$28/100))*$B32),IF(E$27="mg/kg SAR",((E$28*0.001)*$B32),IF(E$27="mg/kg DM",(((E$28*0.001)*($B$28/100))*$B32),"0")))))))*1.205</f>
        <v>18.436499999999999</v>
      </c>
      <c r="F32" s="77">
        <f t="shared" ref="F32:F50" si="9">(IF(F$27="%w/w SAR",((F$28*10)*$B32),IF(F$27="%w/w DM",(((F$28*10)*($B$28/100))*$B32),IF(F$27="kg/t SAR",(F$28*$B32),IF(F$27="kg/t DM",((F$28*($B$28/100))*$B32),IF(F$27="mg/kg SAR",((F$28*0.001)*$B32),IF(F$27="mg/kg DM",(((F$28*0.001)*($B$28/100))*$B32),"0")))))))*1.658</f>
        <v>4.6424000000000003</v>
      </c>
      <c r="G32" s="77">
        <f t="shared" si="5"/>
        <v>0.25</v>
      </c>
      <c r="H32" s="77">
        <f t="shared" si="5"/>
        <v>0.187</v>
      </c>
      <c r="I32" s="77">
        <f t="shared" si="5"/>
        <v>7.5299999999999992E-2</v>
      </c>
      <c r="J32" s="77">
        <f t="shared" si="5"/>
        <v>1E-3</v>
      </c>
      <c r="K32" s="77">
        <f t="shared" si="5"/>
        <v>5.0000000000000001E-3</v>
      </c>
      <c r="L32" s="77">
        <f t="shared" si="5"/>
        <v>0.02</v>
      </c>
      <c r="M32" s="77">
        <f t="shared" si="5"/>
        <v>3.2300000000000002E-2</v>
      </c>
      <c r="N32" s="77">
        <f t="shared" si="5"/>
        <v>0</v>
      </c>
      <c r="O32" s="77">
        <f t="shared" si="5"/>
        <v>0</v>
      </c>
      <c r="P32" s="77">
        <f t="shared" si="5"/>
        <v>16</v>
      </c>
      <c r="Q32" s="77">
        <f t="shared" ref="Q32:Q50" si="10">(IF(Q$27="%w/w SAR",((Q$28*10)*$B32),IF(Q$27="%w/w DM",(((Q$28*10)*($B$28/100))*$B32),IF(Q$27="kg/t SAR",(Q$28*$B32),IF(Q$27="kg/t DM",((Q$28*($B$28/100))*$B32),IF(Q$27="mg/kg SAR",((Q$28*0.001)*$B32),IF(Q$27="mg/kg DM",(((Q$28*0.001)*($B$28/100))*$B32),0)))))))*2.5</f>
        <v>26.75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80</v>
      </c>
      <c r="C33" s="77">
        <f t="shared" si="6"/>
        <v>152</v>
      </c>
      <c r="D33" s="77">
        <f t="shared" si="7"/>
        <v>44.353759999999994</v>
      </c>
      <c r="E33" s="77">
        <f t="shared" si="8"/>
        <v>14.749200000000002</v>
      </c>
      <c r="F33" s="77">
        <f t="shared" si="9"/>
        <v>3.7139200000000003</v>
      </c>
      <c r="G33" s="77">
        <f t="shared" si="5"/>
        <v>0.2</v>
      </c>
      <c r="H33" s="77">
        <f t="shared" si="5"/>
        <v>0.14960000000000001</v>
      </c>
      <c r="I33" s="77">
        <f t="shared" si="5"/>
        <v>6.0240000000000002E-2</v>
      </c>
      <c r="J33" s="77">
        <f t="shared" si="5"/>
        <v>8.0000000000000004E-4</v>
      </c>
      <c r="K33" s="77">
        <f t="shared" si="5"/>
        <v>4.0000000000000001E-3</v>
      </c>
      <c r="L33" s="77">
        <f t="shared" si="5"/>
        <v>1.6E-2</v>
      </c>
      <c r="M33" s="77">
        <f t="shared" si="5"/>
        <v>2.5839999999999998E-2</v>
      </c>
      <c r="N33" s="77">
        <f t="shared" si="5"/>
        <v>0</v>
      </c>
      <c r="O33" s="77">
        <f t="shared" si="5"/>
        <v>0</v>
      </c>
      <c r="P33" s="77">
        <f t="shared" si="5"/>
        <v>12.8</v>
      </c>
      <c r="Q33" s="77">
        <f t="shared" si="10"/>
        <v>21.400000000000002</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80</v>
      </c>
      <c r="C34" s="77">
        <f t="shared" si="6"/>
        <v>152</v>
      </c>
      <c r="D34" s="77">
        <f t="shared" si="7"/>
        <v>44.353759999999994</v>
      </c>
      <c r="E34" s="77">
        <f t="shared" si="8"/>
        <v>14.749200000000002</v>
      </c>
      <c r="F34" s="77">
        <f t="shared" si="9"/>
        <v>3.7139200000000003</v>
      </c>
      <c r="G34" s="77">
        <f t="shared" si="5"/>
        <v>0.2</v>
      </c>
      <c r="H34" s="77">
        <f t="shared" si="5"/>
        <v>0.14960000000000001</v>
      </c>
      <c r="I34" s="77">
        <f t="shared" si="5"/>
        <v>6.0240000000000002E-2</v>
      </c>
      <c r="J34" s="77">
        <f t="shared" si="5"/>
        <v>8.0000000000000004E-4</v>
      </c>
      <c r="K34" s="77">
        <f t="shared" si="5"/>
        <v>4.0000000000000001E-3</v>
      </c>
      <c r="L34" s="77">
        <f t="shared" si="5"/>
        <v>1.6E-2</v>
      </c>
      <c r="M34" s="77">
        <f t="shared" si="5"/>
        <v>2.5839999999999998E-2</v>
      </c>
      <c r="N34" s="77">
        <f t="shared" si="5"/>
        <v>0</v>
      </c>
      <c r="O34" s="77">
        <f t="shared" si="5"/>
        <v>0</v>
      </c>
      <c r="P34" s="77">
        <f t="shared" si="5"/>
        <v>12.8</v>
      </c>
      <c r="Q34" s="77">
        <f t="shared" si="10"/>
        <v>21.400000000000002</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100</v>
      </c>
      <c r="C35" s="77">
        <f t="shared" si="6"/>
        <v>190</v>
      </c>
      <c r="D35" s="77">
        <f t="shared" si="7"/>
        <v>55.4422</v>
      </c>
      <c r="E35" s="77">
        <f t="shared" si="8"/>
        <v>18.436499999999999</v>
      </c>
      <c r="F35" s="77">
        <f t="shared" si="9"/>
        <v>4.6424000000000003</v>
      </c>
      <c r="G35" s="77">
        <f t="shared" si="5"/>
        <v>0.25</v>
      </c>
      <c r="H35" s="77">
        <f t="shared" si="5"/>
        <v>0.187</v>
      </c>
      <c r="I35" s="77">
        <f t="shared" si="5"/>
        <v>7.5299999999999992E-2</v>
      </c>
      <c r="J35" s="77">
        <f t="shared" si="5"/>
        <v>1E-3</v>
      </c>
      <c r="K35" s="77">
        <f t="shared" si="5"/>
        <v>5.0000000000000001E-3</v>
      </c>
      <c r="L35" s="77">
        <f t="shared" si="5"/>
        <v>0.02</v>
      </c>
      <c r="M35" s="77">
        <f t="shared" si="5"/>
        <v>3.2300000000000002E-2</v>
      </c>
      <c r="N35" s="77">
        <f t="shared" si="5"/>
        <v>0</v>
      </c>
      <c r="O35" s="77">
        <f t="shared" si="5"/>
        <v>0</v>
      </c>
      <c r="P35" s="77">
        <f t="shared" si="5"/>
        <v>16</v>
      </c>
      <c r="Q35" s="77">
        <f t="shared" si="10"/>
        <v>26.75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100</v>
      </c>
      <c r="C36" s="77">
        <f t="shared" si="6"/>
        <v>190</v>
      </c>
      <c r="D36" s="77">
        <f t="shared" si="7"/>
        <v>55.4422</v>
      </c>
      <c r="E36" s="77">
        <f t="shared" si="8"/>
        <v>18.436499999999999</v>
      </c>
      <c r="F36" s="77">
        <f t="shared" si="9"/>
        <v>4.6424000000000003</v>
      </c>
      <c r="G36" s="77">
        <f t="shared" si="5"/>
        <v>0.25</v>
      </c>
      <c r="H36" s="77">
        <f t="shared" si="5"/>
        <v>0.187</v>
      </c>
      <c r="I36" s="77">
        <f t="shared" si="5"/>
        <v>7.5299999999999992E-2</v>
      </c>
      <c r="J36" s="77">
        <f t="shared" si="5"/>
        <v>1E-3</v>
      </c>
      <c r="K36" s="77">
        <f t="shared" si="5"/>
        <v>5.0000000000000001E-3</v>
      </c>
      <c r="L36" s="77">
        <f t="shared" si="5"/>
        <v>0.02</v>
      </c>
      <c r="M36" s="77">
        <f t="shared" si="5"/>
        <v>3.2300000000000002E-2</v>
      </c>
      <c r="N36" s="77">
        <f t="shared" si="5"/>
        <v>0</v>
      </c>
      <c r="O36" s="77">
        <f t="shared" si="5"/>
        <v>0</v>
      </c>
      <c r="P36" s="77">
        <f t="shared" si="5"/>
        <v>16</v>
      </c>
      <c r="Q36" s="77">
        <f t="shared" si="10"/>
        <v>26.75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100</v>
      </c>
      <c r="C37" s="77">
        <f t="shared" si="6"/>
        <v>190</v>
      </c>
      <c r="D37" s="77">
        <f t="shared" si="7"/>
        <v>55.4422</v>
      </c>
      <c r="E37" s="77">
        <f t="shared" si="8"/>
        <v>18.436499999999999</v>
      </c>
      <c r="F37" s="77">
        <f t="shared" si="9"/>
        <v>4.6424000000000003</v>
      </c>
      <c r="G37" s="77">
        <f t="shared" si="5"/>
        <v>0.25</v>
      </c>
      <c r="H37" s="77">
        <f t="shared" si="5"/>
        <v>0.187</v>
      </c>
      <c r="I37" s="77">
        <f t="shared" si="5"/>
        <v>7.5299999999999992E-2</v>
      </c>
      <c r="J37" s="77">
        <f t="shared" si="5"/>
        <v>1E-3</v>
      </c>
      <c r="K37" s="77">
        <f t="shared" si="5"/>
        <v>5.0000000000000001E-3</v>
      </c>
      <c r="L37" s="77">
        <f t="shared" si="5"/>
        <v>0.02</v>
      </c>
      <c r="M37" s="77">
        <f t="shared" si="5"/>
        <v>3.2300000000000002E-2</v>
      </c>
      <c r="N37" s="77">
        <f t="shared" si="5"/>
        <v>0</v>
      </c>
      <c r="O37" s="77">
        <f t="shared" si="5"/>
        <v>0</v>
      </c>
      <c r="P37" s="77">
        <f t="shared" si="5"/>
        <v>16</v>
      </c>
      <c r="Q37" s="77">
        <f t="shared" si="10"/>
        <v>26.75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Arable</v>
      </c>
      <c r="E58" s="13" t="str">
        <f>F16&amp;" I "&amp;(VLOOKUP(F14,Table2458[],6,FALSE))</f>
        <v>Medium/Clay I Arable</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6.7</v>
      </c>
      <c r="E59" s="76">
        <f>VLOOKUP(F$14,Table2458[],5,FALSE)</f>
        <v>6.7</v>
      </c>
      <c r="F59" s="76">
        <f>VLOOKUP(G$14,Table2458[],5,FALSE)</f>
        <v>6.2</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100</v>
      </c>
      <c r="C62" s="77">
        <f>B32</f>
        <v>100</v>
      </c>
      <c r="D62" s="77">
        <f>B33</f>
        <v>80</v>
      </c>
      <c r="E62" s="77">
        <f>B34</f>
        <v>80</v>
      </c>
      <c r="F62" s="77">
        <f>B35</f>
        <v>100</v>
      </c>
      <c r="G62" s="77">
        <f>B36</f>
        <v>100</v>
      </c>
      <c r="H62" s="77">
        <f>B37</f>
        <v>100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70" priority="43" operator="equal">
      <formula>"DECREASE"</formula>
    </cfRule>
    <cfRule type="cellIs" dxfId="169" priority="44" operator="equal">
      <formula>"INCREASE"</formula>
    </cfRule>
  </conditionalFormatting>
  <conditionalFormatting sqref="B38:B50 B62:U66">
    <cfRule type="cellIs" dxfId="168" priority="42" operator="greaterThan">
      <formula>$B$51</formula>
    </cfRule>
  </conditionalFormatting>
  <conditionalFormatting sqref="C31:C50">
    <cfRule type="cellIs" dxfId="167" priority="41" operator="greaterThan">
      <formula>$C$51</formula>
    </cfRule>
  </conditionalFormatting>
  <conditionalFormatting sqref="C18:V18">
    <cfRule type="cellIs" dxfId="166" priority="40" operator="equal">
      <formula>0</formula>
    </cfRule>
  </conditionalFormatting>
  <conditionalFormatting sqref="C17:V17">
    <cfRule type="cellIs" dxfId="165" priority="39" operator="equal">
      <formula>0</formula>
    </cfRule>
  </conditionalFormatting>
  <conditionalFormatting sqref="C19:V19">
    <cfRule type="cellIs" dxfId="164" priority="38" operator="equal">
      <formula>0</formula>
    </cfRule>
  </conditionalFormatting>
  <conditionalFormatting sqref="G31:G50">
    <cfRule type="cellIs" dxfId="163" priority="37" operator="greaterThan">
      <formula>$G$51</formula>
    </cfRule>
  </conditionalFormatting>
  <conditionalFormatting sqref="H31:H50">
    <cfRule type="cellIs" dxfId="162" priority="36" operator="greaterThan">
      <formula>$H$51</formula>
    </cfRule>
  </conditionalFormatting>
  <conditionalFormatting sqref="I31:I50">
    <cfRule type="cellIs" dxfId="161" priority="35" operator="greaterThan">
      <formula>$I$51</formula>
    </cfRule>
  </conditionalFormatting>
  <conditionalFormatting sqref="K31:K50">
    <cfRule type="cellIs" dxfId="160" priority="34" operator="greaterThan">
      <formula>$K$51</formula>
    </cfRule>
  </conditionalFormatting>
  <conditionalFormatting sqref="L31:L50">
    <cfRule type="cellIs" dxfId="159" priority="33" operator="greaterThan">
      <formula>$L$51</formula>
    </cfRule>
  </conditionalFormatting>
  <conditionalFormatting sqref="M31:M50">
    <cfRule type="cellIs" dxfId="158" priority="32" operator="greaterThan">
      <formula>$M$51</formula>
    </cfRule>
  </conditionalFormatting>
  <conditionalFormatting sqref="P31:P50">
    <cfRule type="cellIs" dxfId="157" priority="31" operator="greaterThan">
      <formula>$P$51</formula>
    </cfRule>
  </conditionalFormatting>
  <conditionalFormatting sqref="R31:R50">
    <cfRule type="cellIs" dxfId="156" priority="30" operator="greaterThan">
      <formula>$R$51</formula>
    </cfRule>
  </conditionalFormatting>
  <conditionalFormatting sqref="S31:S50">
    <cfRule type="cellIs" dxfId="155" priority="29" operator="greaterThan">
      <formula>$S$51</formula>
    </cfRule>
  </conditionalFormatting>
  <conditionalFormatting sqref="T31:T50">
    <cfRule type="cellIs" dxfId="154" priority="28" operator="greaterThan">
      <formula>$T$51</formula>
    </cfRule>
  </conditionalFormatting>
  <conditionalFormatting sqref="U31:U50">
    <cfRule type="cellIs" dxfId="153" priority="27" operator="greaterThan">
      <formula>$U$51</formula>
    </cfRule>
  </conditionalFormatting>
  <conditionalFormatting sqref="C22:V22">
    <cfRule type="cellIs" dxfId="152" priority="26" operator="equal">
      <formula>0</formula>
    </cfRule>
  </conditionalFormatting>
  <conditionalFormatting sqref="C24:V24">
    <cfRule type="cellIs" dxfId="151" priority="24" operator="equal">
      <formula>"DECREASE"</formula>
    </cfRule>
    <cfRule type="cellIs" dxfId="150" priority="25" operator="equal">
      <formula>"INCREASE"</formula>
    </cfRule>
  </conditionalFormatting>
  <conditionalFormatting sqref="C23:V23">
    <cfRule type="cellIs" dxfId="149" priority="23" operator="equal">
      <formula>0</formula>
    </cfRule>
  </conditionalFormatting>
  <conditionalFormatting sqref="C21:V21">
    <cfRule type="cellIs" dxfId="148" priority="19" operator="equal">
      <formula>0</formula>
    </cfRule>
  </conditionalFormatting>
  <conditionalFormatting sqref="B66:U66">
    <cfRule type="cellIs" dxfId="147" priority="17" operator="equal">
      <formula>"UNDER"</formula>
    </cfRule>
    <cfRule type="cellIs" dxfId="146" priority="18" operator="equal">
      <formula>"OVER"</formula>
    </cfRule>
  </conditionalFormatting>
  <conditionalFormatting sqref="J31:J50">
    <cfRule type="cellIs" dxfId="145" priority="14" operator="greaterThan">
      <formula>$J$51</formula>
    </cfRule>
  </conditionalFormatting>
  <conditionalFormatting sqref="L3">
    <cfRule type="cellIs" dxfId="144" priority="10" operator="lessThan">
      <formula>30</formula>
    </cfRule>
    <cfRule type="cellIs" dxfId="143" priority="11" operator="greaterThanOrEqual">
      <formula>30</formula>
    </cfRule>
  </conditionalFormatting>
  <conditionalFormatting sqref="I1">
    <cfRule type="cellIs" dxfId="142" priority="4" operator="between">
      <formula>0.1</formula>
      <formula>5</formula>
    </cfRule>
  </conditionalFormatting>
  <conditionalFormatting sqref="I2">
    <cfRule type="cellIs" dxfId="141" priority="3" operator="greaterThan">
      <formula>5000.1</formula>
    </cfRule>
  </conditionalFormatting>
  <conditionalFormatting sqref="I3">
    <cfRule type="cellIs" dxfId="140" priority="2" operator="greaterThan">
      <formula>40000.01</formula>
    </cfRule>
  </conditionalFormatting>
  <conditionalFormatting sqref="B31:B37">
    <cfRule type="cellIs" dxfId="139" priority="1" operator="greaterThan">
      <formula>$B$51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2" t="s">
        <v>41</v>
      </c>
      <c r="B1" s="122"/>
      <c r="C1" s="143" t="str">
        <f>Beechdean!C1:D1</f>
        <v>PAN-017507</v>
      </c>
      <c r="D1" s="144"/>
      <c r="E1" s="93" t="s">
        <v>45</v>
      </c>
      <c r="F1" s="39">
        <f>Beechdean!F1</f>
        <v>51.8</v>
      </c>
      <c r="G1" s="123" t="s">
        <v>43</v>
      </c>
      <c r="H1" s="124"/>
      <c r="I1" s="121">
        <v>4.17</v>
      </c>
      <c r="J1" s="122" t="s">
        <v>153</v>
      </c>
      <c r="K1" s="122"/>
      <c r="L1" s="121">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1" t="s">
        <v>172</v>
      </c>
      <c r="G2" s="141" t="s">
        <v>110</v>
      </c>
      <c r="H2" s="142"/>
      <c r="I2" s="121">
        <v>200</v>
      </c>
      <c r="J2" s="122" t="s">
        <v>158</v>
      </c>
      <c r="K2" s="122"/>
      <c r="L2" s="121">
        <v>0.03</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78</v>
      </c>
      <c r="G3" s="122" t="s">
        <v>159</v>
      </c>
      <c r="H3" s="122"/>
      <c r="I3" s="121">
        <v>4080</v>
      </c>
      <c r="J3" s="123" t="s">
        <v>154</v>
      </c>
      <c r="K3" s="124"/>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1" t="s">
        <v>182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35.224125000000001</v>
      </c>
      <c r="D18" s="16">
        <f>$D32</f>
        <v>35.224125000000001</v>
      </c>
      <c r="E18" s="16">
        <f>$D33</f>
        <v>35.224125000000001</v>
      </c>
      <c r="F18" s="16">
        <f>$D34</f>
        <v>35.224125000000001</v>
      </c>
      <c r="G18" s="16">
        <f>$D35</f>
        <v>35.224125000000001</v>
      </c>
      <c r="H18" s="16">
        <f>$D36</f>
        <v>35.224125000000001</v>
      </c>
      <c r="I18" s="16">
        <f>$D37</f>
        <v>35.224125000000001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-29.375874999999994</v>
      </c>
      <c r="D19" s="16">
        <f t="shared" ref="D19:V19" si="1">D18-D17</f>
        <v>-29.375874999999994</v>
      </c>
      <c r="E19" s="16">
        <f t="shared" si="1"/>
        <v>-11.525874999999999</v>
      </c>
      <c r="F19" s="16">
        <f t="shared" si="1"/>
        <v>-11.525874999999999</v>
      </c>
      <c r="G19" s="16">
        <f t="shared" si="1"/>
        <v>-29.375874999999994</v>
      </c>
      <c r="H19" s="16">
        <f t="shared" si="1"/>
        <v>-29.375874999999994</v>
      </c>
      <c r="I19" s="16">
        <f t="shared" si="1"/>
        <v>-29.375874999999994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22.533500000000004</v>
      </c>
      <c r="D22" s="16">
        <f>$E32</f>
        <v>22.533500000000004</v>
      </c>
      <c r="E22" s="16">
        <f>$E33</f>
        <v>22.533500000000004</v>
      </c>
      <c r="F22" s="16">
        <f>$E34</f>
        <v>22.533500000000004</v>
      </c>
      <c r="G22" s="16">
        <f>$E35</f>
        <v>22.533500000000004</v>
      </c>
      <c r="H22" s="16">
        <f>$E36</f>
        <v>22.533500000000004</v>
      </c>
      <c r="I22" s="16">
        <f>$E37</f>
        <v>22.533500000000004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-205.4665</v>
      </c>
      <c r="D23" s="16">
        <f t="shared" ref="D23:V23" si="3">D22-D21</f>
        <v>-205.4665</v>
      </c>
      <c r="E23" s="16">
        <f t="shared" si="3"/>
        <v>-43.466499999999996</v>
      </c>
      <c r="F23" s="16">
        <f t="shared" si="3"/>
        <v>-43.466499999999996</v>
      </c>
      <c r="G23" s="16">
        <f t="shared" si="3"/>
        <v>-205.4665</v>
      </c>
      <c r="H23" s="16">
        <f t="shared" si="3"/>
        <v>-205.4665</v>
      </c>
      <c r="I23" s="16">
        <f t="shared" si="3"/>
        <v>-205.4665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1.55</v>
      </c>
      <c r="C28" s="15">
        <v>0.03</v>
      </c>
      <c r="D28" s="15">
        <v>61.5</v>
      </c>
      <c r="E28" s="15">
        <v>74.8</v>
      </c>
      <c r="F28" s="15">
        <v>24</v>
      </c>
      <c r="G28" s="15">
        <v>0.21199999999999999</v>
      </c>
      <c r="H28" s="15">
        <v>1.77</v>
      </c>
      <c r="I28" s="15">
        <v>0.5</v>
      </c>
      <c r="J28" s="15">
        <v>0.01</v>
      </c>
      <c r="K28" s="23">
        <v>0.05</v>
      </c>
      <c r="L28" s="15">
        <v>0.22900000000000001</v>
      </c>
      <c r="M28" s="15">
        <v>0.27600000000000002</v>
      </c>
      <c r="N28" s="15"/>
      <c r="O28" s="15"/>
      <c r="P28" s="15">
        <v>284</v>
      </c>
      <c r="Q28" s="15">
        <v>125</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35.224125000000001</v>
      </c>
      <c r="E31" s="77">
        <f>(IF(E$27="%w/w SAR",((E$28*10)*$B31),IF(E$27="%w/w DM",(((E$28*10)*($B$28/100))*$B31),IF(E$27="kg/t SAR",(E$28*$B31),IF(E$27="kg/t DM",((E$28*($B$28/100))*$B31),IF(E$27="mg/kg SAR",((E$28*0.001)*$B31),IF(E$27="mg/kg DM",(((E$28*0.001)*($B$28/100))*$B31),"0")))))))*1.205</f>
        <v>22.533500000000004</v>
      </c>
      <c r="F31" s="77">
        <f>(IF(F$27="%w/w SAR",((F$28*10)*$B31),IF(F$27="%w/w DM",(((F$28*10)*($B$28/100))*$B31),IF(F$27="kg/t SAR",(F$28*$B31),IF(F$27="kg/t DM",((F$28*($B$28/100))*$B31),IF(F$27="mg/kg SAR",((F$28*0.001)*$B31),IF(F$27="mg/kg DM",(((F$28*0.001)*($B$28/100))*$B31),"0")))))))*1.658</f>
        <v>9.9480000000000004</v>
      </c>
      <c r="G31" s="77">
        <f t="shared" ref="G31:P46" si="5">IF(G$27="%w/w SAR",((G$28*10)*$B31),IF(G$27="%w/w DM",(((G$28*10)*($B$28/100))*$B31),IF(G$27="kg/t SAR",(G$28*$B31),IF(G$27="kg/t DM",((G$28*($B$28/100))*$B31),IF(G$27="mg/kg SAR",((G$28*0.001)*$B31),IF(G$27="mg/kg DM",(((G$28*0.001)*($B$28/100))*$B31),0))))))</f>
        <v>5.2999999999999999E-2</v>
      </c>
      <c r="H31" s="77">
        <f t="shared" si="5"/>
        <v>0.4425</v>
      </c>
      <c r="I31" s="77">
        <f t="shared" si="5"/>
        <v>0.125</v>
      </c>
      <c r="J31" s="77">
        <f t="shared" si="5"/>
        <v>2.5000000000000001E-3</v>
      </c>
      <c r="K31" s="77">
        <f t="shared" si="5"/>
        <v>1.2500000000000001E-2</v>
      </c>
      <c r="L31" s="77">
        <f t="shared" si="5"/>
        <v>5.7250000000000002E-2</v>
      </c>
      <c r="M31" s="77">
        <f t="shared" si="5"/>
        <v>6.9000000000000006E-2</v>
      </c>
      <c r="N31" s="77">
        <f t="shared" si="5"/>
        <v>0</v>
      </c>
      <c r="O31" s="77">
        <f t="shared" si="5"/>
        <v>0</v>
      </c>
      <c r="P31" s="77">
        <f t="shared" si="5"/>
        <v>71.000000000000014</v>
      </c>
      <c r="Q31" s="77">
        <f>(IF(Q$27="%w/w SAR",((Q$28*10)*$B31),IF(Q$27="%w/w DM",(((Q$28*10)*($B$28/100))*$B31),IF(Q$27="kg/t SAR",(Q$28*$B31),IF(Q$27="kg/t DM",((Q$28*($B$28/100))*$B31),IF(Q$27="mg/kg SAR",((Q$28*0.001)*$B31),IF(Q$27="mg/kg DM",(((Q$28*0.001)*($B$28/100))*$B31),0)))))))*2.5</f>
        <v>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35.224125000000001</v>
      </c>
      <c r="E32" s="77">
        <f t="shared" ref="E32:E50" si="8">(IF(E$27="%w/w SAR",((E$28*10)*$B32),IF(E$27="%w/w DM",(((E$28*10)*($B$28/100))*$B32),IF(E$27="kg/t SAR",(E$28*$B32),IF(E$27="kg/t DM",((E$28*($B$28/100))*$B32),IF(E$27="mg/kg SAR",((E$28*0.001)*$B32),IF(E$27="mg/kg DM",(((E$28*0.001)*($B$28/100))*$B32),"0")))))))*1.205</f>
        <v>22.533500000000004</v>
      </c>
      <c r="F32" s="77">
        <f t="shared" ref="F32:F50" si="9">(IF(F$27="%w/w SAR",((F$28*10)*$B32),IF(F$27="%w/w DM",(((F$28*10)*($B$28/100))*$B32),IF(F$27="kg/t SAR",(F$28*$B32),IF(F$27="kg/t DM",((F$28*($B$28/100))*$B32),IF(F$27="mg/kg SAR",((F$28*0.001)*$B32),IF(F$27="mg/kg DM",(((F$28*0.001)*($B$28/100))*$B32),"0")))))))*1.658</f>
        <v>9.9480000000000004</v>
      </c>
      <c r="G32" s="77">
        <f t="shared" si="5"/>
        <v>5.2999999999999999E-2</v>
      </c>
      <c r="H32" s="77">
        <f t="shared" si="5"/>
        <v>0.4425</v>
      </c>
      <c r="I32" s="77">
        <f t="shared" si="5"/>
        <v>0.125</v>
      </c>
      <c r="J32" s="77">
        <f t="shared" si="5"/>
        <v>2.5000000000000001E-3</v>
      </c>
      <c r="K32" s="77">
        <f t="shared" si="5"/>
        <v>1.2500000000000001E-2</v>
      </c>
      <c r="L32" s="77">
        <f t="shared" si="5"/>
        <v>5.7250000000000002E-2</v>
      </c>
      <c r="M32" s="77">
        <f t="shared" si="5"/>
        <v>6.9000000000000006E-2</v>
      </c>
      <c r="N32" s="77">
        <f t="shared" si="5"/>
        <v>0</v>
      </c>
      <c r="O32" s="77">
        <f t="shared" si="5"/>
        <v>0</v>
      </c>
      <c r="P32" s="77">
        <f t="shared" si="5"/>
        <v>71.000000000000014</v>
      </c>
      <c r="Q32" s="77">
        <f t="shared" ref="Q32:Q50" si="10">(IF(Q$27="%w/w SAR",((Q$28*10)*$B32),IF(Q$27="%w/w DM",(((Q$28*10)*($B$28/100))*$B32),IF(Q$27="kg/t SAR",(Q$28*$B32),IF(Q$27="kg/t DM",((Q$28*($B$28/100))*$B32),IF(Q$27="mg/kg SAR",((Q$28*0.001)*$B32),IF(Q$27="mg/kg DM",(((Q$28*0.001)*($B$28/100))*$B32),0)))))))*2.5</f>
        <v>78.125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250</v>
      </c>
      <c r="C33" s="77">
        <f t="shared" si="6"/>
        <v>75</v>
      </c>
      <c r="D33" s="77">
        <f t="shared" si="7"/>
        <v>35.224125000000001</v>
      </c>
      <c r="E33" s="77">
        <f t="shared" si="8"/>
        <v>22.533500000000004</v>
      </c>
      <c r="F33" s="77">
        <f t="shared" si="9"/>
        <v>9.9480000000000004</v>
      </c>
      <c r="G33" s="77">
        <f t="shared" si="5"/>
        <v>5.2999999999999999E-2</v>
      </c>
      <c r="H33" s="77">
        <f t="shared" si="5"/>
        <v>0.4425</v>
      </c>
      <c r="I33" s="77">
        <f t="shared" si="5"/>
        <v>0.125</v>
      </c>
      <c r="J33" s="77">
        <f t="shared" si="5"/>
        <v>2.5000000000000001E-3</v>
      </c>
      <c r="K33" s="77">
        <f t="shared" si="5"/>
        <v>1.2500000000000001E-2</v>
      </c>
      <c r="L33" s="77">
        <f t="shared" si="5"/>
        <v>5.7250000000000002E-2</v>
      </c>
      <c r="M33" s="77">
        <f t="shared" si="5"/>
        <v>6.9000000000000006E-2</v>
      </c>
      <c r="N33" s="77">
        <f t="shared" si="5"/>
        <v>0</v>
      </c>
      <c r="O33" s="77">
        <f t="shared" si="5"/>
        <v>0</v>
      </c>
      <c r="P33" s="77">
        <f t="shared" si="5"/>
        <v>71.000000000000014</v>
      </c>
      <c r="Q33" s="77">
        <f t="shared" si="10"/>
        <v>78.125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250</v>
      </c>
      <c r="C34" s="77">
        <f t="shared" si="6"/>
        <v>75</v>
      </c>
      <c r="D34" s="77">
        <f t="shared" si="7"/>
        <v>35.224125000000001</v>
      </c>
      <c r="E34" s="77">
        <f t="shared" si="8"/>
        <v>22.533500000000004</v>
      </c>
      <c r="F34" s="77">
        <f t="shared" si="9"/>
        <v>9.9480000000000004</v>
      </c>
      <c r="G34" s="77">
        <f t="shared" si="5"/>
        <v>5.2999999999999999E-2</v>
      </c>
      <c r="H34" s="77">
        <f t="shared" si="5"/>
        <v>0.4425</v>
      </c>
      <c r="I34" s="77">
        <f t="shared" si="5"/>
        <v>0.125</v>
      </c>
      <c r="J34" s="77">
        <f t="shared" si="5"/>
        <v>2.5000000000000001E-3</v>
      </c>
      <c r="K34" s="77">
        <f t="shared" si="5"/>
        <v>1.2500000000000001E-2</v>
      </c>
      <c r="L34" s="77">
        <f t="shared" si="5"/>
        <v>5.7250000000000002E-2</v>
      </c>
      <c r="M34" s="77">
        <f t="shared" si="5"/>
        <v>6.9000000000000006E-2</v>
      </c>
      <c r="N34" s="77">
        <f t="shared" si="5"/>
        <v>0</v>
      </c>
      <c r="O34" s="77">
        <f t="shared" si="5"/>
        <v>0</v>
      </c>
      <c r="P34" s="77">
        <f t="shared" si="5"/>
        <v>71.000000000000014</v>
      </c>
      <c r="Q34" s="77">
        <f t="shared" si="10"/>
        <v>78.125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250</v>
      </c>
      <c r="C35" s="77">
        <f t="shared" si="6"/>
        <v>75</v>
      </c>
      <c r="D35" s="77">
        <f t="shared" si="7"/>
        <v>35.224125000000001</v>
      </c>
      <c r="E35" s="77">
        <f t="shared" si="8"/>
        <v>22.533500000000004</v>
      </c>
      <c r="F35" s="77">
        <f t="shared" si="9"/>
        <v>9.9480000000000004</v>
      </c>
      <c r="G35" s="77">
        <f t="shared" si="5"/>
        <v>5.2999999999999999E-2</v>
      </c>
      <c r="H35" s="77">
        <f t="shared" si="5"/>
        <v>0.4425</v>
      </c>
      <c r="I35" s="77">
        <f t="shared" si="5"/>
        <v>0.125</v>
      </c>
      <c r="J35" s="77">
        <f t="shared" si="5"/>
        <v>2.5000000000000001E-3</v>
      </c>
      <c r="K35" s="77">
        <f t="shared" si="5"/>
        <v>1.2500000000000001E-2</v>
      </c>
      <c r="L35" s="77">
        <f t="shared" si="5"/>
        <v>5.7250000000000002E-2</v>
      </c>
      <c r="M35" s="77">
        <f t="shared" si="5"/>
        <v>6.9000000000000006E-2</v>
      </c>
      <c r="N35" s="77">
        <f t="shared" si="5"/>
        <v>0</v>
      </c>
      <c r="O35" s="77">
        <f t="shared" si="5"/>
        <v>0</v>
      </c>
      <c r="P35" s="77">
        <f t="shared" si="5"/>
        <v>71.000000000000014</v>
      </c>
      <c r="Q35" s="77">
        <f t="shared" si="10"/>
        <v>78.125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250</v>
      </c>
      <c r="C36" s="77">
        <f t="shared" si="6"/>
        <v>75</v>
      </c>
      <c r="D36" s="77">
        <f t="shared" si="7"/>
        <v>35.224125000000001</v>
      </c>
      <c r="E36" s="77">
        <f t="shared" si="8"/>
        <v>22.533500000000004</v>
      </c>
      <c r="F36" s="77">
        <f t="shared" si="9"/>
        <v>9.9480000000000004</v>
      </c>
      <c r="G36" s="77">
        <f t="shared" si="5"/>
        <v>5.2999999999999999E-2</v>
      </c>
      <c r="H36" s="77">
        <f t="shared" si="5"/>
        <v>0.4425</v>
      </c>
      <c r="I36" s="77">
        <f t="shared" si="5"/>
        <v>0.125</v>
      </c>
      <c r="J36" s="77">
        <f t="shared" si="5"/>
        <v>2.5000000000000001E-3</v>
      </c>
      <c r="K36" s="77">
        <f t="shared" si="5"/>
        <v>1.2500000000000001E-2</v>
      </c>
      <c r="L36" s="77">
        <f t="shared" si="5"/>
        <v>5.7250000000000002E-2</v>
      </c>
      <c r="M36" s="77">
        <f t="shared" si="5"/>
        <v>6.9000000000000006E-2</v>
      </c>
      <c r="N36" s="77">
        <f t="shared" si="5"/>
        <v>0</v>
      </c>
      <c r="O36" s="77">
        <f t="shared" si="5"/>
        <v>0</v>
      </c>
      <c r="P36" s="77">
        <f t="shared" si="5"/>
        <v>71.000000000000014</v>
      </c>
      <c r="Q36" s="77">
        <f t="shared" si="10"/>
        <v>78.125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250</v>
      </c>
      <c r="C37" s="77">
        <f t="shared" si="6"/>
        <v>75</v>
      </c>
      <c r="D37" s="77">
        <f t="shared" si="7"/>
        <v>35.224125000000001</v>
      </c>
      <c r="E37" s="77">
        <f t="shared" si="8"/>
        <v>22.533500000000004</v>
      </c>
      <c r="F37" s="77">
        <f t="shared" si="9"/>
        <v>9.9480000000000004</v>
      </c>
      <c r="G37" s="77">
        <f t="shared" si="5"/>
        <v>5.2999999999999999E-2</v>
      </c>
      <c r="H37" s="77">
        <f t="shared" si="5"/>
        <v>0.4425</v>
      </c>
      <c r="I37" s="77">
        <f t="shared" si="5"/>
        <v>0.125</v>
      </c>
      <c r="J37" s="77">
        <f t="shared" si="5"/>
        <v>2.5000000000000001E-3</v>
      </c>
      <c r="K37" s="77">
        <f t="shared" si="5"/>
        <v>1.2500000000000001E-2</v>
      </c>
      <c r="L37" s="77">
        <f t="shared" si="5"/>
        <v>5.7250000000000002E-2</v>
      </c>
      <c r="M37" s="77">
        <f t="shared" si="5"/>
        <v>6.9000000000000006E-2</v>
      </c>
      <c r="N37" s="77">
        <f t="shared" si="5"/>
        <v>0</v>
      </c>
      <c r="O37" s="77">
        <f t="shared" si="5"/>
        <v>0</v>
      </c>
      <c r="P37" s="77">
        <f t="shared" si="5"/>
        <v>71.000000000000014</v>
      </c>
      <c r="Q37" s="77">
        <f t="shared" si="10"/>
        <v>78.125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Arable</v>
      </c>
      <c r="E58" s="13" t="str">
        <f>F16&amp;" I "&amp;(VLOOKUP(F14,Table24581113[],6,FALSE))</f>
        <v>Medium/Clay I Arable</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6.7</v>
      </c>
      <c r="E59" s="76">
        <f>VLOOKUP(F$14,Table24581113[],5,FALSE)</f>
        <v>6.7</v>
      </c>
      <c r="F59" s="76">
        <f>VLOOKUP(G$14,Table24581113[],5,FALSE)</f>
        <v>6.2</v>
      </c>
      <c r="G59" s="76">
        <f>VLOOKUP(H$14,Table24581113[],5,FALSE)</f>
        <v>6.2</v>
      </c>
      <c r="H59" s="76">
        <f>VLOOKUP(I$14,Table24581113[],5,FALSE)</f>
        <v>6.2</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7" priority="43" operator="equal">
      <formula>"DECREASE"</formula>
    </cfRule>
    <cfRule type="cellIs" dxfId="126" priority="44" operator="equal">
      <formula>"INCREASE"</formula>
    </cfRule>
  </conditionalFormatting>
  <conditionalFormatting sqref="B62:U66 B31:B50">
    <cfRule type="cellIs" dxfId="125" priority="42" operator="greaterThan">
      <formula>$B$51</formula>
    </cfRule>
  </conditionalFormatting>
  <conditionalFormatting sqref="C31:C50">
    <cfRule type="cellIs" dxfId="124" priority="41" operator="greaterThan">
      <formula>$C$51</formula>
    </cfRule>
  </conditionalFormatting>
  <conditionalFormatting sqref="C18:V18">
    <cfRule type="cellIs" dxfId="123" priority="40" operator="equal">
      <formula>0</formula>
    </cfRule>
  </conditionalFormatting>
  <conditionalFormatting sqref="C17:V17">
    <cfRule type="cellIs" dxfId="122" priority="39" operator="equal">
      <formula>0</formula>
    </cfRule>
  </conditionalFormatting>
  <conditionalFormatting sqref="C19:V19">
    <cfRule type="cellIs" dxfId="121" priority="38" operator="equal">
      <formula>0</formula>
    </cfRule>
  </conditionalFormatting>
  <conditionalFormatting sqref="G31:G50">
    <cfRule type="cellIs" dxfId="120" priority="37" operator="greaterThan">
      <formula>$G$51</formula>
    </cfRule>
  </conditionalFormatting>
  <conditionalFormatting sqref="H31:H50">
    <cfRule type="cellIs" dxfId="119" priority="36" operator="greaterThan">
      <formula>$H$51</formula>
    </cfRule>
  </conditionalFormatting>
  <conditionalFormatting sqref="I31:I50">
    <cfRule type="cellIs" dxfId="118" priority="35" operator="greaterThan">
      <formula>$I$51</formula>
    </cfRule>
  </conditionalFormatting>
  <conditionalFormatting sqref="K31:K50">
    <cfRule type="cellIs" dxfId="117" priority="34" operator="greaterThan">
      <formula>$K$51</formula>
    </cfRule>
  </conditionalFormatting>
  <conditionalFormatting sqref="L31:L50">
    <cfRule type="cellIs" dxfId="116" priority="33" operator="greaterThan">
      <formula>$L$51</formula>
    </cfRule>
  </conditionalFormatting>
  <conditionalFormatting sqref="M31:M50">
    <cfRule type="cellIs" dxfId="115" priority="32" operator="greaterThan">
      <formula>$M$51</formula>
    </cfRule>
  </conditionalFormatting>
  <conditionalFormatting sqref="P31:P50">
    <cfRule type="cellIs" dxfId="114" priority="31" operator="greaterThan">
      <formula>$P$51</formula>
    </cfRule>
  </conditionalFormatting>
  <conditionalFormatting sqref="R31:R50">
    <cfRule type="cellIs" dxfId="113" priority="30" operator="greaterThan">
      <formula>$R$51</formula>
    </cfRule>
  </conditionalFormatting>
  <conditionalFormatting sqref="S31:S50">
    <cfRule type="cellIs" dxfId="112" priority="29" operator="greaterThan">
      <formula>$S$51</formula>
    </cfRule>
  </conditionalFormatting>
  <conditionalFormatting sqref="T31:T50">
    <cfRule type="cellIs" dxfId="111" priority="28" operator="greaterThan">
      <formula>$T$51</formula>
    </cfRule>
  </conditionalFormatting>
  <conditionalFormatting sqref="U31:U50">
    <cfRule type="cellIs" dxfId="110" priority="27" operator="greaterThan">
      <formula>$U$51</formula>
    </cfRule>
  </conditionalFormatting>
  <conditionalFormatting sqref="C22:V22">
    <cfRule type="cellIs" dxfId="109" priority="26" operator="equal">
      <formula>0</formula>
    </cfRule>
  </conditionalFormatting>
  <conditionalFormatting sqref="C24:V24">
    <cfRule type="cellIs" dxfId="108" priority="24" operator="equal">
      <formula>"DECREASE"</formula>
    </cfRule>
    <cfRule type="cellIs" dxfId="107" priority="25" operator="equal">
      <formula>"INCREASE"</formula>
    </cfRule>
  </conditionalFormatting>
  <conditionalFormatting sqref="C23:V23">
    <cfRule type="cellIs" dxfId="106" priority="23" operator="equal">
      <formula>0</formula>
    </cfRule>
  </conditionalFormatting>
  <conditionalFormatting sqref="C21:V21">
    <cfRule type="cellIs" dxfId="105" priority="19" operator="equal">
      <formula>0</formula>
    </cfRule>
  </conditionalFormatting>
  <conditionalFormatting sqref="B66:U66">
    <cfRule type="cellIs" dxfId="104" priority="17" operator="equal">
      <formula>"UNDER"</formula>
    </cfRule>
    <cfRule type="cellIs" dxfId="103" priority="18" operator="equal">
      <formula>"OVER"</formula>
    </cfRule>
  </conditionalFormatting>
  <conditionalFormatting sqref="J31:J50">
    <cfRule type="cellIs" dxfId="102" priority="14" operator="greaterThan">
      <formula>$J$51</formula>
    </cfRule>
  </conditionalFormatting>
  <conditionalFormatting sqref="L3">
    <cfRule type="cellIs" dxfId="101" priority="10" operator="lessThan">
      <formula>30</formula>
    </cfRule>
    <cfRule type="cellIs" dxfId="100" priority="11" operator="greaterThanOrEqual">
      <formula>30</formula>
    </cfRule>
  </conditionalFormatting>
  <conditionalFormatting sqref="I1">
    <cfRule type="cellIs" dxfId="99" priority="3" operator="between">
      <formula>0.1</formula>
      <formula>5</formula>
    </cfRule>
  </conditionalFormatting>
  <conditionalFormatting sqref="I2">
    <cfRule type="cellIs" dxfId="98" priority="2" operator="greaterThan">
      <formula>5000.1</formula>
    </cfRule>
  </conditionalFormatting>
  <conditionalFormatting sqref="I3">
    <cfRule type="cellIs" dxfId="97"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2" t="s">
        <v>41</v>
      </c>
      <c r="B1" s="122"/>
      <c r="C1" s="143" t="str">
        <f>Beechdean!C1:D1</f>
        <v>PAN-017507</v>
      </c>
      <c r="D1" s="144"/>
      <c r="E1" s="93" t="s">
        <v>45</v>
      </c>
      <c r="F1" s="39">
        <f>Beechdean!F1</f>
        <v>51.8</v>
      </c>
      <c r="G1" s="123" t="s">
        <v>43</v>
      </c>
      <c r="H1" s="124"/>
      <c r="I1" s="121">
        <v>7.05</v>
      </c>
      <c r="J1" s="122" t="s">
        <v>153</v>
      </c>
      <c r="K1" s="122"/>
      <c r="L1" s="121">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0" t="s">
        <v>174</v>
      </c>
      <c r="G2" s="141" t="s">
        <v>110</v>
      </c>
      <c r="H2" s="142"/>
      <c r="I2" s="121">
        <v>1784</v>
      </c>
      <c r="J2" s="122" t="s">
        <v>158</v>
      </c>
      <c r="K2" s="122"/>
      <c r="L2" s="121">
        <v>0.37</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78</v>
      </c>
      <c r="G3" s="122" t="s">
        <v>159</v>
      </c>
      <c r="H3" s="122"/>
      <c r="I3" s="121">
        <v>4120</v>
      </c>
      <c r="J3" s="123" t="s">
        <v>154</v>
      </c>
      <c r="K3" s="124"/>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0" t="s">
        <v>180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54.177568000000001</v>
      </c>
      <c r="D18" s="16">
        <f>$D32</f>
        <v>54.177568000000001</v>
      </c>
      <c r="E18" s="16">
        <f>$D33</f>
        <v>44.019273999999996</v>
      </c>
      <c r="F18" s="16">
        <f>$D34</f>
        <v>44.019273999999996</v>
      </c>
      <c r="G18" s="16">
        <f>$D35</f>
        <v>54.177568000000001</v>
      </c>
      <c r="H18" s="16">
        <f>$D36</f>
        <v>54.177568000000001</v>
      </c>
      <c r="I18" s="16">
        <f>$D37</f>
        <v>54.177568000000001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-10.422431999999993</v>
      </c>
      <c r="D19" s="16">
        <f t="shared" ref="D19:V19" si="1">D18-D17</f>
        <v>-10.422431999999993</v>
      </c>
      <c r="E19" s="16">
        <f t="shared" si="1"/>
        <v>-2.7307260000000042</v>
      </c>
      <c r="F19" s="16">
        <f t="shared" si="1"/>
        <v>-2.7307260000000042</v>
      </c>
      <c r="G19" s="16">
        <f t="shared" si="1"/>
        <v>-10.422431999999993</v>
      </c>
      <c r="H19" s="16">
        <f t="shared" si="1"/>
        <v>-10.422431999999993</v>
      </c>
      <c r="I19" s="16">
        <f t="shared" si="1"/>
        <v>-10.422431999999993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6.6708800000000013</v>
      </c>
      <c r="D22" s="16">
        <f>$E32</f>
        <v>6.6708800000000013</v>
      </c>
      <c r="E22" s="16">
        <f>$E33</f>
        <v>5.420090000000001</v>
      </c>
      <c r="F22" s="16">
        <f>$E34</f>
        <v>5.420090000000001</v>
      </c>
      <c r="G22" s="16">
        <f>$E35</f>
        <v>6.6708800000000013</v>
      </c>
      <c r="H22" s="16">
        <f>$E36</f>
        <v>6.6708800000000013</v>
      </c>
      <c r="I22" s="16">
        <f>$E37</f>
        <v>6.6708800000000013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-221.32911999999999</v>
      </c>
      <c r="D23" s="16">
        <f t="shared" ref="D23:V23" si="3">D22-D21</f>
        <v>-221.32911999999999</v>
      </c>
      <c r="E23" s="16">
        <f t="shared" si="3"/>
        <v>-60.579909999999998</v>
      </c>
      <c r="F23" s="16">
        <f t="shared" si="3"/>
        <v>-60.579909999999998</v>
      </c>
      <c r="G23" s="16">
        <f t="shared" si="3"/>
        <v>-221.32911999999999</v>
      </c>
      <c r="H23" s="16">
        <f t="shared" si="3"/>
        <v>-221.32911999999999</v>
      </c>
      <c r="I23" s="16">
        <f t="shared" si="3"/>
        <v>-221.32911999999999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4.2699999999999996</v>
      </c>
      <c r="C28" s="15">
        <v>0.37</v>
      </c>
      <c r="D28" s="15">
        <v>739</v>
      </c>
      <c r="E28" s="15">
        <v>173</v>
      </c>
      <c r="F28" s="15">
        <v>230</v>
      </c>
      <c r="G28" s="15">
        <v>3.24</v>
      </c>
      <c r="H28" s="15">
        <v>16.3</v>
      </c>
      <c r="I28" s="15">
        <v>0.5</v>
      </c>
      <c r="J28" s="15">
        <v>0.01</v>
      </c>
      <c r="K28" s="23">
        <v>0.05</v>
      </c>
      <c r="L28" s="15">
        <v>0.879</v>
      </c>
      <c r="M28" s="15">
        <v>0.92700000000000005</v>
      </c>
      <c r="N28" s="15"/>
      <c r="O28" s="15"/>
      <c r="P28" s="15">
        <v>735</v>
      </c>
      <c r="Q28" s="15">
        <v>582</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32</v>
      </c>
      <c r="C31" s="77">
        <f>IF(C$27="%w/w SAR",((C$28*10)*$B31),IF(C$27="%w/w DM",(((C$28*10)*($B$28/100))*$B31),IF(C$27="kg/t SAR",(C$28*$B31),IF(C$27="kg/t DM",((C$28*($B$28/100))*$B31),IF(C$27="mg/kg SAR",((C$28*0.001)*$B31),IF(C$27="mg/kg DM",(((C$28*0.001)*($B$28/100))*$B31),0))))))</f>
        <v>118.4</v>
      </c>
      <c r="D31" s="77">
        <f>(IF(D$27="%w/w SAR",((D$28*10)*$B31),IF(D$27="%w/w DM",(((D$28*10)*($B$28/100))*$B31),IF(D$27="kg/t SAR",(D$28*$B31),IF(D$27="kg/t DM",((D$28*($B$28/100))*$B31),IF(D$27="mg/kg SAR",((D$28*0.001)*$B31),IF(D$27="mg/kg DM",(((D$28*0.001)*($B$28/100))*$B31),"0")))))))*2.291</f>
        <v>54.177568000000001</v>
      </c>
      <c r="E31" s="77">
        <f>(IF(E$27="%w/w SAR",((E$28*10)*$B31),IF(E$27="%w/w DM",(((E$28*10)*($B$28/100))*$B31),IF(E$27="kg/t SAR",(E$28*$B31),IF(E$27="kg/t DM",((E$28*($B$28/100))*$B31),IF(E$27="mg/kg SAR",((E$28*0.001)*$B31),IF(E$27="mg/kg DM",(((E$28*0.001)*($B$28/100))*$B31),"0")))))))*1.205</f>
        <v>6.6708800000000013</v>
      </c>
      <c r="F31" s="77">
        <f>(IF(F$27="%w/w SAR",((F$28*10)*$B31),IF(F$27="%w/w DM",(((F$28*10)*($B$28/100))*$B31),IF(F$27="kg/t SAR",(F$28*$B31),IF(F$27="kg/t DM",((F$28*($B$28/100))*$B31),IF(F$27="mg/kg SAR",((F$28*0.001)*$B31),IF(F$27="mg/kg DM",(((F$28*0.001)*($B$28/100))*$B31),"0")))))))*1.658</f>
        <v>12.20288</v>
      </c>
      <c r="G31" s="77">
        <f t="shared" ref="G31:P46" si="5">IF(G$27="%w/w SAR",((G$28*10)*$B31),IF(G$27="%w/w DM",(((G$28*10)*($B$28/100))*$B31),IF(G$27="kg/t SAR",(G$28*$B31),IF(G$27="kg/t DM",((G$28*($B$28/100))*$B31),IF(G$27="mg/kg SAR",((G$28*0.001)*$B31),IF(G$27="mg/kg DM",(((G$28*0.001)*($B$28/100))*$B31),0))))))</f>
        <v>0.10368000000000001</v>
      </c>
      <c r="H31" s="77">
        <f t="shared" si="5"/>
        <v>0.52160000000000006</v>
      </c>
      <c r="I31" s="77">
        <f t="shared" si="5"/>
        <v>1.6E-2</v>
      </c>
      <c r="J31" s="77">
        <f t="shared" si="5"/>
        <v>3.2000000000000003E-4</v>
      </c>
      <c r="K31" s="77">
        <f t="shared" si="5"/>
        <v>1.6000000000000001E-3</v>
      </c>
      <c r="L31" s="77">
        <f t="shared" si="5"/>
        <v>2.8128E-2</v>
      </c>
      <c r="M31" s="77">
        <f t="shared" si="5"/>
        <v>2.9664000000000003E-2</v>
      </c>
      <c r="N31" s="77">
        <f t="shared" si="5"/>
        <v>0</v>
      </c>
      <c r="O31" s="77">
        <f t="shared" si="5"/>
        <v>0</v>
      </c>
      <c r="P31" s="77">
        <f t="shared" si="5"/>
        <v>23.52</v>
      </c>
      <c r="Q31" s="77">
        <f>(IF(Q$27="%w/w SAR",((Q$28*10)*$B31),IF(Q$27="%w/w DM",(((Q$28*10)*($B$28/100))*$B31),IF(Q$27="kg/t SAR",(Q$28*$B31),IF(Q$27="kg/t DM",((Q$28*($B$28/100))*$B31),IF(Q$27="mg/kg SAR",((Q$28*0.001)*$B31),IF(Q$27="mg/kg DM",(((Q$28*0.001)*($B$28/100))*$B31),0)))))))*2.5</f>
        <v>46.559999999999995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32</v>
      </c>
      <c r="C32" s="77">
        <f t="shared" ref="C32:C50" si="6">IF(C$27="%w/w SAR",((C$28*10)*$B32),IF(C$27="%w/w DM",(((C$28*10)*($B$28/100))*$B32),IF(C$27="kg/t SAR",(C$28*$B32),IF(C$27="kg/t DM",((C$28*($B$28/100))*$B32),IF(C$27="mg/kg SAR",((C$28*0.001)*$B32),IF(C$27="mg/kg DM",(((C$28*0.001)*($B$28/100))*$B32),0))))))</f>
        <v>118.4</v>
      </c>
      <c r="D32" s="77">
        <f t="shared" ref="D32:D50" si="7">(IF(D$27="%w/w SAR",((D$28*10)*$B32),IF(D$27="%w/w DM",(((D$28*10)*($B$28/100))*$B32),IF(D$27="kg/t SAR",(D$28*$B32),IF(D$27="kg/t DM",((D$28*($B$28/100))*$B32),IF(D$27="mg/kg SAR",((D$28*0.001)*$B32),IF(D$27="mg/kg DM",(((D$28*0.001)*($B$28/100))*$B32),"0")))))))*2.291</f>
        <v>54.177568000000001</v>
      </c>
      <c r="E32" s="77">
        <f t="shared" ref="E32:E50" si="8">(IF(E$27="%w/w SAR",((E$28*10)*$B32),IF(E$27="%w/w DM",(((E$28*10)*($B$28/100))*$B32),IF(E$27="kg/t SAR",(E$28*$B32),IF(E$27="kg/t DM",((E$28*($B$28/100))*$B32),IF(E$27="mg/kg SAR",((E$28*0.001)*$B32),IF(E$27="mg/kg DM",(((E$28*0.001)*($B$28/100))*$B32),"0")))))))*1.205</f>
        <v>6.6708800000000013</v>
      </c>
      <c r="F32" s="77">
        <f t="shared" ref="F32:F50" si="9">(IF(F$27="%w/w SAR",((F$28*10)*$B32),IF(F$27="%w/w DM",(((F$28*10)*($B$28/100))*$B32),IF(F$27="kg/t SAR",(F$28*$B32),IF(F$27="kg/t DM",((F$28*($B$28/100))*$B32),IF(F$27="mg/kg SAR",((F$28*0.001)*$B32),IF(F$27="mg/kg DM",(((F$28*0.001)*($B$28/100))*$B32),"0")))))))*1.658</f>
        <v>12.20288</v>
      </c>
      <c r="G32" s="77">
        <f t="shared" si="5"/>
        <v>0.10368000000000001</v>
      </c>
      <c r="H32" s="77">
        <f t="shared" si="5"/>
        <v>0.52160000000000006</v>
      </c>
      <c r="I32" s="77">
        <f t="shared" si="5"/>
        <v>1.6E-2</v>
      </c>
      <c r="J32" s="77">
        <f t="shared" si="5"/>
        <v>3.2000000000000003E-4</v>
      </c>
      <c r="K32" s="77">
        <f t="shared" si="5"/>
        <v>1.6000000000000001E-3</v>
      </c>
      <c r="L32" s="77">
        <f t="shared" si="5"/>
        <v>2.8128E-2</v>
      </c>
      <c r="M32" s="77">
        <f t="shared" si="5"/>
        <v>2.9664000000000003E-2</v>
      </c>
      <c r="N32" s="77">
        <f t="shared" si="5"/>
        <v>0</v>
      </c>
      <c r="O32" s="77">
        <f t="shared" si="5"/>
        <v>0</v>
      </c>
      <c r="P32" s="77">
        <f t="shared" si="5"/>
        <v>23.52</v>
      </c>
      <c r="Q32" s="77">
        <f t="shared" ref="Q32:Q50" si="10">(IF(Q$27="%w/w SAR",((Q$28*10)*$B32),IF(Q$27="%w/w DM",(((Q$28*10)*($B$28/100))*$B32),IF(Q$27="kg/t SAR",(Q$28*$B32),IF(Q$27="kg/t DM",((Q$28*($B$28/100))*$B32),IF(Q$27="mg/kg SAR",((Q$28*0.001)*$B32),IF(Q$27="mg/kg DM",(((Q$28*0.001)*($B$28/100))*$B32),0)))))))*2.5</f>
        <v>46.559999999999995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26</v>
      </c>
      <c r="C33" s="77">
        <f t="shared" si="6"/>
        <v>96.2</v>
      </c>
      <c r="D33" s="77">
        <f t="shared" si="7"/>
        <v>44.019273999999996</v>
      </c>
      <c r="E33" s="77">
        <f t="shared" si="8"/>
        <v>5.420090000000001</v>
      </c>
      <c r="F33" s="77">
        <f t="shared" si="9"/>
        <v>9.9148399999999999</v>
      </c>
      <c r="G33" s="77">
        <f t="shared" si="5"/>
        <v>8.4240000000000009E-2</v>
      </c>
      <c r="H33" s="77">
        <f t="shared" si="5"/>
        <v>0.42380000000000007</v>
      </c>
      <c r="I33" s="77">
        <f t="shared" si="5"/>
        <v>1.3000000000000001E-2</v>
      </c>
      <c r="J33" s="77">
        <f t="shared" si="5"/>
        <v>2.6000000000000003E-4</v>
      </c>
      <c r="K33" s="77">
        <f t="shared" si="5"/>
        <v>1.3000000000000002E-3</v>
      </c>
      <c r="L33" s="77">
        <f t="shared" si="5"/>
        <v>2.2853999999999999E-2</v>
      </c>
      <c r="M33" s="77">
        <f t="shared" si="5"/>
        <v>2.4102000000000002E-2</v>
      </c>
      <c r="N33" s="77">
        <f t="shared" si="5"/>
        <v>0</v>
      </c>
      <c r="O33" s="77">
        <f t="shared" si="5"/>
        <v>0</v>
      </c>
      <c r="P33" s="77">
        <f t="shared" si="5"/>
        <v>19.11</v>
      </c>
      <c r="Q33" s="77">
        <f t="shared" si="10"/>
        <v>37.83</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26</v>
      </c>
      <c r="C34" s="77">
        <f t="shared" si="6"/>
        <v>96.2</v>
      </c>
      <c r="D34" s="77">
        <f t="shared" si="7"/>
        <v>44.019273999999996</v>
      </c>
      <c r="E34" s="77">
        <f t="shared" si="8"/>
        <v>5.420090000000001</v>
      </c>
      <c r="F34" s="77">
        <f t="shared" si="9"/>
        <v>9.9148399999999999</v>
      </c>
      <c r="G34" s="77">
        <f t="shared" si="5"/>
        <v>8.4240000000000009E-2</v>
      </c>
      <c r="H34" s="77">
        <f t="shared" si="5"/>
        <v>0.42380000000000007</v>
      </c>
      <c r="I34" s="77">
        <f t="shared" si="5"/>
        <v>1.3000000000000001E-2</v>
      </c>
      <c r="J34" s="77">
        <f t="shared" si="5"/>
        <v>2.6000000000000003E-4</v>
      </c>
      <c r="K34" s="77">
        <f t="shared" si="5"/>
        <v>1.3000000000000002E-3</v>
      </c>
      <c r="L34" s="77">
        <f t="shared" si="5"/>
        <v>2.2853999999999999E-2</v>
      </c>
      <c r="M34" s="77">
        <f t="shared" si="5"/>
        <v>2.4102000000000002E-2</v>
      </c>
      <c r="N34" s="77">
        <f t="shared" si="5"/>
        <v>0</v>
      </c>
      <c r="O34" s="77">
        <f t="shared" si="5"/>
        <v>0</v>
      </c>
      <c r="P34" s="77">
        <f t="shared" si="5"/>
        <v>19.11</v>
      </c>
      <c r="Q34" s="77">
        <f t="shared" si="10"/>
        <v>37.83</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32</v>
      </c>
      <c r="C35" s="77">
        <f t="shared" si="6"/>
        <v>118.4</v>
      </c>
      <c r="D35" s="77">
        <f t="shared" si="7"/>
        <v>54.177568000000001</v>
      </c>
      <c r="E35" s="77">
        <f t="shared" si="8"/>
        <v>6.6708800000000013</v>
      </c>
      <c r="F35" s="77">
        <f t="shared" si="9"/>
        <v>12.20288</v>
      </c>
      <c r="G35" s="77">
        <f t="shared" si="5"/>
        <v>0.10368000000000001</v>
      </c>
      <c r="H35" s="77">
        <f t="shared" si="5"/>
        <v>0.52160000000000006</v>
      </c>
      <c r="I35" s="77">
        <f t="shared" si="5"/>
        <v>1.6E-2</v>
      </c>
      <c r="J35" s="77">
        <f t="shared" si="5"/>
        <v>3.2000000000000003E-4</v>
      </c>
      <c r="K35" s="77">
        <f t="shared" si="5"/>
        <v>1.6000000000000001E-3</v>
      </c>
      <c r="L35" s="77">
        <f t="shared" si="5"/>
        <v>2.8128E-2</v>
      </c>
      <c r="M35" s="77">
        <f t="shared" si="5"/>
        <v>2.9664000000000003E-2</v>
      </c>
      <c r="N35" s="77">
        <f t="shared" si="5"/>
        <v>0</v>
      </c>
      <c r="O35" s="77">
        <f t="shared" si="5"/>
        <v>0</v>
      </c>
      <c r="P35" s="77">
        <f t="shared" si="5"/>
        <v>23.52</v>
      </c>
      <c r="Q35" s="77">
        <f t="shared" si="10"/>
        <v>46.559999999999995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32</v>
      </c>
      <c r="C36" s="77">
        <f t="shared" si="6"/>
        <v>118.4</v>
      </c>
      <c r="D36" s="77">
        <f t="shared" si="7"/>
        <v>54.177568000000001</v>
      </c>
      <c r="E36" s="77">
        <f t="shared" si="8"/>
        <v>6.6708800000000013</v>
      </c>
      <c r="F36" s="77">
        <f t="shared" si="9"/>
        <v>12.20288</v>
      </c>
      <c r="G36" s="77">
        <f t="shared" si="5"/>
        <v>0.10368000000000001</v>
      </c>
      <c r="H36" s="77">
        <f t="shared" si="5"/>
        <v>0.52160000000000006</v>
      </c>
      <c r="I36" s="77">
        <f t="shared" si="5"/>
        <v>1.6E-2</v>
      </c>
      <c r="J36" s="77">
        <f t="shared" si="5"/>
        <v>3.2000000000000003E-4</v>
      </c>
      <c r="K36" s="77">
        <f t="shared" si="5"/>
        <v>1.6000000000000001E-3</v>
      </c>
      <c r="L36" s="77">
        <f t="shared" si="5"/>
        <v>2.8128E-2</v>
      </c>
      <c r="M36" s="77">
        <f t="shared" si="5"/>
        <v>2.9664000000000003E-2</v>
      </c>
      <c r="N36" s="77">
        <f t="shared" si="5"/>
        <v>0</v>
      </c>
      <c r="O36" s="77">
        <f t="shared" si="5"/>
        <v>0</v>
      </c>
      <c r="P36" s="77">
        <f t="shared" si="5"/>
        <v>23.52</v>
      </c>
      <c r="Q36" s="77">
        <f t="shared" si="10"/>
        <v>46.559999999999995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32</v>
      </c>
      <c r="C37" s="77">
        <f t="shared" si="6"/>
        <v>118.4</v>
      </c>
      <c r="D37" s="77">
        <f t="shared" si="7"/>
        <v>54.177568000000001</v>
      </c>
      <c r="E37" s="77">
        <f t="shared" si="8"/>
        <v>6.6708800000000013</v>
      </c>
      <c r="F37" s="77">
        <f t="shared" si="9"/>
        <v>12.20288</v>
      </c>
      <c r="G37" s="77">
        <f t="shared" si="5"/>
        <v>0.10368000000000001</v>
      </c>
      <c r="H37" s="77">
        <f t="shared" si="5"/>
        <v>0.52160000000000006</v>
      </c>
      <c r="I37" s="77">
        <f t="shared" si="5"/>
        <v>1.6E-2</v>
      </c>
      <c r="J37" s="77">
        <f t="shared" si="5"/>
        <v>3.2000000000000003E-4</v>
      </c>
      <c r="K37" s="77">
        <f t="shared" si="5"/>
        <v>1.6000000000000001E-3</v>
      </c>
      <c r="L37" s="77">
        <f t="shared" si="5"/>
        <v>2.8128E-2</v>
      </c>
      <c r="M37" s="77">
        <f t="shared" si="5"/>
        <v>2.9664000000000003E-2</v>
      </c>
      <c r="N37" s="77">
        <f t="shared" si="5"/>
        <v>0</v>
      </c>
      <c r="O37" s="77">
        <f t="shared" si="5"/>
        <v>0</v>
      </c>
      <c r="P37" s="77">
        <f t="shared" si="5"/>
        <v>23.52</v>
      </c>
      <c r="Q37" s="77">
        <f t="shared" si="10"/>
        <v>46.559999999999995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Arable</v>
      </c>
      <c r="E58" s="13" t="str">
        <f>F16&amp;" I "&amp;(VLOOKUP(F14,Table24567[],6,FALSE))</f>
        <v>Medium/Clay I Arable</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6.7</v>
      </c>
      <c r="E59" s="76">
        <f>VLOOKUP(F$14,Table24567[],5,FALSE)</f>
        <v>6.7</v>
      </c>
      <c r="F59" s="76">
        <f>VLOOKUP(G$14,Table24567[],5,FALSE)</f>
        <v>6.2</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32</v>
      </c>
      <c r="C62" s="77">
        <f>B32</f>
        <v>32</v>
      </c>
      <c r="D62" s="77">
        <f>B33</f>
        <v>26</v>
      </c>
      <c r="E62" s="77">
        <f>B34</f>
        <v>26</v>
      </c>
      <c r="F62" s="77">
        <f>B35</f>
        <v>32</v>
      </c>
      <c r="G62" s="77">
        <f>B36</f>
        <v>32</v>
      </c>
      <c r="H62" s="77">
        <f>B37</f>
        <v>32</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5" priority="46" operator="equal">
      <formula>"DECREASE"</formula>
    </cfRule>
    <cfRule type="cellIs" dxfId="84" priority="47" operator="equal">
      <formula>"INCREASE"</formula>
    </cfRule>
  </conditionalFormatting>
  <conditionalFormatting sqref="B38:B50 B62:U66">
    <cfRule type="cellIs" dxfId="83" priority="45" operator="greaterThan">
      <formula>$B$51</formula>
    </cfRule>
  </conditionalFormatting>
  <conditionalFormatting sqref="C31:C50">
    <cfRule type="cellIs" dxfId="82" priority="44" operator="greaterThan">
      <formula>$C$51</formula>
    </cfRule>
  </conditionalFormatting>
  <conditionalFormatting sqref="C18:V18">
    <cfRule type="cellIs" dxfId="81" priority="43" operator="equal">
      <formula>0</formula>
    </cfRule>
  </conditionalFormatting>
  <conditionalFormatting sqref="C17:V17">
    <cfRule type="cellIs" dxfId="80" priority="42" operator="equal">
      <formula>0</formula>
    </cfRule>
  </conditionalFormatting>
  <conditionalFormatting sqref="C19:V19">
    <cfRule type="cellIs" dxfId="79" priority="41" operator="equal">
      <formula>0</formula>
    </cfRule>
  </conditionalFormatting>
  <conditionalFormatting sqref="G31:G50">
    <cfRule type="cellIs" dxfId="78" priority="40" operator="greaterThan">
      <formula>$G$51</formula>
    </cfRule>
  </conditionalFormatting>
  <conditionalFormatting sqref="H31:H50">
    <cfRule type="cellIs" dxfId="77" priority="39" operator="greaterThan">
      <formula>$H$51</formula>
    </cfRule>
  </conditionalFormatting>
  <conditionalFormatting sqref="I31:I50">
    <cfRule type="cellIs" dxfId="76" priority="38" operator="greaterThan">
      <formula>$I$51</formula>
    </cfRule>
  </conditionalFormatting>
  <conditionalFormatting sqref="K31:K50">
    <cfRule type="cellIs" dxfId="75" priority="37" operator="greaterThan">
      <formula>$K$51</formula>
    </cfRule>
  </conditionalFormatting>
  <conditionalFormatting sqref="L31:L50">
    <cfRule type="cellIs" dxfId="74" priority="36" operator="greaterThan">
      <formula>$L$51</formula>
    </cfRule>
  </conditionalFormatting>
  <conditionalFormatting sqref="M31:M50">
    <cfRule type="cellIs" dxfId="73" priority="35" operator="greaterThan">
      <formula>$M$51</formula>
    </cfRule>
  </conditionalFormatting>
  <conditionalFormatting sqref="P31:P50">
    <cfRule type="cellIs" dxfId="72" priority="34" operator="greaterThan">
      <formula>$P$51</formula>
    </cfRule>
  </conditionalFormatting>
  <conditionalFormatting sqref="R31:R50">
    <cfRule type="cellIs" dxfId="71" priority="33" operator="greaterThan">
      <formula>$R$51</formula>
    </cfRule>
  </conditionalFormatting>
  <conditionalFormatting sqref="S31:S50">
    <cfRule type="cellIs" dxfId="70" priority="32" operator="greaterThan">
      <formula>$S$51</formula>
    </cfRule>
  </conditionalFormatting>
  <conditionalFormatting sqref="T31:T50">
    <cfRule type="cellIs" dxfId="69" priority="31" operator="greaterThan">
      <formula>$T$51</formula>
    </cfRule>
  </conditionalFormatting>
  <conditionalFormatting sqref="U31:U50">
    <cfRule type="cellIs" dxfId="68" priority="30" operator="greaterThan">
      <formula>$U$51</formula>
    </cfRule>
  </conditionalFormatting>
  <conditionalFormatting sqref="C22:V22">
    <cfRule type="cellIs" dxfId="67" priority="29" operator="equal">
      <formula>0</formula>
    </cfRule>
  </conditionalFormatting>
  <conditionalFormatting sqref="C24:V24">
    <cfRule type="cellIs" dxfId="66" priority="27" operator="equal">
      <formula>"DECREASE"</formula>
    </cfRule>
    <cfRule type="cellIs" dxfId="65" priority="28" operator="equal">
      <formula>"INCREASE"</formula>
    </cfRule>
  </conditionalFormatting>
  <conditionalFormatting sqref="C23:V23">
    <cfRule type="cellIs" dxfId="64" priority="26" operator="equal">
      <formula>0</formula>
    </cfRule>
  </conditionalFormatting>
  <conditionalFormatting sqref="C21:V21">
    <cfRule type="cellIs" dxfId="63" priority="22" operator="equal">
      <formula>0</formula>
    </cfRule>
  </conditionalFormatting>
  <conditionalFormatting sqref="B66:U66">
    <cfRule type="cellIs" dxfId="62" priority="20" operator="equal">
      <formula>"UNDER"</formula>
    </cfRule>
    <cfRule type="cellIs" dxfId="61" priority="21" operator="equal">
      <formula>"OVER"</formula>
    </cfRule>
  </conditionalFormatting>
  <conditionalFormatting sqref="J31:J50">
    <cfRule type="cellIs" dxfId="60" priority="17" operator="greaterThan">
      <formula>$J$51</formula>
    </cfRule>
  </conditionalFormatting>
  <conditionalFormatting sqref="L3">
    <cfRule type="cellIs" dxfId="59" priority="13" operator="lessThan">
      <formula>30</formula>
    </cfRule>
    <cfRule type="cellIs" dxfId="58" priority="14" operator="greaterThanOrEqual">
      <formula>30</formula>
    </cfRule>
  </conditionalFormatting>
  <conditionalFormatting sqref="B31:B37">
    <cfRule type="cellIs" dxfId="57" priority="7" operator="greaterThan">
      <formula>$B$51</formula>
    </cfRule>
  </conditionalFormatting>
  <conditionalFormatting sqref="I1">
    <cfRule type="cellIs" dxfId="56" priority="3" operator="between">
      <formula>0.1</formula>
      <formula>5</formula>
    </cfRule>
  </conditionalFormatting>
  <conditionalFormatting sqref="I2">
    <cfRule type="cellIs" dxfId="55" priority="2" operator="greaterThan">
      <formula>5000.1</formula>
    </cfRule>
  </conditionalFormatting>
  <conditionalFormatting sqref="I3">
    <cfRule type="cellIs" dxfId="54"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E40" sqref="E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2" t="s">
        <v>41</v>
      </c>
      <c r="B1" s="122"/>
      <c r="C1" s="143" t="str">
        <f>Beechdean!C1:D1</f>
        <v>PAN-017507</v>
      </c>
      <c r="D1" s="144"/>
      <c r="E1" s="93" t="s">
        <v>45</v>
      </c>
      <c r="F1" s="39">
        <f>Beechdean!F1</f>
        <v>51.8</v>
      </c>
      <c r="G1" s="123" t="s">
        <v>43</v>
      </c>
      <c r="H1" s="124"/>
      <c r="I1" s="120">
        <v>7.45</v>
      </c>
      <c r="J1" s="122" t="s">
        <v>153</v>
      </c>
      <c r="K1" s="122"/>
      <c r="L1" s="120">
        <v>27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2" t="s">
        <v>87</v>
      </c>
      <c r="B2" s="122"/>
      <c r="C2" s="145" t="str">
        <f>Beechdean!C2:D2</f>
        <v>EPR- KP3594VE</v>
      </c>
      <c r="D2" s="146"/>
      <c r="E2" s="93" t="s">
        <v>109</v>
      </c>
      <c r="F2" s="120" t="s">
        <v>174</v>
      </c>
      <c r="G2" s="141" t="s">
        <v>110</v>
      </c>
      <c r="H2" s="142"/>
      <c r="I2" s="120">
        <v>1045</v>
      </c>
      <c r="J2" s="122" t="s">
        <v>158</v>
      </c>
      <c r="K2" s="122"/>
      <c r="L2" s="120">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5" t="str">
        <f>Beechdean!C3:D3</f>
        <v xml:space="preserve">Trade effluent services </v>
      </c>
      <c r="D3" s="146"/>
      <c r="E3" s="93" t="s">
        <v>108</v>
      </c>
      <c r="F3" s="31" t="s">
        <v>78</v>
      </c>
      <c r="G3" s="122" t="s">
        <v>159</v>
      </c>
      <c r="H3" s="122"/>
      <c r="I3" s="120">
        <v>200</v>
      </c>
      <c r="J3" s="123" t="s">
        <v>154</v>
      </c>
      <c r="K3" s="124"/>
      <c r="L3" s="97">
        <f>(L1/(L2*10000))*100</f>
        <v>3.8571428571428563</v>
      </c>
      <c r="AB3" s="30" t="s">
        <v>57</v>
      </c>
      <c r="AC3" s="17"/>
      <c r="AD3" s="30" t="s">
        <v>71</v>
      </c>
      <c r="AE3" s="17"/>
      <c r="AF3" s="17"/>
      <c r="AG3" s="44" t="s">
        <v>77</v>
      </c>
      <c r="AH3" s="18"/>
      <c r="AI3" s="48" t="s">
        <v>113</v>
      </c>
      <c r="AJ3" s="49">
        <v>1.7</v>
      </c>
      <c r="AK3" s="50">
        <v>6</v>
      </c>
      <c r="AL3" s="51">
        <v>1</v>
      </c>
      <c r="AM3" s="11">
        <v>6.2</v>
      </c>
      <c r="AN3" s="11" t="s">
        <v>112</v>
      </c>
    </row>
    <row r="4" spans="1:41" x14ac:dyDescent="0.2">
      <c r="A4" s="122" t="s">
        <v>0</v>
      </c>
      <c r="B4" s="122"/>
      <c r="C4" s="143" t="str">
        <f>Beechdean!C4:D4</f>
        <v>Dyke Farm, Padeswood Lane, Mold, CH7 4HZ</v>
      </c>
      <c r="D4" s="144"/>
      <c r="E4" s="94" t="s">
        <v>1</v>
      </c>
      <c r="F4" s="120" t="s">
        <v>181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2" t="s">
        <v>47</v>
      </c>
      <c r="B5" s="122"/>
      <c r="C5" s="143" t="str">
        <f>Beechdean!C5:D5</f>
        <v>Ethan Banfield</v>
      </c>
      <c r="D5" s="144"/>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2" t="s">
        <v>2</v>
      </c>
      <c r="B8" s="122"/>
      <c r="C8" s="60">
        <f>Beechdean!C8</f>
        <v>21</v>
      </c>
      <c r="D8" s="60">
        <f>Beechdean!D8</f>
        <v>22</v>
      </c>
      <c r="E8" s="60">
        <f>Beechdean!E8</f>
        <v>23</v>
      </c>
      <c r="F8" s="60">
        <f>Beechdean!F8</f>
        <v>24</v>
      </c>
      <c r="G8" s="60" t="str">
        <f>Beechdean!G8</f>
        <v>A</v>
      </c>
      <c r="H8" s="60" t="str">
        <f>Beechdean!H8</f>
        <v>B</v>
      </c>
      <c r="I8" s="60">
        <f>Beechdean!I8</f>
        <v>25</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2" t="s">
        <v>3</v>
      </c>
      <c r="B9" s="122"/>
      <c r="C9" s="60" t="str">
        <f>Beechdean!C9</f>
        <v>Moderate</v>
      </c>
      <c r="D9" s="60" t="str">
        <f>Beechdean!D9</f>
        <v>Moderate</v>
      </c>
      <c r="E9" s="60">
        <f>Beechdean!E9</f>
        <v>1</v>
      </c>
      <c r="F9" s="60">
        <f>Beechdean!F9</f>
        <v>1</v>
      </c>
      <c r="G9" s="60" t="str">
        <f>Beechdean!G9</f>
        <v>Moderate</v>
      </c>
      <c r="H9" s="60" t="str">
        <f>Beechdean!H9</f>
        <v>Moderate</v>
      </c>
      <c r="I9" s="60">
        <f>Beechdean!I9</f>
        <v>1</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x14ac:dyDescent="0.2">
      <c r="A10" s="122" t="s">
        <v>4</v>
      </c>
      <c r="B10" s="122"/>
      <c r="C10" s="60">
        <f>Beechdean!C10</f>
        <v>6</v>
      </c>
      <c r="D10" s="60">
        <f>Beechdean!D10</f>
        <v>5.4</v>
      </c>
      <c r="E10" s="60">
        <f>Beechdean!E10</f>
        <v>6.3</v>
      </c>
      <c r="F10" s="60">
        <f>Beechdean!F10</f>
        <v>5.9</v>
      </c>
      <c r="G10" s="60">
        <f>Beechdean!G10</f>
        <v>6.1</v>
      </c>
      <c r="H10" s="60">
        <f>Beechdean!H10</f>
        <v>5.8</v>
      </c>
      <c r="I10" s="60">
        <f>Beechdean!I10</f>
        <v>6.7</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2" t="s">
        <v>5</v>
      </c>
      <c r="B11" s="122"/>
      <c r="C11" s="60">
        <f>Beechdean!C11</f>
        <v>0</v>
      </c>
      <c r="D11" s="60">
        <f>Beechdean!D11</f>
        <v>0</v>
      </c>
      <c r="E11" s="60">
        <f>Beechdean!E11</f>
        <v>2</v>
      </c>
      <c r="F11" s="60">
        <f>Beechdean!F11</f>
        <v>2</v>
      </c>
      <c r="G11" s="60">
        <f>Beechdean!G11</f>
        <v>1</v>
      </c>
      <c r="H11" s="60">
        <f>Beechdean!H11</f>
        <v>1</v>
      </c>
      <c r="I11" s="60">
        <f>Beechdean!I11</f>
        <v>3</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2" t="s">
        <v>6</v>
      </c>
      <c r="B12" s="122"/>
      <c r="C12" s="60">
        <f>Beechdean!C12</f>
        <v>1</v>
      </c>
      <c r="D12" s="60">
        <f>Beechdean!D12</f>
        <v>1</v>
      </c>
      <c r="E12" s="60">
        <f>Beechdean!E12</f>
        <v>2</v>
      </c>
      <c r="F12" s="60">
        <f>Beechdean!F12</f>
        <v>1</v>
      </c>
      <c r="G12" s="60">
        <f>Beechdean!G12</f>
        <v>1</v>
      </c>
      <c r="H12" s="60">
        <f>Beechdean!H12</f>
        <v>1</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2" t="s">
        <v>7</v>
      </c>
      <c r="B13" s="122"/>
      <c r="C13" s="60">
        <f>Beechdean!C13</f>
        <v>3</v>
      </c>
      <c r="D13" s="60">
        <f>Beechdean!D13</f>
        <v>3</v>
      </c>
      <c r="E13" s="60">
        <f>Beechdean!E13</f>
        <v>2</v>
      </c>
      <c r="F13" s="60">
        <f>Beechdean!F13</f>
        <v>2</v>
      </c>
      <c r="G13" s="60">
        <f>Beechdean!G13</f>
        <v>2</v>
      </c>
      <c r="H13" s="60">
        <f>Beechdean!H13</f>
        <v>2</v>
      </c>
      <c r="I13" s="60">
        <f>Beechdean!I13</f>
        <v>2</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4" t="s">
        <v>8</v>
      </c>
      <c r="B14" s="134"/>
      <c r="C14" s="102" t="str">
        <f>Beechdean!C14</f>
        <v xml:space="preserve">Grass Silage (25% DM) </v>
      </c>
      <c r="D14" s="102" t="str">
        <f>Beechdean!D14</f>
        <v xml:space="preserve">Grass Silage (25% DM) </v>
      </c>
      <c r="E14" s="102" t="str">
        <f>Beechdean!E14</f>
        <v>Spring wheat/barley</v>
      </c>
      <c r="F14" s="102" t="str">
        <f>Beechdean!F14</f>
        <v>Spring wheat/barley</v>
      </c>
      <c r="G14" s="102" t="str">
        <f>Beechdean!G14</f>
        <v xml:space="preserve">Grass Silage (25% DM) </v>
      </c>
      <c r="H14" s="102" t="str">
        <f>Beechdean!H14</f>
        <v xml:space="preserve">Grass Silage (25% DM) </v>
      </c>
      <c r="I14" s="102" t="str">
        <f>Beechdean!I14</f>
        <v xml:space="preserve">Grass Silage (25% DM) </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x14ac:dyDescent="0.2">
      <c r="A15" s="133" t="s">
        <v>9</v>
      </c>
      <c r="B15" s="133"/>
      <c r="C15" s="60">
        <f>Beechdean!C15</f>
        <v>38</v>
      </c>
      <c r="D15" s="60">
        <f>Beechdean!D15</f>
        <v>38</v>
      </c>
      <c r="E15" s="60">
        <f>Beechdean!E15</f>
        <v>5.5</v>
      </c>
      <c r="F15" s="60">
        <f>Beechdean!F15</f>
        <v>5.5</v>
      </c>
      <c r="G15" s="60">
        <f>Beechdean!G15</f>
        <v>38</v>
      </c>
      <c r="H15" s="60">
        <f>Beechdean!H15</f>
        <v>38</v>
      </c>
      <c r="I15" s="60">
        <f>Beechdean!I15</f>
        <v>38</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25">
      <c r="A16" s="135" t="s">
        <v>44</v>
      </c>
      <c r="B16" s="135"/>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x14ac:dyDescent="0.2">
      <c r="A17" s="125" t="s">
        <v>69</v>
      </c>
      <c r="B17" s="126"/>
      <c r="C17" s="28">
        <f>(VLOOKUP(C$14,$AI2:$AK26,2,FALSE))*C$15</f>
        <v>64.599999999999994</v>
      </c>
      <c r="D17" s="28">
        <f t="shared" ref="D17:V17" si="0">(VLOOKUP(D$14,$AI2:$AK26,2,FALSE))*D$15</f>
        <v>64.599999999999994</v>
      </c>
      <c r="E17" s="28">
        <f t="shared" si="0"/>
        <v>46.75</v>
      </c>
      <c r="F17" s="28">
        <f t="shared" si="0"/>
        <v>46.75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7" t="s">
        <v>23</v>
      </c>
      <c r="B18" s="128"/>
      <c r="C18" s="16">
        <f>$D31</f>
        <v>54.983999999999995</v>
      </c>
      <c r="D18" s="16">
        <f>$D32</f>
        <v>54.983999999999995</v>
      </c>
      <c r="E18" s="16">
        <f>$D33</f>
        <v>45.361800000000002</v>
      </c>
      <c r="F18" s="16">
        <f>$D34</f>
        <v>45.361800000000002</v>
      </c>
      <c r="G18" s="16">
        <f>$D35</f>
        <v>54.983999999999995</v>
      </c>
      <c r="H18" s="16">
        <f>$D36</f>
        <v>54.983999999999995</v>
      </c>
      <c r="I18" s="16">
        <f>$D37</f>
        <v>54.983999999999995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7" t="s">
        <v>90</v>
      </c>
      <c r="B19" s="128"/>
      <c r="C19" s="16">
        <f>C18-C17</f>
        <v>-9.6159999999999997</v>
      </c>
      <c r="D19" s="16">
        <f t="shared" ref="D19:V19" si="1">D18-D17</f>
        <v>-9.6159999999999997</v>
      </c>
      <c r="E19" s="16">
        <f t="shared" si="1"/>
        <v>-1.3881999999999977</v>
      </c>
      <c r="F19" s="16">
        <f t="shared" si="1"/>
        <v>-1.3881999999999977</v>
      </c>
      <c r="G19" s="16">
        <f t="shared" si="1"/>
        <v>-9.6159999999999997</v>
      </c>
      <c r="H19" s="16">
        <f t="shared" si="1"/>
        <v>-9.6159999999999997</v>
      </c>
      <c r="I19" s="16">
        <f t="shared" si="1"/>
        <v>-9.6159999999999997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5" t="s">
        <v>88</v>
      </c>
      <c r="B21" s="126"/>
      <c r="C21" s="28">
        <f>(VLOOKUP(C$14,$AI2:$AK26,3,FALSE))*C$15</f>
        <v>228</v>
      </c>
      <c r="D21" s="28">
        <f t="shared" ref="D21:V21" si="2">(VLOOKUP(D$14,$AI2:$AK26,3,FALSE))*D$15</f>
        <v>228</v>
      </c>
      <c r="E21" s="28">
        <f t="shared" si="2"/>
        <v>66</v>
      </c>
      <c r="F21" s="28">
        <f t="shared" si="2"/>
        <v>66</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7" t="s">
        <v>89</v>
      </c>
      <c r="B22" s="128"/>
      <c r="C22" s="16">
        <f>$E31</f>
        <v>42.898000000000003</v>
      </c>
      <c r="D22" s="16">
        <f>$E32</f>
        <v>42.898000000000003</v>
      </c>
      <c r="E22" s="16">
        <f>$E33</f>
        <v>35.39085</v>
      </c>
      <c r="F22" s="16">
        <f>$E34</f>
        <v>35.39085</v>
      </c>
      <c r="G22" s="16">
        <f>$E35</f>
        <v>42.898000000000003</v>
      </c>
      <c r="H22" s="16">
        <f>$E36</f>
        <v>42.898000000000003</v>
      </c>
      <c r="I22" s="16">
        <f>$E37</f>
        <v>42.898000000000003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7" t="s">
        <v>92</v>
      </c>
      <c r="B23" s="128"/>
      <c r="C23" s="16">
        <f>C22-C21</f>
        <v>-185.102</v>
      </c>
      <c r="D23" s="16">
        <f t="shared" ref="D23:V23" si="3">D22-D21</f>
        <v>-185.102</v>
      </c>
      <c r="E23" s="16">
        <f t="shared" si="3"/>
        <v>-30.60915</v>
      </c>
      <c r="F23" s="16">
        <f t="shared" si="3"/>
        <v>-30.60915</v>
      </c>
      <c r="G23" s="16">
        <f t="shared" si="3"/>
        <v>-185.102</v>
      </c>
      <c r="H23" s="16">
        <f t="shared" si="3"/>
        <v>-185.102</v>
      </c>
      <c r="I23" s="16">
        <f t="shared" si="3"/>
        <v>-185.102</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1.1399999999999999</v>
      </c>
      <c r="C28" s="15">
        <v>7.0000000000000007E-2</v>
      </c>
      <c r="D28" s="15">
        <v>120</v>
      </c>
      <c r="E28" s="15">
        <v>178</v>
      </c>
      <c r="F28" s="15">
        <v>22.7</v>
      </c>
      <c r="G28" s="15">
        <v>0.77300000000000002</v>
      </c>
      <c r="H28" s="15">
        <v>2.14</v>
      </c>
      <c r="I28" s="15">
        <v>0.5</v>
      </c>
      <c r="J28" s="15">
        <v>0.01</v>
      </c>
      <c r="K28" s="23">
        <v>0.05</v>
      </c>
      <c r="L28" s="15">
        <v>0.2</v>
      </c>
      <c r="M28" s="15">
        <v>0.2</v>
      </c>
      <c r="N28" s="15"/>
      <c r="O28" s="15"/>
      <c r="P28" s="15">
        <v>1298</v>
      </c>
      <c r="Q28" s="15">
        <v>443</v>
      </c>
      <c r="R28" s="15"/>
      <c r="S28" s="15"/>
      <c r="T28" s="15"/>
      <c r="U28" s="15"/>
    </row>
    <row r="29" spans="1:40" s="7" customFormat="1" ht="27" x14ac:dyDescent="0.2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21</v>
      </c>
      <c r="B31" s="15">
        <v>200</v>
      </c>
      <c r="C31" s="77">
        <f>IF(C$27="%w/w SAR",((C$28*10)*$B31),IF(C$27="%w/w DM",(((C$28*10)*($B$28/100))*$B31),IF(C$27="kg/t SAR",(C$28*$B31),IF(C$27="kg/t DM",((C$28*($B$28/100))*$B31),IF(C$27="mg/kg SAR",((C$28*0.001)*$B31),IF(C$27="mg/kg DM",(((C$28*0.001)*($B$28/100))*$B31),0))))))</f>
        <v>140</v>
      </c>
      <c r="D31" s="77">
        <f>(IF(D$27="%w/w SAR",((D$28*10)*$B31),IF(D$27="%w/w DM",(((D$28*10)*($B$28/100))*$B31),IF(D$27="kg/t SAR",(D$28*$B31),IF(D$27="kg/t DM",((D$28*($B$28/100))*$B31),IF(D$27="mg/kg SAR",((D$28*0.001)*$B31),IF(D$27="mg/kg DM",(((D$28*0.001)*($B$28/100))*$B31),"0")))))))*2.291</f>
        <v>54.983999999999995</v>
      </c>
      <c r="E31" s="77">
        <f>(IF(E$27="%w/w SAR",((E$28*10)*$B31),IF(E$27="%w/w DM",(((E$28*10)*($B$28/100))*$B31),IF(E$27="kg/t SAR",(E$28*$B31),IF(E$27="kg/t DM",((E$28*($B$28/100))*$B31),IF(E$27="mg/kg SAR",((E$28*0.001)*$B31),IF(E$27="mg/kg DM",(((E$28*0.001)*($B$28/100))*$B31),"0")))))))*1.205</f>
        <v>42.898000000000003</v>
      </c>
      <c r="F31" s="77">
        <f>(IF(F$27="%w/w SAR",((F$28*10)*$B31),IF(F$27="%w/w DM",(((F$28*10)*($B$28/100))*$B31),IF(F$27="kg/t SAR",(F$28*$B31),IF(F$27="kg/t DM",((F$28*($B$28/100))*$B31),IF(F$27="mg/kg SAR",((F$28*0.001)*$B31),IF(F$27="mg/kg DM",(((F$28*0.001)*($B$28/100))*$B31),"0")))))))*1.658</f>
        <v>7.5273199999999996</v>
      </c>
      <c r="G31" s="77">
        <f t="shared" ref="G31:P46" si="5">IF(G$27="%w/w SAR",((G$28*10)*$B31),IF(G$27="%w/w DM",(((G$28*10)*($B$28/100))*$B31),IF(G$27="kg/t SAR",(G$28*$B31),IF(G$27="kg/t DM",((G$28*($B$28/100))*$B31),IF(G$27="mg/kg SAR",((G$28*0.001)*$B31),IF(G$27="mg/kg DM",(((G$28*0.001)*($B$28/100))*$B31),0))))))</f>
        <v>0.15460000000000002</v>
      </c>
      <c r="H31" s="77">
        <f t="shared" si="5"/>
        <v>0.42799999999999999</v>
      </c>
      <c r="I31" s="77">
        <f t="shared" si="5"/>
        <v>0.1</v>
      </c>
      <c r="J31" s="77">
        <f t="shared" si="5"/>
        <v>2E-3</v>
      </c>
      <c r="K31" s="77">
        <f t="shared" si="5"/>
        <v>0.01</v>
      </c>
      <c r="L31" s="77">
        <f t="shared" si="5"/>
        <v>0.04</v>
      </c>
      <c r="M31" s="77">
        <f t="shared" si="5"/>
        <v>0.04</v>
      </c>
      <c r="N31" s="77">
        <f t="shared" si="5"/>
        <v>0</v>
      </c>
      <c r="O31" s="77">
        <f t="shared" si="5"/>
        <v>0</v>
      </c>
      <c r="P31" s="77">
        <f t="shared" si="5"/>
        <v>259.60000000000002</v>
      </c>
      <c r="Q31" s="77">
        <f>(IF(Q$27="%w/w SAR",((Q$28*10)*$B31),IF(Q$27="%w/w DM",(((Q$28*10)*($B$28/100))*$B31),IF(Q$27="kg/t SAR",(Q$28*$B31),IF(Q$27="kg/t DM",((Q$28*($B$28/100))*$B31),IF(Q$27="mg/kg SAR",((Q$28*0.001)*$B31),IF(Q$27="mg/kg DM",(((Q$28*0.001)*($B$28/100))*$B31),0)))))))*2.5</f>
        <v>221.5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22</v>
      </c>
      <c r="B32" s="15">
        <v>200</v>
      </c>
      <c r="C32" s="77">
        <f t="shared" ref="C32:C50" si="6">IF(C$27="%w/w SAR",((C$28*10)*$B32),IF(C$27="%w/w DM",(((C$28*10)*($B$28/100))*$B32),IF(C$27="kg/t SAR",(C$28*$B32),IF(C$27="kg/t DM",((C$28*($B$28/100))*$B32),IF(C$27="mg/kg SAR",((C$28*0.001)*$B32),IF(C$27="mg/kg DM",(((C$28*0.001)*($B$28/100))*$B32),0))))))</f>
        <v>140</v>
      </c>
      <c r="D32" s="77">
        <f t="shared" ref="D32:D50" si="7">(IF(D$27="%w/w SAR",((D$28*10)*$B32),IF(D$27="%w/w DM",(((D$28*10)*($B$28/100))*$B32),IF(D$27="kg/t SAR",(D$28*$B32),IF(D$27="kg/t DM",((D$28*($B$28/100))*$B32),IF(D$27="mg/kg SAR",((D$28*0.001)*$B32),IF(D$27="mg/kg DM",(((D$28*0.001)*($B$28/100))*$B32),"0")))))))*2.291</f>
        <v>54.983999999999995</v>
      </c>
      <c r="E32" s="77">
        <f t="shared" ref="E32:E50" si="8">(IF(E$27="%w/w SAR",((E$28*10)*$B32),IF(E$27="%w/w DM",(((E$28*10)*($B$28/100))*$B32),IF(E$27="kg/t SAR",(E$28*$B32),IF(E$27="kg/t DM",((E$28*($B$28/100))*$B32),IF(E$27="mg/kg SAR",((E$28*0.001)*$B32),IF(E$27="mg/kg DM",(((E$28*0.001)*($B$28/100))*$B32),"0")))))))*1.205</f>
        <v>42.898000000000003</v>
      </c>
      <c r="F32" s="77">
        <f t="shared" ref="F32:F50" si="9">(IF(F$27="%w/w SAR",((F$28*10)*$B32),IF(F$27="%w/w DM",(((F$28*10)*($B$28/100))*$B32),IF(F$27="kg/t SAR",(F$28*$B32),IF(F$27="kg/t DM",((F$28*($B$28/100))*$B32),IF(F$27="mg/kg SAR",((F$28*0.001)*$B32),IF(F$27="mg/kg DM",(((F$28*0.001)*($B$28/100))*$B32),"0")))))))*1.658</f>
        <v>7.5273199999999996</v>
      </c>
      <c r="G32" s="77">
        <f t="shared" si="5"/>
        <v>0.15460000000000002</v>
      </c>
      <c r="H32" s="77">
        <f t="shared" si="5"/>
        <v>0.42799999999999999</v>
      </c>
      <c r="I32" s="77">
        <f t="shared" si="5"/>
        <v>0.1</v>
      </c>
      <c r="J32" s="77">
        <f t="shared" si="5"/>
        <v>2E-3</v>
      </c>
      <c r="K32" s="77">
        <f t="shared" si="5"/>
        <v>0.01</v>
      </c>
      <c r="L32" s="77">
        <f t="shared" si="5"/>
        <v>0.04</v>
      </c>
      <c r="M32" s="77">
        <f t="shared" si="5"/>
        <v>0.04</v>
      </c>
      <c r="N32" s="77">
        <f t="shared" si="5"/>
        <v>0</v>
      </c>
      <c r="O32" s="77">
        <f t="shared" si="5"/>
        <v>0</v>
      </c>
      <c r="P32" s="77">
        <f t="shared" si="5"/>
        <v>259.60000000000002</v>
      </c>
      <c r="Q32" s="77">
        <f t="shared" ref="Q32:Q50" si="10">(IF(Q$27="%w/w SAR",((Q$28*10)*$B32),IF(Q$27="%w/w DM",(((Q$28*10)*($B$28/100))*$B32),IF(Q$27="kg/t SAR",(Q$28*$B32),IF(Q$27="kg/t DM",((Q$28*($B$28/100))*$B32),IF(Q$27="mg/kg SAR",((Q$28*0.001)*$B32),IF(Q$27="mg/kg DM",(((Q$28*0.001)*($B$28/100))*$B32),0)))))))*2.5</f>
        <v>221.5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23</v>
      </c>
      <c r="B33" s="15">
        <v>165</v>
      </c>
      <c r="C33" s="77">
        <f t="shared" si="6"/>
        <v>115.50000000000001</v>
      </c>
      <c r="D33" s="77">
        <f t="shared" si="7"/>
        <v>45.361800000000002</v>
      </c>
      <c r="E33" s="77">
        <f t="shared" si="8"/>
        <v>35.39085</v>
      </c>
      <c r="F33" s="77">
        <f t="shared" si="9"/>
        <v>6.2100390000000001</v>
      </c>
      <c r="G33" s="77">
        <f t="shared" si="5"/>
        <v>0.12754499999999999</v>
      </c>
      <c r="H33" s="77">
        <f t="shared" si="5"/>
        <v>0.35309999999999997</v>
      </c>
      <c r="I33" s="77">
        <f t="shared" si="5"/>
        <v>8.2500000000000004E-2</v>
      </c>
      <c r="J33" s="77">
        <f t="shared" si="5"/>
        <v>1.6500000000000002E-3</v>
      </c>
      <c r="K33" s="77">
        <f t="shared" si="5"/>
        <v>8.2500000000000004E-3</v>
      </c>
      <c r="L33" s="77">
        <f t="shared" si="5"/>
        <v>3.3000000000000002E-2</v>
      </c>
      <c r="M33" s="77">
        <f t="shared" si="5"/>
        <v>3.3000000000000002E-2</v>
      </c>
      <c r="N33" s="77">
        <f t="shared" si="5"/>
        <v>0</v>
      </c>
      <c r="O33" s="77">
        <f t="shared" si="5"/>
        <v>0</v>
      </c>
      <c r="P33" s="77">
        <f t="shared" si="5"/>
        <v>214.17000000000002</v>
      </c>
      <c r="Q33" s="77">
        <f t="shared" si="10"/>
        <v>182.73750000000001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24</v>
      </c>
      <c r="B34" s="15">
        <v>165</v>
      </c>
      <c r="C34" s="77">
        <f t="shared" si="6"/>
        <v>115.50000000000001</v>
      </c>
      <c r="D34" s="77">
        <f t="shared" si="7"/>
        <v>45.361800000000002</v>
      </c>
      <c r="E34" s="77">
        <f t="shared" si="8"/>
        <v>35.39085</v>
      </c>
      <c r="F34" s="77">
        <f t="shared" si="9"/>
        <v>6.2100390000000001</v>
      </c>
      <c r="G34" s="77">
        <f t="shared" si="5"/>
        <v>0.12754499999999999</v>
      </c>
      <c r="H34" s="77">
        <f t="shared" si="5"/>
        <v>0.35309999999999997</v>
      </c>
      <c r="I34" s="77">
        <f t="shared" si="5"/>
        <v>8.2500000000000004E-2</v>
      </c>
      <c r="J34" s="77">
        <f t="shared" si="5"/>
        <v>1.6500000000000002E-3</v>
      </c>
      <c r="K34" s="77">
        <f t="shared" si="5"/>
        <v>8.2500000000000004E-3</v>
      </c>
      <c r="L34" s="77">
        <f t="shared" si="5"/>
        <v>3.3000000000000002E-2</v>
      </c>
      <c r="M34" s="77">
        <f t="shared" si="5"/>
        <v>3.3000000000000002E-2</v>
      </c>
      <c r="N34" s="77">
        <f t="shared" si="5"/>
        <v>0</v>
      </c>
      <c r="O34" s="77">
        <f t="shared" si="5"/>
        <v>0</v>
      </c>
      <c r="P34" s="77">
        <f t="shared" si="5"/>
        <v>214.17000000000002</v>
      </c>
      <c r="Q34" s="77">
        <f t="shared" si="10"/>
        <v>182.73750000000001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A</v>
      </c>
      <c r="B35" s="15">
        <v>200</v>
      </c>
      <c r="C35" s="77">
        <f t="shared" si="6"/>
        <v>140</v>
      </c>
      <c r="D35" s="77">
        <f t="shared" si="7"/>
        <v>54.983999999999995</v>
      </c>
      <c r="E35" s="77">
        <f t="shared" si="8"/>
        <v>42.898000000000003</v>
      </c>
      <c r="F35" s="77">
        <f t="shared" si="9"/>
        <v>7.5273199999999996</v>
      </c>
      <c r="G35" s="77">
        <f t="shared" si="5"/>
        <v>0.15460000000000002</v>
      </c>
      <c r="H35" s="77">
        <f t="shared" si="5"/>
        <v>0.42799999999999999</v>
      </c>
      <c r="I35" s="77">
        <f t="shared" si="5"/>
        <v>0.1</v>
      </c>
      <c r="J35" s="77">
        <f t="shared" si="5"/>
        <v>2E-3</v>
      </c>
      <c r="K35" s="77">
        <f t="shared" si="5"/>
        <v>0.01</v>
      </c>
      <c r="L35" s="77">
        <f t="shared" si="5"/>
        <v>0.04</v>
      </c>
      <c r="M35" s="77">
        <f t="shared" si="5"/>
        <v>0.04</v>
      </c>
      <c r="N35" s="77">
        <f t="shared" si="5"/>
        <v>0</v>
      </c>
      <c r="O35" s="77">
        <f t="shared" si="5"/>
        <v>0</v>
      </c>
      <c r="P35" s="77">
        <f t="shared" si="5"/>
        <v>259.60000000000002</v>
      </c>
      <c r="Q35" s="77">
        <f t="shared" si="10"/>
        <v>221.5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v>
      </c>
      <c r="B36" s="15">
        <v>200</v>
      </c>
      <c r="C36" s="77">
        <f t="shared" si="6"/>
        <v>140</v>
      </c>
      <c r="D36" s="77">
        <f t="shared" si="7"/>
        <v>54.983999999999995</v>
      </c>
      <c r="E36" s="77">
        <f t="shared" si="8"/>
        <v>42.898000000000003</v>
      </c>
      <c r="F36" s="77">
        <f t="shared" si="9"/>
        <v>7.5273199999999996</v>
      </c>
      <c r="G36" s="77">
        <f t="shared" si="5"/>
        <v>0.15460000000000002</v>
      </c>
      <c r="H36" s="77">
        <f t="shared" si="5"/>
        <v>0.42799999999999999</v>
      </c>
      <c r="I36" s="77">
        <f t="shared" si="5"/>
        <v>0.1</v>
      </c>
      <c r="J36" s="77">
        <f t="shared" si="5"/>
        <v>2E-3</v>
      </c>
      <c r="K36" s="77">
        <f t="shared" si="5"/>
        <v>0.01</v>
      </c>
      <c r="L36" s="77">
        <f t="shared" si="5"/>
        <v>0.04</v>
      </c>
      <c r="M36" s="77">
        <f t="shared" si="5"/>
        <v>0.04</v>
      </c>
      <c r="N36" s="77">
        <f t="shared" si="5"/>
        <v>0</v>
      </c>
      <c r="O36" s="77">
        <f t="shared" si="5"/>
        <v>0</v>
      </c>
      <c r="P36" s="77">
        <f t="shared" si="5"/>
        <v>259.60000000000002</v>
      </c>
      <c r="Q36" s="77">
        <f t="shared" si="10"/>
        <v>221.5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25</v>
      </c>
      <c r="B37" s="15">
        <v>200</v>
      </c>
      <c r="C37" s="77">
        <f t="shared" si="6"/>
        <v>140</v>
      </c>
      <c r="D37" s="77">
        <f t="shared" si="7"/>
        <v>54.983999999999995</v>
      </c>
      <c r="E37" s="77">
        <f t="shared" si="8"/>
        <v>42.898000000000003</v>
      </c>
      <c r="F37" s="77">
        <f t="shared" si="9"/>
        <v>7.5273199999999996</v>
      </c>
      <c r="G37" s="77">
        <f t="shared" si="5"/>
        <v>0.15460000000000002</v>
      </c>
      <c r="H37" s="77">
        <f t="shared" si="5"/>
        <v>0.42799999999999999</v>
      </c>
      <c r="I37" s="77">
        <f t="shared" si="5"/>
        <v>0.1</v>
      </c>
      <c r="J37" s="77">
        <f t="shared" si="5"/>
        <v>2E-3</v>
      </c>
      <c r="K37" s="77">
        <f t="shared" si="5"/>
        <v>0.01</v>
      </c>
      <c r="L37" s="77">
        <f t="shared" si="5"/>
        <v>0.04</v>
      </c>
      <c r="M37" s="77">
        <f t="shared" si="5"/>
        <v>0.04</v>
      </c>
      <c r="N37" s="77">
        <f t="shared" si="5"/>
        <v>0</v>
      </c>
      <c r="O37" s="77">
        <f t="shared" si="5"/>
        <v>0</v>
      </c>
      <c r="P37" s="77">
        <f t="shared" si="5"/>
        <v>259.60000000000002</v>
      </c>
      <c r="Q37" s="77">
        <f t="shared" si="10"/>
        <v>221.5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21</v>
      </c>
      <c r="C57" s="8">
        <f t="shared" ref="C57:U57" si="13">D8</f>
        <v>22</v>
      </c>
      <c r="D57" s="8">
        <f t="shared" si="13"/>
        <v>23</v>
      </c>
      <c r="E57" s="8">
        <f t="shared" si="13"/>
        <v>24</v>
      </c>
      <c r="F57" s="8" t="str">
        <f t="shared" si="13"/>
        <v>A</v>
      </c>
      <c r="G57" s="8" t="str">
        <f t="shared" si="13"/>
        <v>B</v>
      </c>
      <c r="H57" s="8">
        <f t="shared" si="13"/>
        <v>25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Arable</v>
      </c>
      <c r="E58" s="13" t="str">
        <f>F16&amp;" I "&amp;(VLOOKUP(F14,Table2456[],6,FALSE))</f>
        <v>Medium/Clay I Arable</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6.7</v>
      </c>
      <c r="E59" s="76">
        <f>VLOOKUP(F$14,Table2456[],5,FALSE)</f>
        <v>6.7</v>
      </c>
      <c r="F59" s="76">
        <f>VLOOKUP(G$14,Table2456[],5,FALSE)</f>
        <v>6.2</v>
      </c>
      <c r="G59" s="76">
        <f>VLOOKUP(H$14,Table2456[],5,FALSE)</f>
        <v>6.2</v>
      </c>
      <c r="H59" s="76">
        <f>VLOOKUP(I$14,Table2456[],5,FALSE)</f>
        <v>6.2</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6</v>
      </c>
      <c r="C60" s="76">
        <f t="shared" ref="C60:U60" si="14">D10</f>
        <v>5.4</v>
      </c>
      <c r="D60" s="76">
        <f t="shared" si="14"/>
        <v>6.3</v>
      </c>
      <c r="E60" s="76">
        <f t="shared" si="14"/>
        <v>5.9</v>
      </c>
      <c r="F60" s="76">
        <f t="shared" si="14"/>
        <v>6.1</v>
      </c>
      <c r="G60" s="76">
        <f t="shared" si="14"/>
        <v>5.8</v>
      </c>
      <c r="H60" s="76">
        <f t="shared" si="14"/>
        <v>6.7</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200</v>
      </c>
      <c r="C62" s="77">
        <f>B32</f>
        <v>200</v>
      </c>
      <c r="D62" s="77">
        <f>B33</f>
        <v>165</v>
      </c>
      <c r="E62" s="77">
        <f>B34</f>
        <v>165</v>
      </c>
      <c r="F62" s="77">
        <f>B35</f>
        <v>200</v>
      </c>
      <c r="G62" s="77">
        <f>B36</f>
        <v>200</v>
      </c>
      <c r="H62" s="77">
        <f>B37</f>
        <v>200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4.7999999999999989</v>
      </c>
      <c r="D64" s="77">
        <f t="shared" si="17"/>
        <v>3.2000000000000028</v>
      </c>
      <c r="E64" s="77">
        <f t="shared" si="17"/>
        <v>6.3999999999999986</v>
      </c>
      <c r="F64" s="77">
        <f t="shared" si="17"/>
        <v>0.6000000000000032</v>
      </c>
      <c r="G64" s="77">
        <f t="shared" si="17"/>
        <v>2.4000000000000021</v>
      </c>
      <c r="H64" s="77">
        <f t="shared" si="17"/>
        <v>-3</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-4.7999999999999989</v>
      </c>
      <c r="D65" s="77">
        <f t="shared" si="18"/>
        <v>-3.2000000000000028</v>
      </c>
      <c r="E65" s="77">
        <f t="shared" si="18"/>
        <v>-6.3999999999999986</v>
      </c>
      <c r="F65" s="77">
        <f t="shared" si="18"/>
        <v>-0.6000000000000032</v>
      </c>
      <c r="G65" s="77">
        <f t="shared" si="18"/>
        <v>-2.4000000000000021</v>
      </c>
      <c r="H65" s="77">
        <f t="shared" si="18"/>
        <v>3</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2" priority="41" operator="equal">
      <formula>"DECREASE"</formula>
    </cfRule>
    <cfRule type="cellIs" dxfId="41" priority="42" operator="equal">
      <formula>"INCREASE"</formula>
    </cfRule>
  </conditionalFormatting>
  <conditionalFormatting sqref="B38:B50 B62:U66">
    <cfRule type="cellIs" dxfId="40" priority="40" operator="greaterThan">
      <formula>$B$51</formula>
    </cfRule>
  </conditionalFormatting>
  <conditionalFormatting sqref="C31:C50">
    <cfRule type="cellIs" dxfId="39" priority="39" operator="greaterThan">
      <formula>$C$51</formula>
    </cfRule>
  </conditionalFormatting>
  <conditionalFormatting sqref="C18:V18">
    <cfRule type="cellIs" dxfId="38" priority="38" operator="equal">
      <formula>0</formula>
    </cfRule>
  </conditionalFormatting>
  <conditionalFormatting sqref="C17:V17">
    <cfRule type="cellIs" dxfId="37" priority="37" operator="equal">
      <formula>0</formula>
    </cfRule>
  </conditionalFormatting>
  <conditionalFormatting sqref="C19:V19">
    <cfRule type="cellIs" dxfId="36" priority="36" operator="equal">
      <formula>0</formula>
    </cfRule>
  </conditionalFormatting>
  <conditionalFormatting sqref="G31:G50">
    <cfRule type="cellIs" dxfId="35" priority="35" operator="greaterThan">
      <formula>$G$51</formula>
    </cfRule>
  </conditionalFormatting>
  <conditionalFormatting sqref="H31:H50">
    <cfRule type="cellIs" dxfId="34" priority="34" operator="greaterThan">
      <formula>$H$51</formula>
    </cfRule>
  </conditionalFormatting>
  <conditionalFormatting sqref="I31:I50">
    <cfRule type="cellIs" dxfId="33" priority="33" operator="greaterThan">
      <formula>$I$51</formula>
    </cfRule>
  </conditionalFormatting>
  <conditionalFormatting sqref="K31:K50">
    <cfRule type="cellIs" dxfId="32" priority="32" operator="greaterThan">
      <formula>$K$51</formula>
    </cfRule>
  </conditionalFormatting>
  <conditionalFormatting sqref="L31:L50">
    <cfRule type="cellIs" dxfId="31" priority="31" operator="greaterThan">
      <formula>$L$51</formula>
    </cfRule>
  </conditionalFormatting>
  <conditionalFormatting sqref="M31:M50">
    <cfRule type="cellIs" dxfId="30" priority="30" operator="greaterThan">
      <formula>$M$51</formula>
    </cfRule>
  </conditionalFormatting>
  <conditionalFormatting sqref="P31:P50">
    <cfRule type="cellIs" dxfId="29" priority="29" operator="greaterThan">
      <formula>$P$51</formula>
    </cfRule>
  </conditionalFormatting>
  <conditionalFormatting sqref="R31:R50">
    <cfRule type="cellIs" dxfId="28" priority="28" operator="greaterThan">
      <formula>$R$51</formula>
    </cfRule>
  </conditionalFormatting>
  <conditionalFormatting sqref="S31:S50">
    <cfRule type="cellIs" dxfId="27" priority="27" operator="greaterThan">
      <formula>$S$51</formula>
    </cfRule>
  </conditionalFormatting>
  <conditionalFormatting sqref="T31:T50">
    <cfRule type="cellIs" dxfId="26" priority="26" operator="greaterThan">
      <formula>$T$51</formula>
    </cfRule>
  </conditionalFormatting>
  <conditionalFormatting sqref="U31:U50">
    <cfRule type="cellIs" dxfId="25" priority="25" operator="greaterThan">
      <formula>$U$51</formula>
    </cfRule>
  </conditionalFormatting>
  <conditionalFormatting sqref="C22:V22">
    <cfRule type="cellIs" dxfId="24" priority="24" operator="equal">
      <formula>0</formula>
    </cfRule>
  </conditionalFormatting>
  <conditionalFormatting sqref="C24:V24">
    <cfRule type="cellIs" dxfId="23" priority="22" operator="equal">
      <formula>"DECREASE"</formula>
    </cfRule>
    <cfRule type="cellIs" dxfId="22" priority="23" operator="equal">
      <formula>"INCREASE"</formula>
    </cfRule>
  </conditionalFormatting>
  <conditionalFormatting sqref="C23:V23">
    <cfRule type="cellIs" dxfId="21" priority="21" operator="equal">
      <formula>0</formula>
    </cfRule>
  </conditionalFormatting>
  <conditionalFormatting sqref="C21:V21">
    <cfRule type="cellIs" dxfId="20" priority="17" operator="equal">
      <formula>0</formula>
    </cfRule>
  </conditionalFormatting>
  <conditionalFormatting sqref="B66:U66">
    <cfRule type="cellIs" dxfId="19" priority="15" operator="equal">
      <formula>"UNDER"</formula>
    </cfRule>
    <cfRule type="cellIs" dxfId="18" priority="16" operator="equal">
      <formula>"OVER"</formula>
    </cfRule>
  </conditionalFormatting>
  <conditionalFormatting sqref="J31:J50">
    <cfRule type="cellIs" dxfId="17" priority="12" operator="greaterThan">
      <formula>$J$51</formula>
    </cfRule>
  </conditionalFormatting>
  <conditionalFormatting sqref="L3">
    <cfRule type="cellIs" dxfId="16" priority="8" operator="lessThan">
      <formula>30</formula>
    </cfRule>
    <cfRule type="cellIs" dxfId="15" priority="9" operator="greaterThanOrEqual">
      <formula>30</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B31:B37">
    <cfRule type="cellIs" dxfId="11" priority="1" operator="greaterThan">
      <formula>$B$51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7" t="s">
        <v>84</v>
      </c>
      <c r="B1" s="38" t="str">
        <f>Beechdean!B29</f>
        <v>Application Rate</v>
      </c>
      <c r="C1" s="38" t="str">
        <f>Beechdean!C29</f>
        <v>Nitrogen Addition</v>
      </c>
      <c r="D1" s="38" t="str">
        <f>Beechdean!D29</f>
        <v>Phosphate Addition</v>
      </c>
      <c r="E1" s="38" t="str">
        <f>Beechdean!E29</f>
        <v>Potash  Addition</v>
      </c>
      <c r="F1" s="38" t="str">
        <f>Beechdean!F29</f>
        <v>Mg Oxide Addition</v>
      </c>
      <c r="G1" s="38" t="str">
        <f>Beechdean!G29</f>
        <v>Copper Addition</v>
      </c>
      <c r="H1" s="38" t="str">
        <f>Beechdean!H29</f>
        <v>Zinc Addition</v>
      </c>
      <c r="I1" s="38" t="str">
        <f>Beechdean!I29</f>
        <v>Lead Addition</v>
      </c>
      <c r="J1" s="38" t="str">
        <f>Beechdean!J29</f>
        <v>Cadmium Addition</v>
      </c>
      <c r="K1" s="38" t="str">
        <f>Beechdean!K29</f>
        <v>Mercury Addition</v>
      </c>
      <c r="L1" s="38" t="str">
        <f>Beechdean!L29</f>
        <v>Nickel Addition</v>
      </c>
      <c r="M1" s="38" t="str">
        <f>Beechdean!M29</f>
        <v>Chromium Addition</v>
      </c>
      <c r="N1" s="38" t="str">
        <f>Beechdean!N29</f>
        <v>Aluminium Addition</v>
      </c>
      <c r="O1" s="38" t="str">
        <f>Beechdean!O29</f>
        <v>Iron Addition</v>
      </c>
      <c r="P1" s="38" t="str">
        <f>Beechdean!P29</f>
        <v xml:space="preserve">Sodium Addition                 </v>
      </c>
      <c r="Q1" s="38" t="str">
        <f>Beechdean!Q29</f>
        <v>SO3  Addition                             kg/ha</v>
      </c>
      <c r="R1" s="38" t="str">
        <f>Beechdean!R29</f>
        <v xml:space="preserve">Selenium Addition </v>
      </c>
      <c r="S1" s="38" t="str">
        <f>Beechdean!S29</f>
        <v xml:space="preserve">Arsenic  Addition  </v>
      </c>
      <c r="T1" s="38" t="str">
        <f>Beechdean!T29</f>
        <v xml:space="preserve">Molybdenum Addition  </v>
      </c>
      <c r="U1" s="38" t="str">
        <f>Beechdean!U29</f>
        <v xml:space="preserve">Fluoride Addition </v>
      </c>
    </row>
    <row r="2" spans="1:21" ht="25.5" x14ac:dyDescent="0.2">
      <c r="A2" s="147"/>
      <c r="B2" s="38" t="str">
        <f>Beechdean!B30</f>
        <v>tonnes/ha</v>
      </c>
      <c r="C2" s="38" t="str">
        <f>Beechdean!C30</f>
        <v>kg/ha</v>
      </c>
      <c r="D2" s="38" t="str">
        <f>Beechdean!D30</f>
        <v>P2O5 
kg/ha</v>
      </c>
      <c r="E2" s="38" t="str">
        <f>Beechdean!E30</f>
        <v>K2O 
kg/ha</v>
      </c>
      <c r="F2" s="38" t="str">
        <f>Beechdean!F30</f>
        <v>MgO 
kg/ha</v>
      </c>
      <c r="G2" s="38" t="str">
        <f>Beechdean!G30</f>
        <v>kg/ha</v>
      </c>
      <c r="H2" s="38" t="str">
        <f>Beechdean!H30</f>
        <v>kg/ha</v>
      </c>
      <c r="I2" s="38" t="str">
        <f>Beechdean!I30</f>
        <v>kg/ha</v>
      </c>
      <c r="J2" s="38" t="str">
        <f>Beechdean!J30</f>
        <v>kg/ha</v>
      </c>
      <c r="K2" s="38" t="str">
        <f>Beechdean!K30</f>
        <v>kg/ha</v>
      </c>
      <c r="L2" s="38" t="str">
        <f>Beechdean!L30</f>
        <v>kg/ha</v>
      </c>
      <c r="M2" s="38" t="str">
        <f>Beechdean!M30</f>
        <v>kg/ha</v>
      </c>
      <c r="N2" s="38" t="str">
        <f>Beechdean!N30</f>
        <v>kg/ha</v>
      </c>
      <c r="O2" s="38" t="str">
        <f>Beechdean!O30</f>
        <v>kg/ha</v>
      </c>
      <c r="P2" s="38" t="str">
        <f>Beechdean!P30</f>
        <v>kg/ha</v>
      </c>
      <c r="Q2" s="38" t="str">
        <f>Beechdean!Q30</f>
        <v>kg/ha</v>
      </c>
      <c r="R2" s="38" t="str">
        <f>Beechdean!R30</f>
        <v>kg/ha</v>
      </c>
      <c r="S2" s="38" t="str">
        <f>Beechdean!S30</f>
        <v>kg/ha</v>
      </c>
      <c r="T2" s="38" t="str">
        <f>Beechdean!T30</f>
        <v>kg/ha</v>
      </c>
      <c r="U2" s="38" t="str">
        <f>Beechdean!U30</f>
        <v>kg/ha</v>
      </c>
    </row>
    <row r="3" spans="1:21" x14ac:dyDescent="0.2">
      <c r="A3" s="36">
        <v>1</v>
      </c>
      <c r="B3" s="33">
        <f>Beechdean!B31</f>
        <v>245</v>
      </c>
      <c r="C3" s="33">
        <f>Beechdean!C31</f>
        <v>147</v>
      </c>
      <c r="D3" s="33">
        <f>Beechdean!D31</f>
        <v>55.455945999999997</v>
      </c>
      <c r="E3" s="33">
        <f>Beechdean!E31</f>
        <v>49.893025000000002</v>
      </c>
      <c r="F3" s="33">
        <f>Beechdean!F31</f>
        <v>10.398975999999999</v>
      </c>
      <c r="G3" s="33">
        <f>Beechdean!G31</f>
        <v>5.4144999999999999E-2</v>
      </c>
      <c r="H3" s="33">
        <f>Beechdean!H31</f>
        <v>0.245</v>
      </c>
      <c r="I3" s="33">
        <f>Beechdean!I31</f>
        <v>0.1225</v>
      </c>
      <c r="J3" s="33">
        <f>Beechdean!J31</f>
        <v>2.4500000000000004E-3</v>
      </c>
      <c r="K3" s="33">
        <f>Beechdean!K31</f>
        <v>1.225E-2</v>
      </c>
      <c r="L3" s="33">
        <f>Beechdean!L31</f>
        <v>4.9000000000000002E-2</v>
      </c>
      <c r="M3" s="33">
        <f>Beechdean!M31</f>
        <v>4.9000000000000002E-2</v>
      </c>
      <c r="N3" s="33">
        <f>Beechdean!N31</f>
        <v>0</v>
      </c>
      <c r="O3" s="33">
        <f>Beechdean!O31</f>
        <v>0</v>
      </c>
      <c r="P3" s="33">
        <f>Beechdean!P31</f>
        <v>82.565000000000012</v>
      </c>
      <c r="Q3" s="33">
        <f>Beechdean!Q31</f>
        <v>47.713750000000005</v>
      </c>
      <c r="R3" s="33">
        <f>Beechdean!R31</f>
        <v>0</v>
      </c>
      <c r="S3" s="33">
        <f>Beechdean!S31</f>
        <v>0</v>
      </c>
      <c r="T3" s="33">
        <f>Beechdean!T31</f>
        <v>0</v>
      </c>
      <c r="U3" s="33">
        <f>Beechdean!U31</f>
        <v>0</v>
      </c>
    </row>
    <row r="4" spans="1:21" x14ac:dyDescent="0.2">
      <c r="A4" s="36">
        <v>2</v>
      </c>
      <c r="B4" s="33">
        <f>'Croda Goole'!B31</f>
        <v>45</v>
      </c>
      <c r="C4" s="33">
        <f>'Croda Goole'!C31</f>
        <v>99.000000000000014</v>
      </c>
      <c r="D4" s="33">
        <f>'Croda Goole'!D31</f>
        <v>54.227969999999999</v>
      </c>
      <c r="E4" s="33">
        <f>'Croda Goole'!E31</f>
        <v>11.604149999999999</v>
      </c>
      <c r="F4" s="33">
        <f>'Croda Goole'!F31</f>
        <v>6.8641199999999989</v>
      </c>
      <c r="G4" s="33">
        <f>'Croda Goole'!G31</f>
        <v>4.41E-2</v>
      </c>
      <c r="H4" s="33">
        <f>'Croda Goole'!H31</f>
        <v>0.4995</v>
      </c>
      <c r="I4" s="33">
        <f>'Croda Goole'!I31</f>
        <v>2.2499999999999999E-2</v>
      </c>
      <c r="J4" s="33">
        <f>'Croda Goole'!J31</f>
        <v>4.5000000000000004E-4</v>
      </c>
      <c r="K4" s="33">
        <f>'Croda Goole'!K31</f>
        <v>2.2500000000000003E-3</v>
      </c>
      <c r="L4" s="33">
        <f>'Croda Goole'!L31</f>
        <v>2.9385000000000001E-2</v>
      </c>
      <c r="M4" s="33">
        <f>'Croda Goole'!M31</f>
        <v>0.22995000000000004</v>
      </c>
      <c r="N4" s="33">
        <f>'Croda Goole'!N31</f>
        <v>0</v>
      </c>
      <c r="O4" s="33">
        <f>'Croda Goole'!O31</f>
        <v>0</v>
      </c>
      <c r="P4" s="33">
        <f>'Croda Goole'!P31</f>
        <v>196.785</v>
      </c>
      <c r="Q4" s="33">
        <f>'Croda Goole'!Q31</f>
        <v>491.96249999999998</v>
      </c>
      <c r="R4" s="33">
        <f>'Croda Goole'!R31</f>
        <v>0</v>
      </c>
      <c r="S4" s="33">
        <f>'Croda Goole'!S31</f>
        <v>0</v>
      </c>
      <c r="T4" s="33">
        <f>'Croda Goole'!T31</f>
        <v>0</v>
      </c>
      <c r="U4" s="33">
        <f>'Croda Goole'!U31</f>
        <v>0</v>
      </c>
    </row>
    <row r="5" spans="1:21" x14ac:dyDescent="0.2">
      <c r="A5" s="36">
        <v>3</v>
      </c>
      <c r="B5" s="33">
        <f>'Croda Widnes'!B31</f>
        <v>35</v>
      </c>
      <c r="C5" s="33">
        <f>'Croda Widnes'!C31</f>
        <v>125.99999999999999</v>
      </c>
      <c r="D5" s="33">
        <f>'Croda Widnes'!D31</f>
        <v>54.605984999999997</v>
      </c>
      <c r="E5" s="33">
        <f>'Croda Widnes'!E31</f>
        <v>11.598125000000001</v>
      </c>
      <c r="F5" s="33">
        <f>'Croda Widnes'!F31</f>
        <v>12.302359999999998</v>
      </c>
      <c r="G5" s="33">
        <f>'Croda Widnes'!G31</f>
        <v>6.93E-2</v>
      </c>
      <c r="H5" s="33">
        <f>'Croda Widnes'!H31</f>
        <v>0.39200000000000002</v>
      </c>
      <c r="I5" s="33">
        <f>'Croda Widnes'!I31</f>
        <v>1.7500000000000002E-2</v>
      </c>
      <c r="J5" s="33">
        <f>'Croda Widnes'!J31</f>
        <v>5.5999999999999995E-4</v>
      </c>
      <c r="K5" s="33">
        <f>'Croda Widnes'!K31</f>
        <v>1.75E-3</v>
      </c>
      <c r="L5" s="33">
        <f>'Croda Widnes'!L31</f>
        <v>1.1130000000000001E-2</v>
      </c>
      <c r="M5" s="33">
        <f>'Croda Widnes'!M31</f>
        <v>1.8655000000000001E-2</v>
      </c>
      <c r="N5" s="33">
        <f>'Croda Widnes'!N31</f>
        <v>0</v>
      </c>
      <c r="O5" s="33">
        <f>'Croda Widnes'!O31</f>
        <v>0</v>
      </c>
      <c r="P5" s="33">
        <f>'Croda Widnes'!P31</f>
        <v>14.525000000000002</v>
      </c>
      <c r="Q5" s="33">
        <f>'Croda Widnes'!Q31</f>
        <v>62.212499999999991</v>
      </c>
      <c r="R5" s="33">
        <f>'Croda Widnes'!R31</f>
        <v>0</v>
      </c>
      <c r="S5" s="33">
        <f>'Croda Widnes'!S31</f>
        <v>0</v>
      </c>
      <c r="T5" s="33">
        <f>'Croda Widnes'!T31</f>
        <v>0</v>
      </c>
      <c r="U5" s="33">
        <f>'Croda Widnes'!U31</f>
        <v>0</v>
      </c>
    </row>
    <row r="6" spans="1:21" x14ac:dyDescent="0.2">
      <c r="A6" s="36">
        <v>4</v>
      </c>
      <c r="B6" s="33">
        <f>D.wise!B31</f>
        <v>0</v>
      </c>
      <c r="C6" s="33">
        <f>D.wise!C31</f>
        <v>0</v>
      </c>
      <c r="D6" s="33">
        <f>D.wise!D31</f>
        <v>0</v>
      </c>
      <c r="E6" s="33">
        <f>D.wise!E31</f>
        <v>0</v>
      </c>
      <c r="F6" s="33">
        <f>D.wise!F31</f>
        <v>0</v>
      </c>
      <c r="G6" s="33">
        <f>D.wise!G31</f>
        <v>0</v>
      </c>
      <c r="H6" s="33">
        <f>D.wise!H31</f>
        <v>0</v>
      </c>
      <c r="I6" s="33">
        <f>D.wise!I31</f>
        <v>0</v>
      </c>
      <c r="J6" s="33">
        <f>D.wise!J31</f>
        <v>0</v>
      </c>
      <c r="K6" s="33">
        <f>D.wise!K31</f>
        <v>0</v>
      </c>
      <c r="L6" s="33">
        <f>D.wise!L31</f>
        <v>0</v>
      </c>
      <c r="M6" s="33">
        <f>D.wise!M31</f>
        <v>0</v>
      </c>
      <c r="N6" s="33">
        <f>D.wise!N31</f>
        <v>0</v>
      </c>
      <c r="O6" s="33">
        <f>D.wise!O31</f>
        <v>0</v>
      </c>
      <c r="P6" s="33">
        <f>D.wise!P31</f>
        <v>0</v>
      </c>
      <c r="Q6" s="33">
        <f>D.wise!Q31</f>
        <v>0</v>
      </c>
      <c r="R6" s="33">
        <f>D.wise!R31</f>
        <v>0</v>
      </c>
      <c r="S6" s="33">
        <f>D.wise!S31</f>
        <v>0</v>
      </c>
      <c r="T6" s="33">
        <f>D.wise!T31</f>
        <v>0</v>
      </c>
      <c r="U6" s="33">
        <f>D.wise!U31</f>
        <v>0</v>
      </c>
    </row>
    <row r="7" spans="1:21" x14ac:dyDescent="0.2">
      <c r="A7" s="36">
        <v>5</v>
      </c>
      <c r="B7" s="33">
        <f>Encirc!B31</f>
        <v>14</v>
      </c>
      <c r="C7" s="33">
        <f>Encirc!C31</f>
        <v>100.02874</v>
      </c>
      <c r="D7" s="33">
        <f>Encirc!D31</f>
        <v>52.275808900000001</v>
      </c>
      <c r="E7" s="33">
        <f>Encirc!E31</f>
        <v>10.775290750000002</v>
      </c>
      <c r="F7" s="33">
        <f>Encirc!F31</f>
        <v>5.2964909480000006</v>
      </c>
      <c r="G7" s="33">
        <f>Encirc!G31</f>
        <v>3.6631980000000008E-2</v>
      </c>
      <c r="H7" s="33">
        <f>Encirc!H31</f>
        <v>0.41565580000000008</v>
      </c>
      <c r="I7" s="33">
        <f>Encirc!I31</f>
        <v>5.217282000000001E-3</v>
      </c>
      <c r="J7" s="33">
        <f>Encirc!J31</f>
        <v>1.2334000000000002E-4</v>
      </c>
      <c r="K7" s="33">
        <f>Encirc!K31</f>
        <v>1.2334000000000002E-4</v>
      </c>
      <c r="L7" s="33">
        <f>Encirc!L31</f>
        <v>2.6024740000000005E-2</v>
      </c>
      <c r="M7" s="33">
        <f>Encirc!M31</f>
        <v>8.0911040000000004E-2</v>
      </c>
      <c r="N7" s="33">
        <f>Encirc!N31</f>
        <v>0</v>
      </c>
      <c r="O7" s="33">
        <f>Encirc!O31</f>
        <v>0</v>
      </c>
      <c r="P7" s="33">
        <f>Encirc!P31</f>
        <v>12.827360000000002</v>
      </c>
      <c r="Q7" s="33">
        <f>Encirc!Q31</f>
        <v>52.111150000000002</v>
      </c>
      <c r="R7" s="33">
        <f>Encirc!R31</f>
        <v>0</v>
      </c>
      <c r="S7" s="33">
        <f>Encirc!S31</f>
        <v>0</v>
      </c>
      <c r="T7" s="33">
        <f>Encirc!T31</f>
        <v>0</v>
      </c>
      <c r="U7" s="33">
        <f>Encirc!U31</f>
        <v>0</v>
      </c>
    </row>
    <row r="8" spans="1:21" x14ac:dyDescent="0.2">
      <c r="A8" s="36">
        <v>6</v>
      </c>
      <c r="B8" s="33">
        <f>Penderyn!B31</f>
        <v>170</v>
      </c>
      <c r="C8" s="33">
        <f>Penderyn!C31</f>
        <v>68</v>
      </c>
      <c r="D8" s="33">
        <f>Penderyn!D31</f>
        <v>54.525799999999997</v>
      </c>
      <c r="E8" s="33">
        <f>Penderyn!E31</f>
        <v>57.767700000000012</v>
      </c>
      <c r="F8" s="33">
        <f>Penderyn!F31</f>
        <v>9.6959839999999993</v>
      </c>
      <c r="G8" s="33">
        <f>Penderyn!G31</f>
        <v>0.27710000000000001</v>
      </c>
      <c r="H8" s="33">
        <f>Penderyn!H31</f>
        <v>8.5000000000000006E-2</v>
      </c>
      <c r="I8" s="33">
        <f>Penderyn!I31</f>
        <v>8.5000000000000006E-2</v>
      </c>
      <c r="J8" s="33">
        <f>Penderyn!J31</f>
        <v>1.7000000000000001E-3</v>
      </c>
      <c r="K8" s="33">
        <f>Penderyn!K31</f>
        <v>8.5000000000000006E-3</v>
      </c>
      <c r="L8" s="33">
        <f>Penderyn!L31</f>
        <v>3.4000000000000002E-2</v>
      </c>
      <c r="M8" s="33">
        <f>Penderyn!M31</f>
        <v>3.4000000000000002E-2</v>
      </c>
      <c r="N8" s="33">
        <f>Penderyn!N31</f>
        <v>0</v>
      </c>
      <c r="O8" s="33">
        <f>Penderyn!O31</f>
        <v>0</v>
      </c>
      <c r="P8" s="33">
        <f>Penderyn!P31</f>
        <v>150.96</v>
      </c>
      <c r="Q8" s="33">
        <f>Penderyn!Q31</f>
        <v>18.912499999999998</v>
      </c>
      <c r="R8" s="33">
        <f>Penderyn!R31</f>
        <v>0</v>
      </c>
      <c r="S8" s="33">
        <f>Penderyn!S31</f>
        <v>0</v>
      </c>
      <c r="T8" s="33">
        <f>Penderyn!T31</f>
        <v>0</v>
      </c>
      <c r="U8" s="33">
        <f>Penderyn!U31</f>
        <v>0</v>
      </c>
    </row>
    <row r="9" spans="1:21" x14ac:dyDescent="0.2">
      <c r="A9" s="36">
        <v>7</v>
      </c>
      <c r="B9" s="33">
        <f>Kelloggs!B31</f>
        <v>100</v>
      </c>
      <c r="C9" s="33">
        <f>Kelloggs!C31</f>
        <v>190</v>
      </c>
      <c r="D9" s="33">
        <f>Kelloggs!D31</f>
        <v>55.4422</v>
      </c>
      <c r="E9" s="33">
        <f>Kelloggs!E31</f>
        <v>18.436499999999999</v>
      </c>
      <c r="F9" s="33">
        <f>Kelloggs!F31</f>
        <v>4.6424000000000003</v>
      </c>
      <c r="G9" s="33">
        <f>Kelloggs!G31</f>
        <v>0.25</v>
      </c>
      <c r="H9" s="33">
        <f>Kelloggs!H31</f>
        <v>0.187</v>
      </c>
      <c r="I9" s="33">
        <f>Kelloggs!I31</f>
        <v>7.5299999999999992E-2</v>
      </c>
      <c r="J9" s="33">
        <f>Kelloggs!J31</f>
        <v>1E-3</v>
      </c>
      <c r="K9" s="33">
        <f>Kelloggs!K31</f>
        <v>5.0000000000000001E-3</v>
      </c>
      <c r="L9" s="33">
        <f>Kelloggs!L31</f>
        <v>0.02</v>
      </c>
      <c r="M9" s="33">
        <f>Kelloggs!M31</f>
        <v>3.2300000000000002E-2</v>
      </c>
      <c r="N9" s="33">
        <f>Kelloggs!N31</f>
        <v>0</v>
      </c>
      <c r="O9" s="33">
        <f>Kelloggs!O31</f>
        <v>0</v>
      </c>
      <c r="P9" s="33">
        <f>Kelloggs!P31</f>
        <v>16</v>
      </c>
      <c r="Q9" s="33">
        <f>Kelloggs!Q31</f>
        <v>26.75</v>
      </c>
      <c r="R9" s="33">
        <f>Kelloggs!R31</f>
        <v>0</v>
      </c>
      <c r="S9" s="33">
        <f>Kelloggs!S31</f>
        <v>0</v>
      </c>
      <c r="T9" s="33">
        <f>Kelloggs!T31</f>
        <v>0</v>
      </c>
      <c r="U9" s="33">
        <f>Kelloggs!U31</f>
        <v>0</v>
      </c>
    </row>
    <row r="10" spans="1:21" x14ac:dyDescent="0.2">
      <c r="A10" s="36">
        <v>8</v>
      </c>
      <c r="B10" s="33">
        <f>'Rowan Food'!B31</f>
        <v>250</v>
      </c>
      <c r="C10" s="33">
        <f>'Rowan Food'!C31</f>
        <v>75</v>
      </c>
      <c r="D10" s="33">
        <f>'Rowan Food'!D31</f>
        <v>35.224125000000001</v>
      </c>
      <c r="E10" s="33">
        <f>'Rowan Food'!E31</f>
        <v>22.533500000000004</v>
      </c>
      <c r="F10" s="33">
        <f>'Rowan Food'!F31</f>
        <v>9.9480000000000004</v>
      </c>
      <c r="G10" s="33">
        <f>'Rowan Food'!G31</f>
        <v>5.2999999999999999E-2</v>
      </c>
      <c r="H10" s="33">
        <f>'Rowan Food'!H31</f>
        <v>0.4425</v>
      </c>
      <c r="I10" s="33">
        <f>'Rowan Food'!I31</f>
        <v>0.125</v>
      </c>
      <c r="J10" s="33">
        <f>'Rowan Food'!J31</f>
        <v>2.5000000000000001E-3</v>
      </c>
      <c r="K10" s="33">
        <f>'Rowan Food'!K31</f>
        <v>1.2500000000000001E-2</v>
      </c>
      <c r="L10" s="33">
        <f>'Rowan Food'!L31</f>
        <v>5.7250000000000002E-2</v>
      </c>
      <c r="M10" s="33">
        <f>'Rowan Food'!M31</f>
        <v>6.9000000000000006E-2</v>
      </c>
      <c r="N10" s="33">
        <f>'Rowan Food'!N31</f>
        <v>0</v>
      </c>
      <c r="O10" s="33">
        <f>'Rowan Food'!O31</f>
        <v>0</v>
      </c>
      <c r="P10" s="33">
        <f>'Rowan Food'!P31</f>
        <v>71.000000000000014</v>
      </c>
      <c r="Q10" s="33">
        <f>'Rowan Food'!Q31</f>
        <v>78.125</v>
      </c>
      <c r="R10" s="33">
        <f>'Rowan Food'!R31</f>
        <v>0</v>
      </c>
      <c r="S10" s="33">
        <f>'Rowan Food'!S31</f>
        <v>0</v>
      </c>
      <c r="T10" s="33">
        <f>'Rowan Food'!T31</f>
        <v>0</v>
      </c>
      <c r="U10" s="33">
        <f>'Rowan Food'!U31</f>
        <v>0</v>
      </c>
    </row>
    <row r="11" spans="1:21" x14ac:dyDescent="0.2">
      <c r="A11" s="36">
        <v>9</v>
      </c>
      <c r="B11" s="33">
        <f>Maelor!B31</f>
        <v>32</v>
      </c>
      <c r="C11" s="33">
        <f>Maelor!C31</f>
        <v>118.4</v>
      </c>
      <c r="D11" s="33">
        <f>Maelor!D31</f>
        <v>54.177568000000001</v>
      </c>
      <c r="E11" s="33">
        <f>Maelor!E31</f>
        <v>6.6708800000000013</v>
      </c>
      <c r="F11" s="33">
        <f>Maelor!F31</f>
        <v>12.20288</v>
      </c>
      <c r="G11" s="33">
        <f>Maelor!G31</f>
        <v>0.10368000000000001</v>
      </c>
      <c r="H11" s="33">
        <f>Maelor!H31</f>
        <v>0.52160000000000006</v>
      </c>
      <c r="I11" s="33">
        <f>Maelor!I31</f>
        <v>1.6E-2</v>
      </c>
      <c r="J11" s="33">
        <f>Maelor!J31</f>
        <v>3.2000000000000003E-4</v>
      </c>
      <c r="K11" s="33">
        <f>Maelor!K31</f>
        <v>1.6000000000000001E-3</v>
      </c>
      <c r="L11" s="33">
        <f>Maelor!L31</f>
        <v>2.8128E-2</v>
      </c>
      <c r="M11" s="33">
        <f>Maelor!M31</f>
        <v>2.9664000000000003E-2</v>
      </c>
      <c r="N11" s="33">
        <f>Maelor!N31</f>
        <v>0</v>
      </c>
      <c r="O11" s="33">
        <f>Maelor!O31</f>
        <v>0</v>
      </c>
      <c r="P11" s="33">
        <f>Maelor!P31</f>
        <v>23.52</v>
      </c>
      <c r="Q11" s="33">
        <f>Maelor!Q31</f>
        <v>46.559999999999995</v>
      </c>
      <c r="R11" s="33">
        <f>Maelor!R31</f>
        <v>0</v>
      </c>
      <c r="S11" s="33">
        <f>Maelor!S31</f>
        <v>0</v>
      </c>
      <c r="T11" s="33">
        <f>Maelor!T31</f>
        <v>0</v>
      </c>
      <c r="U11" s="33">
        <f>Maelor!U31</f>
        <v>0</v>
      </c>
    </row>
    <row r="12" spans="1:21" x14ac:dyDescent="0.2">
      <c r="A12" s="36">
        <v>10</v>
      </c>
      <c r="B12" s="33">
        <f>Secanim!B31</f>
        <v>200</v>
      </c>
      <c r="C12" s="33">
        <f>Secanim!C31</f>
        <v>140</v>
      </c>
      <c r="D12" s="33">
        <f>Secanim!D31</f>
        <v>54.983999999999995</v>
      </c>
      <c r="E12" s="33">
        <f>Secanim!E31</f>
        <v>42.898000000000003</v>
      </c>
      <c r="F12" s="33">
        <f>Secanim!F31</f>
        <v>7.5273199999999996</v>
      </c>
      <c r="G12" s="33">
        <f>Secanim!G31</f>
        <v>0.15460000000000002</v>
      </c>
      <c r="H12" s="33">
        <f>Secanim!H31</f>
        <v>0.42799999999999999</v>
      </c>
      <c r="I12" s="33">
        <f>Secanim!I31</f>
        <v>0.1</v>
      </c>
      <c r="J12" s="33">
        <f>Secanim!J31</f>
        <v>2E-3</v>
      </c>
      <c r="K12" s="33">
        <f>Secanim!K31</f>
        <v>0.01</v>
      </c>
      <c r="L12" s="33">
        <f>Secanim!L31</f>
        <v>0.04</v>
      </c>
      <c r="M12" s="33">
        <f>Secanim!M31</f>
        <v>0.04</v>
      </c>
      <c r="N12" s="33">
        <f>Secanim!N31</f>
        <v>0</v>
      </c>
      <c r="O12" s="33">
        <f>Secanim!O31</f>
        <v>0</v>
      </c>
      <c r="P12" s="33">
        <f>Secanim!P31</f>
        <v>259.60000000000002</v>
      </c>
      <c r="Q12" s="33">
        <f>Secanim!Q31</f>
        <v>221.5</v>
      </c>
      <c r="R12" s="33">
        <f>Secanim!R31</f>
        <v>0</v>
      </c>
      <c r="S12" s="33">
        <f>Secanim!S31</f>
        <v>0</v>
      </c>
      <c r="T12" s="33">
        <f>Secanim!T31</f>
        <v>0</v>
      </c>
      <c r="U12" s="33">
        <f>Secanim!U31</f>
        <v>0</v>
      </c>
    </row>
    <row r="13" spans="1:21" s="82" customFormat="1" ht="15.75" x14ac:dyDescent="0.25">
      <c r="A13" s="80" t="s">
        <v>85</v>
      </c>
      <c r="B13" s="81">
        <f>SUM(B3:B12)</f>
        <v>1091</v>
      </c>
      <c r="C13" s="81">
        <f t="shared" ref="C13:U13" si="0">SUM(C3:C12)</f>
        <v>1063.4287399999998</v>
      </c>
      <c r="D13" s="81">
        <f t="shared" si="0"/>
        <v>470.91940290000002</v>
      </c>
      <c r="E13" s="81">
        <f t="shared" si="0"/>
        <v>232.17717075000002</v>
      </c>
      <c r="F13" s="81">
        <f t="shared" si="0"/>
        <v>78.878530947999991</v>
      </c>
      <c r="G13" s="81">
        <f t="shared" si="0"/>
        <v>1.0425569800000001</v>
      </c>
      <c r="H13" s="81">
        <f t="shared" si="0"/>
        <v>3.2162557999999999</v>
      </c>
      <c r="I13" s="81">
        <f t="shared" si="0"/>
        <v>0.56901728200000001</v>
      </c>
      <c r="J13" s="81">
        <f t="shared" si="0"/>
        <v>1.1103340000000001E-2</v>
      </c>
      <c r="K13" s="81">
        <f t="shared" si="0"/>
        <v>5.3973340000000002E-2</v>
      </c>
      <c r="L13" s="81">
        <f t="shared" si="0"/>
        <v>0.29491773999999998</v>
      </c>
      <c r="M13" s="81">
        <f t="shared" si="0"/>
        <v>0.58348004000000009</v>
      </c>
      <c r="N13" s="81">
        <f t="shared" si="0"/>
        <v>0</v>
      </c>
      <c r="O13" s="81">
        <f t="shared" si="0"/>
        <v>0</v>
      </c>
      <c r="P13" s="81">
        <f t="shared" si="0"/>
        <v>827.78236000000004</v>
      </c>
      <c r="Q13" s="81">
        <f t="shared" si="0"/>
        <v>1045.8473999999999</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8" t="s">
        <v>84</v>
      </c>
      <c r="B1" s="34" t="s">
        <v>152</v>
      </c>
      <c r="C1" s="35" t="str">
        <f>Beechdean!B29</f>
        <v>Application Rate</v>
      </c>
      <c r="D1" s="35" t="str">
        <f>Beechdean!C29</f>
        <v>Nitrogen Addition</v>
      </c>
      <c r="E1" s="35" t="str">
        <f>Beechdean!D29</f>
        <v>Phosphate Addition</v>
      </c>
      <c r="F1" s="35" t="str">
        <f>Beechdean!E29</f>
        <v>Potash  Addition</v>
      </c>
      <c r="G1" s="35" t="str">
        <f>Beechdean!F29</f>
        <v>Mg Oxide Addition</v>
      </c>
      <c r="H1" s="35" t="str">
        <f>Beechdean!G29</f>
        <v>Copper Addition</v>
      </c>
      <c r="I1" s="35" t="str">
        <f>Beechdean!H29</f>
        <v>Zinc Addition</v>
      </c>
      <c r="J1" s="35" t="str">
        <f>Beechdean!I29</f>
        <v>Lead Addition</v>
      </c>
      <c r="K1" s="35" t="str">
        <f>Beechdean!J29</f>
        <v>Cadmium Addition</v>
      </c>
      <c r="L1" s="35" t="str">
        <f>Beechdean!K29</f>
        <v>Mercury Addition</v>
      </c>
      <c r="M1" s="35" t="str">
        <f>Beechdean!L29</f>
        <v>Nickel Addition</v>
      </c>
      <c r="N1" s="35" t="str">
        <f>Beechdean!M29</f>
        <v>Chromium Addition</v>
      </c>
      <c r="O1" s="35" t="str">
        <f>Beechdean!N29</f>
        <v>Aluminium Addition</v>
      </c>
      <c r="P1" s="35" t="str">
        <f>Beechdean!O29</f>
        <v>Iron Addition</v>
      </c>
      <c r="Q1" s="35" t="str">
        <f>Beechdean!P29</f>
        <v xml:space="preserve">Sodium Addition                 </v>
      </c>
      <c r="R1" s="35" t="str">
        <f>Beechdean!Q29</f>
        <v>SO3  Addition                             kg/ha</v>
      </c>
      <c r="S1" s="35" t="str">
        <f>Beechdean!R29</f>
        <v xml:space="preserve">Selenium Addition </v>
      </c>
      <c r="T1" s="35" t="str">
        <f>Beechdean!S29</f>
        <v xml:space="preserve">Arsenic  Addition  </v>
      </c>
      <c r="U1" s="35" t="str">
        <f>Beechdean!T29</f>
        <v xml:space="preserve">Molybdenum Addition  </v>
      </c>
      <c r="V1" s="35" t="str">
        <f>Beechdean!U29</f>
        <v xml:space="preserve">Fluoride Addition </v>
      </c>
    </row>
    <row r="2" spans="1:22" s="83" customFormat="1" ht="25.5" x14ac:dyDescent="0.25">
      <c r="A2" s="148"/>
      <c r="B2" s="32" t="s">
        <v>46</v>
      </c>
      <c r="C2" s="35" t="str">
        <f>Beechdean!B30</f>
        <v>tonnes/ha</v>
      </c>
      <c r="D2" s="35" t="str">
        <f>Beechdean!C30</f>
        <v>kg/ha</v>
      </c>
      <c r="E2" s="35" t="str">
        <f>Beechdean!D30</f>
        <v>P2O5 
kg/ha</v>
      </c>
      <c r="F2" s="35" t="str">
        <f>Beechdean!E30</f>
        <v>K2O 
kg/ha</v>
      </c>
      <c r="G2" s="35" t="str">
        <f>Beechdean!F30</f>
        <v>MgO 
kg/ha</v>
      </c>
      <c r="H2" s="35" t="str">
        <f>Beechdean!G30</f>
        <v>kg/ha</v>
      </c>
      <c r="I2" s="35" t="str">
        <f>Beechdean!H30</f>
        <v>kg/ha</v>
      </c>
      <c r="J2" s="35" t="str">
        <f>Beechdean!I30</f>
        <v>kg/ha</v>
      </c>
      <c r="K2" s="35" t="str">
        <f>Beechdean!J30</f>
        <v>kg/ha</v>
      </c>
      <c r="L2" s="35" t="str">
        <f>Beechdean!K30</f>
        <v>kg/ha</v>
      </c>
      <c r="M2" s="35" t="str">
        <f>Beechdean!L30</f>
        <v>kg/ha</v>
      </c>
      <c r="N2" s="35" t="str">
        <f>Beechdean!M30</f>
        <v>kg/ha</v>
      </c>
      <c r="O2" s="35" t="str">
        <f>Beechdean!N30</f>
        <v>kg/ha</v>
      </c>
      <c r="P2" s="35" t="str">
        <f>Beechdean!O30</f>
        <v>kg/ha</v>
      </c>
      <c r="Q2" s="35" t="str">
        <f>Beechdean!P30</f>
        <v>kg/ha</v>
      </c>
      <c r="R2" s="35" t="str">
        <f>Beechdean!Q30</f>
        <v>kg/ha</v>
      </c>
      <c r="S2" s="35" t="str">
        <f>Beechdean!R30</f>
        <v>kg/ha</v>
      </c>
      <c r="T2" s="35" t="str">
        <f>Beechdean!S30</f>
        <v>kg/ha</v>
      </c>
      <c r="U2" s="35" t="str">
        <f>Beechdean!T30</f>
        <v>kg/ha</v>
      </c>
      <c r="V2" s="35" t="str">
        <f>Beechdean!U30</f>
        <v>kg/ha</v>
      </c>
    </row>
    <row r="3" spans="1:22" x14ac:dyDescent="0.2">
      <c r="A3" s="36">
        <v>1</v>
      </c>
      <c r="B3" s="91"/>
      <c r="C3" s="33">
        <f>Beechdean!B31</f>
        <v>245</v>
      </c>
      <c r="D3" s="33">
        <f>Beechdean!C31</f>
        <v>147</v>
      </c>
      <c r="E3" s="33">
        <f>Beechdean!D31</f>
        <v>55.455945999999997</v>
      </c>
      <c r="F3" s="33">
        <f>Beechdean!E31</f>
        <v>49.893025000000002</v>
      </c>
      <c r="G3" s="33">
        <f>Beechdean!F31</f>
        <v>10.398975999999999</v>
      </c>
      <c r="H3" s="33">
        <f>Beechdean!G31</f>
        <v>5.4144999999999999E-2</v>
      </c>
      <c r="I3" s="33">
        <f>Beechdean!H31</f>
        <v>0.245</v>
      </c>
      <c r="J3" s="33">
        <f>Beechdean!I31</f>
        <v>0.1225</v>
      </c>
      <c r="K3" s="33">
        <f>Beechdean!J31</f>
        <v>2.4500000000000004E-3</v>
      </c>
      <c r="L3" s="33">
        <f>Beechdean!K31</f>
        <v>1.225E-2</v>
      </c>
      <c r="M3" s="33">
        <f>Beechdean!L31</f>
        <v>4.9000000000000002E-2</v>
      </c>
      <c r="N3" s="33">
        <f>Beechdean!M31</f>
        <v>4.9000000000000002E-2</v>
      </c>
      <c r="O3" s="33">
        <f>Beechdean!N31</f>
        <v>0</v>
      </c>
      <c r="P3" s="33">
        <f>Beechdean!O31</f>
        <v>0</v>
      </c>
      <c r="Q3" s="33">
        <f>Beechdean!P31</f>
        <v>82.565000000000012</v>
      </c>
      <c r="R3" s="33">
        <f>Beechdean!Q31</f>
        <v>47.713750000000005</v>
      </c>
      <c r="S3" s="33">
        <f>Beechdean!R31</f>
        <v>0</v>
      </c>
      <c r="T3" s="33">
        <f>Beechdean!S31</f>
        <v>0</v>
      </c>
      <c r="U3" s="33">
        <f>Beechdean!T31</f>
        <v>0</v>
      </c>
      <c r="V3" s="33">
        <f>Beechdean!U31</f>
        <v>0</v>
      </c>
    </row>
    <row r="4" spans="1:22" x14ac:dyDescent="0.2">
      <c r="A4" s="36">
        <v>2</v>
      </c>
      <c r="B4" s="91"/>
      <c r="C4" s="33">
        <f>'Croda Goole'!B31</f>
        <v>45</v>
      </c>
      <c r="D4" s="33">
        <f>'Croda Goole'!C31</f>
        <v>99.000000000000014</v>
      </c>
      <c r="E4" s="33">
        <f>'Croda Goole'!D31</f>
        <v>54.227969999999999</v>
      </c>
      <c r="F4" s="33">
        <f>'Croda Goole'!E31</f>
        <v>11.604149999999999</v>
      </c>
      <c r="G4" s="33">
        <f>'Croda Goole'!F31</f>
        <v>6.8641199999999989</v>
      </c>
      <c r="H4" s="33">
        <f>'Croda Goole'!G31</f>
        <v>4.41E-2</v>
      </c>
      <c r="I4" s="33">
        <f>'Croda Goole'!H31</f>
        <v>0.4995</v>
      </c>
      <c r="J4" s="33">
        <f>'Croda Goole'!I31</f>
        <v>2.2499999999999999E-2</v>
      </c>
      <c r="K4" s="33">
        <f>'Croda Goole'!J31</f>
        <v>4.5000000000000004E-4</v>
      </c>
      <c r="L4" s="33">
        <f>'Croda Goole'!K31</f>
        <v>2.2500000000000003E-3</v>
      </c>
      <c r="M4" s="33">
        <f>'Croda Goole'!L31</f>
        <v>2.9385000000000001E-2</v>
      </c>
      <c r="N4" s="33">
        <f>'Croda Goole'!M31</f>
        <v>0.22995000000000004</v>
      </c>
      <c r="O4" s="33">
        <f>'Croda Goole'!N31</f>
        <v>0</v>
      </c>
      <c r="P4" s="33">
        <f>'Croda Goole'!O31</f>
        <v>0</v>
      </c>
      <c r="Q4" s="33">
        <f>'Croda Goole'!P31</f>
        <v>196.785</v>
      </c>
      <c r="R4" s="33">
        <f>'Croda Goole'!Q31</f>
        <v>491.96249999999998</v>
      </c>
      <c r="S4" s="33">
        <f>'Croda Goole'!R31</f>
        <v>0</v>
      </c>
      <c r="T4" s="33">
        <f>'Croda Goole'!S31</f>
        <v>0</v>
      </c>
      <c r="U4" s="33">
        <f>'Croda Goole'!T31</f>
        <v>0</v>
      </c>
      <c r="V4" s="33">
        <f>'Croda Goole'!U31</f>
        <v>0</v>
      </c>
    </row>
    <row r="5" spans="1:22" x14ac:dyDescent="0.2">
      <c r="A5" s="36">
        <v>3</v>
      </c>
      <c r="B5" s="91"/>
      <c r="C5" s="33">
        <f>'Croda Widnes'!B31</f>
        <v>35</v>
      </c>
      <c r="D5" s="33">
        <f>'Croda Widnes'!C31</f>
        <v>125.99999999999999</v>
      </c>
      <c r="E5" s="33">
        <f>'Croda Widnes'!D31</f>
        <v>54.605984999999997</v>
      </c>
      <c r="F5" s="33">
        <f>'Croda Widnes'!E31</f>
        <v>11.598125000000001</v>
      </c>
      <c r="G5" s="33">
        <f>'Croda Widnes'!F31</f>
        <v>12.302359999999998</v>
      </c>
      <c r="H5" s="33">
        <f>'Croda Widnes'!G31</f>
        <v>6.93E-2</v>
      </c>
      <c r="I5" s="33">
        <f>'Croda Widnes'!H31</f>
        <v>0.39200000000000002</v>
      </c>
      <c r="J5" s="33">
        <f>'Croda Widnes'!I31</f>
        <v>1.7500000000000002E-2</v>
      </c>
      <c r="K5" s="33">
        <f>'Croda Widnes'!J31</f>
        <v>5.5999999999999995E-4</v>
      </c>
      <c r="L5" s="33">
        <f>'Croda Widnes'!K31</f>
        <v>1.75E-3</v>
      </c>
      <c r="M5" s="33">
        <f>'Croda Widnes'!L31</f>
        <v>1.1130000000000001E-2</v>
      </c>
      <c r="N5" s="33">
        <f>'Croda Widnes'!M31</f>
        <v>1.8655000000000001E-2</v>
      </c>
      <c r="O5" s="33">
        <f>'Croda Widnes'!N31</f>
        <v>0</v>
      </c>
      <c r="P5" s="33">
        <f>'Croda Widnes'!O31</f>
        <v>0</v>
      </c>
      <c r="Q5" s="33">
        <f>'Croda Widnes'!P31</f>
        <v>14.525000000000002</v>
      </c>
      <c r="R5" s="33">
        <f>'Croda Widnes'!Q31</f>
        <v>62.212499999999991</v>
      </c>
      <c r="S5" s="33">
        <f>'Croda Widnes'!R31</f>
        <v>0</v>
      </c>
      <c r="T5" s="33">
        <f>'Croda Widnes'!S31</f>
        <v>0</v>
      </c>
      <c r="U5" s="33">
        <f>'Croda Widnes'!T31</f>
        <v>0</v>
      </c>
      <c r="V5" s="33">
        <f>'Croda Widnes'!U31</f>
        <v>0</v>
      </c>
    </row>
    <row r="6" spans="1:22" x14ac:dyDescent="0.2">
      <c r="A6" s="36">
        <v>4</v>
      </c>
      <c r="B6" s="91"/>
      <c r="C6" s="33">
        <f>D.wise!B31</f>
        <v>0</v>
      </c>
      <c r="D6" s="33">
        <f>D.wise!C31</f>
        <v>0</v>
      </c>
      <c r="E6" s="33">
        <f>D.wise!D31</f>
        <v>0</v>
      </c>
      <c r="F6" s="33">
        <f>D.wise!E31</f>
        <v>0</v>
      </c>
      <c r="G6" s="33">
        <f>D.wise!F31</f>
        <v>0</v>
      </c>
      <c r="H6" s="33">
        <f>D.wise!G31</f>
        <v>0</v>
      </c>
      <c r="I6" s="33">
        <f>D.wise!H31</f>
        <v>0</v>
      </c>
      <c r="J6" s="33">
        <f>D.wise!I31</f>
        <v>0</v>
      </c>
      <c r="K6" s="33">
        <f>D.wise!J31</f>
        <v>0</v>
      </c>
      <c r="L6" s="33">
        <f>D.wise!K31</f>
        <v>0</v>
      </c>
      <c r="M6" s="33">
        <f>D.wise!L31</f>
        <v>0</v>
      </c>
      <c r="N6" s="33">
        <f>D.wise!M31</f>
        <v>0</v>
      </c>
      <c r="O6" s="33">
        <f>D.wise!N31</f>
        <v>0</v>
      </c>
      <c r="P6" s="33">
        <f>D.wise!O31</f>
        <v>0</v>
      </c>
      <c r="Q6" s="33">
        <f>D.wise!P31</f>
        <v>0</v>
      </c>
      <c r="R6" s="33">
        <f>D.wise!Q31</f>
        <v>0</v>
      </c>
      <c r="S6" s="33">
        <f>D.wise!R31</f>
        <v>0</v>
      </c>
      <c r="T6" s="33">
        <f>D.wise!S31</f>
        <v>0</v>
      </c>
      <c r="U6" s="33">
        <f>D.wise!T31</f>
        <v>0</v>
      </c>
      <c r="V6" s="33">
        <f>D.wise!U31</f>
        <v>0</v>
      </c>
    </row>
    <row r="7" spans="1:22" x14ac:dyDescent="0.2">
      <c r="A7" s="36">
        <v>5</v>
      </c>
      <c r="B7" s="91"/>
      <c r="C7" s="33">
        <f>Encirc!B31</f>
        <v>14</v>
      </c>
      <c r="D7" s="33">
        <f>Encirc!C31</f>
        <v>100.02874</v>
      </c>
      <c r="E7" s="33">
        <f>Encirc!D31</f>
        <v>52.275808900000001</v>
      </c>
      <c r="F7" s="33">
        <f>Encirc!E31</f>
        <v>10.775290750000002</v>
      </c>
      <c r="G7" s="33">
        <f>Encirc!F31</f>
        <v>5.2964909480000006</v>
      </c>
      <c r="H7" s="33">
        <f>Encirc!G31</f>
        <v>3.6631980000000008E-2</v>
      </c>
      <c r="I7" s="33">
        <f>Encirc!H31</f>
        <v>0.41565580000000008</v>
      </c>
      <c r="J7" s="33">
        <f>Encirc!I31</f>
        <v>5.217282000000001E-3</v>
      </c>
      <c r="K7" s="33">
        <f>Encirc!J31</f>
        <v>1.2334000000000002E-4</v>
      </c>
      <c r="L7" s="33">
        <f>Encirc!K31</f>
        <v>1.2334000000000002E-4</v>
      </c>
      <c r="M7" s="33">
        <f>Encirc!L31</f>
        <v>2.6024740000000005E-2</v>
      </c>
      <c r="N7" s="33">
        <f>Encirc!M31</f>
        <v>8.0911040000000004E-2</v>
      </c>
      <c r="O7" s="33">
        <f>Encirc!N31</f>
        <v>0</v>
      </c>
      <c r="P7" s="33">
        <f>Encirc!O31</f>
        <v>0</v>
      </c>
      <c r="Q7" s="33">
        <f>Encirc!P31</f>
        <v>12.827360000000002</v>
      </c>
      <c r="R7" s="33">
        <f>Encirc!Q31</f>
        <v>52.111150000000002</v>
      </c>
      <c r="S7" s="33">
        <f>Encirc!R31</f>
        <v>0</v>
      </c>
      <c r="T7" s="33">
        <f>Encirc!S31</f>
        <v>0</v>
      </c>
      <c r="U7" s="33">
        <f>Encirc!T31</f>
        <v>0</v>
      </c>
      <c r="V7" s="33">
        <f>Encirc!U31</f>
        <v>0</v>
      </c>
    </row>
    <row r="8" spans="1:22" x14ac:dyDescent="0.2">
      <c r="A8" s="36">
        <v>6</v>
      </c>
      <c r="B8" s="91"/>
      <c r="C8" s="33">
        <f>Penderyn!B31</f>
        <v>170</v>
      </c>
      <c r="D8" s="33">
        <f>Penderyn!C31</f>
        <v>68</v>
      </c>
      <c r="E8" s="33">
        <f>Penderyn!D31</f>
        <v>54.525799999999997</v>
      </c>
      <c r="F8" s="33">
        <f>Penderyn!E31</f>
        <v>57.767700000000012</v>
      </c>
      <c r="G8" s="33">
        <f>Penderyn!F31</f>
        <v>9.6959839999999993</v>
      </c>
      <c r="H8" s="33">
        <f>Penderyn!G31</f>
        <v>0.27710000000000001</v>
      </c>
      <c r="I8" s="33">
        <f>Penderyn!H31</f>
        <v>8.5000000000000006E-2</v>
      </c>
      <c r="J8" s="33">
        <f>Penderyn!I31</f>
        <v>8.5000000000000006E-2</v>
      </c>
      <c r="K8" s="33">
        <f>Penderyn!J31</f>
        <v>1.7000000000000001E-3</v>
      </c>
      <c r="L8" s="33">
        <f>Penderyn!K31</f>
        <v>8.5000000000000006E-3</v>
      </c>
      <c r="M8" s="33">
        <f>Penderyn!L31</f>
        <v>3.4000000000000002E-2</v>
      </c>
      <c r="N8" s="33">
        <f>Penderyn!M31</f>
        <v>3.4000000000000002E-2</v>
      </c>
      <c r="O8" s="33">
        <f>Penderyn!N31</f>
        <v>0</v>
      </c>
      <c r="P8" s="33">
        <f>Penderyn!O31</f>
        <v>0</v>
      </c>
      <c r="Q8" s="33">
        <f>Penderyn!P31</f>
        <v>150.96</v>
      </c>
      <c r="R8" s="33">
        <f>Penderyn!Q31</f>
        <v>18.912499999999998</v>
      </c>
      <c r="S8" s="33">
        <f>Penderyn!R31</f>
        <v>0</v>
      </c>
      <c r="T8" s="33">
        <f>Penderyn!S31</f>
        <v>0</v>
      </c>
      <c r="U8" s="33">
        <f>Penderyn!T31</f>
        <v>0</v>
      </c>
      <c r="V8" s="33">
        <f>Penderyn!U31</f>
        <v>0</v>
      </c>
    </row>
    <row r="9" spans="1:22" x14ac:dyDescent="0.2">
      <c r="A9" s="36">
        <v>7</v>
      </c>
      <c r="B9" s="91"/>
      <c r="C9" s="33">
        <f>Kelloggs!B31</f>
        <v>100</v>
      </c>
      <c r="D9" s="33">
        <f>Kelloggs!C31</f>
        <v>190</v>
      </c>
      <c r="E9" s="33">
        <f>Kelloggs!D31</f>
        <v>55.4422</v>
      </c>
      <c r="F9" s="33">
        <f>Kelloggs!E31</f>
        <v>18.436499999999999</v>
      </c>
      <c r="G9" s="33">
        <f>Kelloggs!F31</f>
        <v>4.6424000000000003</v>
      </c>
      <c r="H9" s="33">
        <f>Kelloggs!G31</f>
        <v>0.25</v>
      </c>
      <c r="I9" s="33">
        <f>Kelloggs!H31</f>
        <v>0.187</v>
      </c>
      <c r="J9" s="33">
        <f>Kelloggs!I31</f>
        <v>7.5299999999999992E-2</v>
      </c>
      <c r="K9" s="33">
        <f>Kelloggs!J31</f>
        <v>1E-3</v>
      </c>
      <c r="L9" s="33">
        <f>Kelloggs!K31</f>
        <v>5.0000000000000001E-3</v>
      </c>
      <c r="M9" s="33">
        <f>Kelloggs!L31</f>
        <v>0.02</v>
      </c>
      <c r="N9" s="33">
        <f>Kelloggs!M31</f>
        <v>3.2300000000000002E-2</v>
      </c>
      <c r="O9" s="33">
        <f>Kelloggs!N31</f>
        <v>0</v>
      </c>
      <c r="P9" s="33">
        <f>Kelloggs!O31</f>
        <v>0</v>
      </c>
      <c r="Q9" s="33">
        <f>Kelloggs!P31</f>
        <v>16</v>
      </c>
      <c r="R9" s="33">
        <f>Kelloggs!Q31</f>
        <v>26.75</v>
      </c>
      <c r="S9" s="33">
        <f>Kelloggs!R31</f>
        <v>0</v>
      </c>
      <c r="T9" s="33">
        <f>Kelloggs!S31</f>
        <v>0</v>
      </c>
      <c r="U9" s="33">
        <f>Kelloggs!T31</f>
        <v>0</v>
      </c>
      <c r="V9" s="33">
        <f>Kelloggs!U31</f>
        <v>0</v>
      </c>
    </row>
    <row r="10" spans="1:22" x14ac:dyDescent="0.2">
      <c r="A10" s="36">
        <v>8</v>
      </c>
      <c r="B10" s="91"/>
      <c r="C10" s="33">
        <f>'Rowan Food'!B31</f>
        <v>250</v>
      </c>
      <c r="D10" s="33">
        <f>'Rowan Food'!C31</f>
        <v>75</v>
      </c>
      <c r="E10" s="33">
        <f>'Rowan Food'!D31</f>
        <v>35.224125000000001</v>
      </c>
      <c r="F10" s="33">
        <f>'Rowan Food'!E31</f>
        <v>22.533500000000004</v>
      </c>
      <c r="G10" s="33">
        <f>'Rowan Food'!F31</f>
        <v>9.9480000000000004</v>
      </c>
      <c r="H10" s="33">
        <f>'Rowan Food'!G31</f>
        <v>5.2999999999999999E-2</v>
      </c>
      <c r="I10" s="33">
        <f>'Rowan Food'!H31</f>
        <v>0.4425</v>
      </c>
      <c r="J10" s="33">
        <f>'Rowan Food'!I31</f>
        <v>0.125</v>
      </c>
      <c r="K10" s="33">
        <f>'Rowan Food'!J31</f>
        <v>2.5000000000000001E-3</v>
      </c>
      <c r="L10" s="33">
        <f>'Rowan Food'!K31</f>
        <v>1.2500000000000001E-2</v>
      </c>
      <c r="M10" s="33">
        <f>'Rowan Food'!L31</f>
        <v>5.7250000000000002E-2</v>
      </c>
      <c r="N10" s="33">
        <f>'Rowan Food'!M31</f>
        <v>6.9000000000000006E-2</v>
      </c>
      <c r="O10" s="33">
        <f>'Rowan Food'!N31</f>
        <v>0</v>
      </c>
      <c r="P10" s="33">
        <f>'Rowan Food'!O31</f>
        <v>0</v>
      </c>
      <c r="Q10" s="33">
        <f>'Rowan Food'!P31</f>
        <v>71.000000000000014</v>
      </c>
      <c r="R10" s="33">
        <f>'Rowan Food'!Q31</f>
        <v>78.125</v>
      </c>
      <c r="S10" s="33">
        <f>'Rowan Food'!R31</f>
        <v>0</v>
      </c>
      <c r="T10" s="33">
        <f>'Rowan Food'!S31</f>
        <v>0</v>
      </c>
      <c r="U10" s="33">
        <f>'Rowan Food'!T31</f>
        <v>0</v>
      </c>
      <c r="V10" s="33">
        <f>'Rowan Food'!U31</f>
        <v>0</v>
      </c>
    </row>
    <row r="11" spans="1:22" x14ac:dyDescent="0.2">
      <c r="A11" s="36">
        <v>9</v>
      </c>
      <c r="B11" s="91"/>
      <c r="C11" s="33">
        <f>Maelor!B31</f>
        <v>32</v>
      </c>
      <c r="D11" s="33">
        <f>Maelor!C31</f>
        <v>118.4</v>
      </c>
      <c r="E11" s="33">
        <f>Maelor!D31</f>
        <v>54.177568000000001</v>
      </c>
      <c r="F11" s="33">
        <f>Maelor!E31</f>
        <v>6.6708800000000013</v>
      </c>
      <c r="G11" s="33">
        <f>Maelor!F31</f>
        <v>12.20288</v>
      </c>
      <c r="H11" s="33">
        <f>Maelor!G31</f>
        <v>0.10368000000000001</v>
      </c>
      <c r="I11" s="33">
        <f>Maelor!H31</f>
        <v>0.52160000000000006</v>
      </c>
      <c r="J11" s="33">
        <f>Maelor!I31</f>
        <v>1.6E-2</v>
      </c>
      <c r="K11" s="33">
        <f>Maelor!J31</f>
        <v>3.2000000000000003E-4</v>
      </c>
      <c r="L11" s="33">
        <f>Maelor!K31</f>
        <v>1.6000000000000001E-3</v>
      </c>
      <c r="M11" s="33">
        <f>Maelor!L31</f>
        <v>2.8128E-2</v>
      </c>
      <c r="N11" s="33">
        <f>Maelor!M31</f>
        <v>2.9664000000000003E-2</v>
      </c>
      <c r="O11" s="33">
        <f>Maelor!N31</f>
        <v>0</v>
      </c>
      <c r="P11" s="33">
        <f>Maelor!O31</f>
        <v>0</v>
      </c>
      <c r="Q11" s="33">
        <f>Maelor!P31</f>
        <v>23.52</v>
      </c>
      <c r="R11" s="33">
        <f>Maelor!Q31</f>
        <v>46.559999999999995</v>
      </c>
      <c r="S11" s="33">
        <f>Maelor!R31</f>
        <v>0</v>
      </c>
      <c r="T11" s="33">
        <f>Maelor!S31</f>
        <v>0</v>
      </c>
      <c r="U11" s="33">
        <f>Maelor!T31</f>
        <v>0</v>
      </c>
      <c r="V11" s="33">
        <f>Maelor!U31</f>
        <v>0</v>
      </c>
    </row>
    <row r="12" spans="1:22" x14ac:dyDescent="0.2">
      <c r="A12" s="36">
        <v>10</v>
      </c>
      <c r="B12" s="91"/>
      <c r="C12" s="33">
        <f>Secanim!B31</f>
        <v>200</v>
      </c>
      <c r="D12" s="33">
        <f>Secanim!C31</f>
        <v>140</v>
      </c>
      <c r="E12" s="33">
        <f>Secanim!D31</f>
        <v>54.983999999999995</v>
      </c>
      <c r="F12" s="33">
        <f>Secanim!E31</f>
        <v>42.898000000000003</v>
      </c>
      <c r="G12" s="33">
        <f>Secanim!F31</f>
        <v>7.5273199999999996</v>
      </c>
      <c r="H12" s="33">
        <f>Secanim!G31</f>
        <v>0.15460000000000002</v>
      </c>
      <c r="I12" s="33">
        <f>Secanim!H31</f>
        <v>0.42799999999999999</v>
      </c>
      <c r="J12" s="33">
        <f>Secanim!I31</f>
        <v>0.1</v>
      </c>
      <c r="K12" s="33">
        <f>Secanim!J31</f>
        <v>2E-3</v>
      </c>
      <c r="L12" s="33">
        <f>Secanim!K31</f>
        <v>0.01</v>
      </c>
      <c r="M12" s="33">
        <f>Secanim!L31</f>
        <v>0.04</v>
      </c>
      <c r="N12" s="33">
        <f>Secanim!M31</f>
        <v>0.04</v>
      </c>
      <c r="O12" s="33">
        <f>Secanim!N31</f>
        <v>0</v>
      </c>
      <c r="P12" s="33">
        <f>Secanim!O31</f>
        <v>0</v>
      </c>
      <c r="Q12" s="33">
        <f>Secanim!P31</f>
        <v>259.60000000000002</v>
      </c>
      <c r="R12" s="33">
        <f>Secanim!Q31</f>
        <v>221.5</v>
      </c>
      <c r="S12" s="33">
        <f>Secanim!R31</f>
        <v>0</v>
      </c>
      <c r="T12" s="33">
        <f>Secanim!S31</f>
        <v>0</v>
      </c>
      <c r="U12" s="33">
        <f>Secanim!T31</f>
        <v>0</v>
      </c>
      <c r="V12" s="33">
        <f>Secanim!U31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7" t="s">
        <v>84</v>
      </c>
      <c r="B15" s="35" t="s">
        <v>152</v>
      </c>
      <c r="C15" s="35">
        <f>Beechdean!B43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7"/>
      <c r="B16" s="32" t="s">
        <v>46</v>
      </c>
      <c r="C16" s="35">
        <f>Beechdean!B44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245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45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35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14</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170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100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32</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200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9" t="s">
        <v>85</v>
      </c>
      <c r="B27" s="149"/>
      <c r="C27" s="149"/>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REGU-204-2745088</_dlc_DocId>
    <_dlc_DocIdUrl xmlns="9be56660-2c31-41ef-bc00-23e72f632f2a">
      <Url>https://cyfoethnaturiolcymru.sharepoint.com/teams/Regulatory/Permitting/_layouts/15/DocIdRedir.aspx?ID=REGU-204-2745088</Url>
      <Description>REGU-204-2745088</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2022-06-06T23:00:00+00:00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AC9DC56-200F-4510-9214-4CF360C9FC1B}"/>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07EF1BB6-9A64-440C-B5DF-F2813EB40F80}"/>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Beechdean</vt:lpstr>
      <vt:lpstr>Croda Goole</vt:lpstr>
      <vt:lpstr>Croda Widnes</vt:lpstr>
      <vt:lpstr>D.wise</vt:lpstr>
      <vt:lpstr>Encirc</vt:lpstr>
      <vt:lpstr>Penderyn</vt:lpstr>
      <vt:lpstr>Kelloggs</vt:lpstr>
      <vt:lpstr>Rowan Food</vt:lpstr>
      <vt:lpstr>Maelor</vt:lpstr>
      <vt:lpstr>Secanim</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2022-06-01T13:17:49Z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b7e31818-2f5f-408f-873f-2e92bc881ebf</vt:lpwstr>
  </property>
  <property fmtid="{D5CDD505-2E9C-101B-9397-08002B2CF9AE}" pid="4" name="Order">
    <vt:r8>10566800</vt:r8>
  </property>
</Properties>
</file>