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507 TES dep/"/>
    </mc:Choice>
  </mc:AlternateContent>
  <xr:revisionPtr revIDLastSave="0" documentId="13_ncr:1_{3353DAB8-9878-45D5-AD63-59732688D79C}" xr6:coauthVersionLast="47" xr6:coauthVersionMax="47" xr10:uidLastSave="{00000000-0000-0000-0000-000000000000}"/>
  <bookViews>
    <workbookView xWindow="-120" yWindow="-120" windowWidth="29040" windowHeight="15840" tabRatio="672" activeTab="9" xr2:uid="{00000000-000D-0000-FFFF-FFFF00000000}"/>
  </bookViews>
  <sheets>
    <sheet name="Beechdean" sheetId="1" r:id="rId1"/>
    <sheet name="Croda Goole" sheetId="21" r:id="rId2"/>
    <sheet name="Croda Widnes" sheetId="27" r:id="rId3"/>
    <sheet name="D.Wise" sheetId="28" r:id="rId4"/>
    <sheet name="Encirc" sheetId="30" r:id="rId5"/>
    <sheet name="Penderyn" sheetId="26" r:id="rId6"/>
    <sheet name="Kelloggs" sheetId="24" r:id="rId7"/>
    <sheet name="Rowan" sheetId="29" r:id="rId8"/>
    <sheet name="Maelor" sheetId="23" r:id="rId9"/>
    <sheet name="Secanim"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2"/>
  <c r="L3" i="23"/>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T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U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U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S18"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U63" i="29" l="1"/>
  <c r="U63" i="27"/>
  <c r="H10" i="19"/>
  <c r="H24" i="19" s="1"/>
  <c r="F63" i="28"/>
  <c r="N63" i="28"/>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23" i="22" s="1"/>
  <c r="E24" i="22" s="1"/>
  <c r="E17" i="22"/>
  <c r="L59" i="22"/>
  <c r="M21" i="22"/>
  <c r="M23" i="22" s="1"/>
  <c r="M24" i="22" s="1"/>
  <c r="M17" i="22"/>
  <c r="T59" i="22"/>
  <c r="U21" i="22"/>
  <c r="U17" i="22"/>
  <c r="U19" i="22" s="1"/>
  <c r="U20"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21" i="22"/>
  <c r="J23" i="22" s="1"/>
  <c r="J24" i="22" s="1"/>
  <c r="K59" i="23"/>
  <c r="L17" i="23"/>
  <c r="L21" i="23"/>
  <c r="M57" i="21"/>
  <c r="R59" i="21"/>
  <c r="S21" i="21"/>
  <c r="S23" i="21" s="1"/>
  <c r="S24" i="21" s="1"/>
  <c r="S17" i="21"/>
  <c r="J59" i="21"/>
  <c r="K21" i="21"/>
  <c r="K23" i="21" s="1"/>
  <c r="K24" i="21" s="1"/>
  <c r="K17" i="21"/>
  <c r="J59" i="22"/>
  <c r="K17" i="22"/>
  <c r="K19" i="22" s="1"/>
  <c r="K20" i="22" s="1"/>
  <c r="K21" i="22"/>
  <c r="R59" i="22"/>
  <c r="S17" i="22"/>
  <c r="S21" i="22"/>
  <c r="S23" i="22" s="1"/>
  <c r="S24" i="22" s="1"/>
  <c r="D59" i="23"/>
  <c r="E17" i="23"/>
  <c r="E21" i="23"/>
  <c r="E23" i="23" s="1"/>
  <c r="E24" i="23" s="1"/>
  <c r="L59" i="23"/>
  <c r="M17" i="23"/>
  <c r="M19" i="23" s="1"/>
  <c r="M20" i="23" s="1"/>
  <c r="M21" i="23"/>
  <c r="T59" i="23"/>
  <c r="U17" i="23"/>
  <c r="U19" i="23" s="1"/>
  <c r="U20"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R59" i="28"/>
  <c r="S17" i="28"/>
  <c r="S21" i="28"/>
  <c r="S23" i="28" s="1"/>
  <c r="S24" i="28" s="1"/>
  <c r="I59" i="29"/>
  <c r="J17" i="29"/>
  <c r="J21" i="29"/>
  <c r="J23" i="29" s="1"/>
  <c r="J24" i="29" s="1"/>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V19" i="23" s="1"/>
  <c r="V20" i="23" s="1"/>
  <c r="I17" i="24"/>
  <c r="I19" i="24" s="1"/>
  <c r="I20" i="24" s="1"/>
  <c r="I21" i="24"/>
  <c r="Q17" i="24"/>
  <c r="Q19" i="24" s="1"/>
  <c r="Q20" i="24" s="1"/>
  <c r="Q21" i="24"/>
  <c r="Q23" i="24" s="1"/>
  <c r="Q24" i="24" s="1"/>
  <c r="D59" i="26"/>
  <c r="E21" i="26"/>
  <c r="E23" i="26" s="1"/>
  <c r="E24" i="26" s="1"/>
  <c r="E17" i="26"/>
  <c r="E19" i="26" s="1"/>
  <c r="E20" i="26" s="1"/>
  <c r="L59" i="26"/>
  <c r="M21" i="26"/>
  <c r="M23" i="26" s="1"/>
  <c r="M24" i="26" s="1"/>
  <c r="M17" i="26"/>
  <c r="T59" i="26"/>
  <c r="U21" i="26"/>
  <c r="U23" i="26" s="1"/>
  <c r="U24" i="26" s="1"/>
  <c r="U17" i="26"/>
  <c r="U19" i="26" s="1"/>
  <c r="U20" i="26" s="1"/>
  <c r="C59" i="27"/>
  <c r="D17" i="27"/>
  <c r="D19" i="27" s="1"/>
  <c r="D20" i="27" s="1"/>
  <c r="K59" i="27"/>
  <c r="L17" i="27"/>
  <c r="S59" i="27"/>
  <c r="T17" i="27"/>
  <c r="T19" i="27" s="1"/>
  <c r="T20" i="27" s="1"/>
  <c r="C59" i="28"/>
  <c r="D21" i="28"/>
  <c r="D23" i="28" s="1"/>
  <c r="D24" i="28" s="1"/>
  <c r="D17" i="28"/>
  <c r="K59" i="28"/>
  <c r="L21" i="28"/>
  <c r="L23" i="28" s="1"/>
  <c r="L24" i="28" s="1"/>
  <c r="L17" i="28"/>
  <c r="S59" i="28"/>
  <c r="T21" i="28"/>
  <c r="T17" i="28"/>
  <c r="T19" i="28" s="1"/>
  <c r="T20" i="28" s="1"/>
  <c r="J59" i="29"/>
  <c r="K17" i="29"/>
  <c r="K21" i="29"/>
  <c r="R59" i="29"/>
  <c r="S21" i="29"/>
  <c r="S17" i="29"/>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0" i="23" s="1"/>
  <c r="P21" i="23"/>
  <c r="J59" i="24"/>
  <c r="K21" i="24"/>
  <c r="K17" i="24"/>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19" i="28" s="1"/>
  <c r="F20" i="28" s="1"/>
  <c r="F21" i="28"/>
  <c r="M59" i="28"/>
  <c r="N17" i="28"/>
  <c r="N19" i="28" s="1"/>
  <c r="N20" i="28" s="1"/>
  <c r="N21" i="28"/>
  <c r="U59" i="28"/>
  <c r="V17" i="28"/>
  <c r="V21" i="28"/>
  <c r="V23" i="28" s="1"/>
  <c r="V24" i="28" s="1"/>
  <c r="D59" i="29"/>
  <c r="E17" i="29"/>
  <c r="E21" i="29"/>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0" i="22" s="1"/>
  <c r="G21" i="22"/>
  <c r="O17" i="22"/>
  <c r="O19" i="22" s="1"/>
  <c r="O20"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23" i="24" s="1"/>
  <c r="L24" i="24" s="1"/>
  <c r="L17" i="24"/>
  <c r="L19" i="24" s="1"/>
  <c r="L20" i="24" s="1"/>
  <c r="S59" i="24"/>
  <c r="T21" i="24"/>
  <c r="T17" i="24"/>
  <c r="T19" i="24" s="1"/>
  <c r="T20" i="24" s="1"/>
  <c r="H21" i="26"/>
  <c r="H23" i="26" s="1"/>
  <c r="H24" i="26" s="1"/>
  <c r="H17" i="26"/>
  <c r="H19" i="26" s="1"/>
  <c r="H20" i="26" s="1"/>
  <c r="P21" i="26"/>
  <c r="P17" i="26"/>
  <c r="F59" i="28"/>
  <c r="G17" i="28"/>
  <c r="G19" i="28" s="1"/>
  <c r="G20" i="28" s="1"/>
  <c r="G21" i="28"/>
  <c r="G23" i="28" s="1"/>
  <c r="G24" i="28" s="1"/>
  <c r="N59" i="28"/>
  <c r="O17" i="28"/>
  <c r="O19" i="28" s="1"/>
  <c r="O20" i="28" s="1"/>
  <c r="O21" i="28"/>
  <c r="E59" i="29"/>
  <c r="F17" i="29"/>
  <c r="F19" i="29" s="1"/>
  <c r="F20" i="29" s="1"/>
  <c r="F21" i="29"/>
  <c r="M59" i="29"/>
  <c r="N17" i="29"/>
  <c r="N21" i="29"/>
  <c r="N23" i="29" s="1"/>
  <c r="N24" i="29" s="1"/>
  <c r="U59" i="29"/>
  <c r="V17" i="29"/>
  <c r="V21" i="29"/>
  <c r="V23" i="29" s="1"/>
  <c r="V24" i="29" s="1"/>
  <c r="D59" i="30"/>
  <c r="E17" i="30"/>
  <c r="E21" i="30"/>
  <c r="E23" i="30" s="1"/>
  <c r="E24" i="30" s="1"/>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23" i="24" s="1"/>
  <c r="U24" i="24" s="1"/>
  <c r="U17" i="24"/>
  <c r="U19" i="24" s="1"/>
  <c r="U20" i="24" s="1"/>
  <c r="H59" i="26"/>
  <c r="I17" i="26"/>
  <c r="I21" i="26"/>
  <c r="I23" i="26" s="1"/>
  <c r="I24" i="26" s="1"/>
  <c r="P59" i="26"/>
  <c r="Q17" i="26"/>
  <c r="Q19" i="26" s="1"/>
  <c r="Q20" i="26" s="1"/>
  <c r="Q21" i="26"/>
  <c r="Q23" i="26" s="1"/>
  <c r="Q24" i="26" s="1"/>
  <c r="E63" i="26"/>
  <c r="H17" i="27"/>
  <c r="H19" i="27" s="1"/>
  <c r="H20" i="27" s="1"/>
  <c r="P17" i="27"/>
  <c r="P19" i="27" s="1"/>
  <c r="P20" i="27" s="1"/>
  <c r="H21" i="28"/>
  <c r="H23" i="28" s="1"/>
  <c r="H24" i="28" s="1"/>
  <c r="H17" i="28"/>
  <c r="P21" i="28"/>
  <c r="P17" i="28"/>
  <c r="P19" i="28" s="1"/>
  <c r="P20" i="28" s="1"/>
  <c r="G17" i="29"/>
  <c r="G21" i="29"/>
  <c r="G23" i="29" s="1"/>
  <c r="G24" i="29" s="1"/>
  <c r="O17" i="29"/>
  <c r="O21" i="29"/>
  <c r="O23" i="29" s="1"/>
  <c r="O24" i="29" s="1"/>
  <c r="E59" i="30"/>
  <c r="F21" i="30"/>
  <c r="F17" i="30"/>
  <c r="F19" i="30" s="1"/>
  <c r="F20" i="30" s="1"/>
  <c r="M59" i="30"/>
  <c r="N21" i="30"/>
  <c r="N23" i="30" s="1"/>
  <c r="N24" i="30" s="1"/>
  <c r="N17" i="30"/>
  <c r="N19" i="30" s="1"/>
  <c r="N20" i="30" s="1"/>
  <c r="U59" i="30"/>
  <c r="V21" i="30"/>
  <c r="V23" i="30" s="1"/>
  <c r="V24" i="30" s="1"/>
  <c r="V17" i="30"/>
  <c r="V19" i="30" s="1"/>
  <c r="V20"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O59" i="22"/>
  <c r="P21" i="22"/>
  <c r="P17" i="22"/>
  <c r="T59" i="21"/>
  <c r="T64" i="21" s="1"/>
  <c r="U17" i="21"/>
  <c r="U19" i="21" s="1"/>
  <c r="U20" i="21" s="1"/>
  <c r="U21" i="21"/>
  <c r="U23" i="21" s="1"/>
  <c r="U24" i="21" s="1"/>
  <c r="M17" i="21"/>
  <c r="M19" i="21" s="1"/>
  <c r="M20" i="21" s="1"/>
  <c r="M21" i="21"/>
  <c r="M23" i="21" s="1"/>
  <c r="M24" i="21" s="1"/>
  <c r="E17" i="21"/>
  <c r="E19" i="21" s="1"/>
  <c r="E20" i="21" s="1"/>
  <c r="E21" i="21"/>
  <c r="E23" i="21" s="1"/>
  <c r="E24" i="21" s="1"/>
  <c r="H59" i="22"/>
  <c r="I17" i="22"/>
  <c r="I19" i="22" s="1"/>
  <c r="I20" i="22" s="1"/>
  <c r="I21" i="22"/>
  <c r="I23" i="22" s="1"/>
  <c r="I24" i="22" s="1"/>
  <c r="P59" i="22"/>
  <c r="Q17" i="22"/>
  <c r="Q19" i="22" s="1"/>
  <c r="Q20" i="22" s="1"/>
  <c r="Q21" i="22"/>
  <c r="J59" i="23"/>
  <c r="K17" i="23"/>
  <c r="K21" i="23"/>
  <c r="K23" i="23" s="1"/>
  <c r="K24" i="23" s="1"/>
  <c r="R59" i="23"/>
  <c r="S17" i="23"/>
  <c r="S19" i="23" s="1"/>
  <c r="S20" i="23" s="1"/>
  <c r="S21" i="23"/>
  <c r="E59" i="24"/>
  <c r="F21" i="24"/>
  <c r="F23" i="24" s="1"/>
  <c r="F24" i="24" s="1"/>
  <c r="F17" i="24"/>
  <c r="M59" i="24"/>
  <c r="N21" i="24"/>
  <c r="N23" i="24" s="1"/>
  <c r="N24" i="24" s="1"/>
  <c r="N17" i="24"/>
  <c r="N19" i="24" s="1"/>
  <c r="N20" i="24" s="1"/>
  <c r="U59" i="24"/>
  <c r="V21" i="24"/>
  <c r="V17" i="24"/>
  <c r="V19" i="24" s="1"/>
  <c r="V20" i="24" s="1"/>
  <c r="I58" i="26"/>
  <c r="I61" i="26" s="1"/>
  <c r="J17" i="26"/>
  <c r="J19" i="26" s="1"/>
  <c r="J20" i="26" s="1"/>
  <c r="J21" i="26"/>
  <c r="Q58" i="26"/>
  <c r="Q61" i="26" s="1"/>
  <c r="R21" i="26"/>
  <c r="R23" i="26" s="1"/>
  <c r="R24" i="26" s="1"/>
  <c r="R17" i="26"/>
  <c r="R19" i="26" s="1"/>
  <c r="R20" i="26" s="1"/>
  <c r="F63" i="26"/>
  <c r="I17" i="27"/>
  <c r="I19" i="27" s="1"/>
  <c r="I20" i="27" s="1"/>
  <c r="Q17" i="27"/>
  <c r="Q19" i="27" s="1"/>
  <c r="Q20" i="27" s="1"/>
  <c r="I21" i="28"/>
  <c r="I23" i="28" s="1"/>
  <c r="I24" i="28" s="1"/>
  <c r="I17" i="28"/>
  <c r="Q21" i="28"/>
  <c r="Q23" i="28" s="1"/>
  <c r="Q24" i="28" s="1"/>
  <c r="Q17" i="28"/>
  <c r="Q19" i="28" s="1"/>
  <c r="Q20" i="28" s="1"/>
  <c r="H21" i="29"/>
  <c r="H23" i="29" s="1"/>
  <c r="H24" i="29" s="1"/>
  <c r="H17" i="29"/>
  <c r="H19" i="29" s="1"/>
  <c r="H20" i="29" s="1"/>
  <c r="P21" i="29"/>
  <c r="P23" i="29" s="1"/>
  <c r="P24" i="29" s="1"/>
  <c r="P17" i="29"/>
  <c r="G21" i="30"/>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0" i="22" s="1"/>
  <c r="R21" i="22"/>
  <c r="R23" i="22" s="1"/>
  <c r="R24" i="22" s="1"/>
  <c r="C59" i="23"/>
  <c r="D17" i="23"/>
  <c r="D19" i="23" s="1"/>
  <c r="D20" i="23" s="1"/>
  <c r="D21" i="23"/>
  <c r="S59" i="23"/>
  <c r="T17" i="23"/>
  <c r="T19" i="23" s="1"/>
  <c r="T20" i="23" s="1"/>
  <c r="T21" i="23"/>
  <c r="G17" i="24"/>
  <c r="G19" i="24" s="1"/>
  <c r="G20" i="24" s="1"/>
  <c r="G21" i="24"/>
  <c r="G23" i="24" s="1"/>
  <c r="G24" i="24" s="1"/>
  <c r="O17" i="24"/>
  <c r="O21" i="24"/>
  <c r="O23" i="24" s="1"/>
  <c r="O24" i="24" s="1"/>
  <c r="J59" i="26"/>
  <c r="K17" i="26"/>
  <c r="K19" i="26" s="1"/>
  <c r="K20" i="26" s="1"/>
  <c r="K21" i="26"/>
  <c r="R59" i="26"/>
  <c r="S17" i="26"/>
  <c r="S19" i="26" s="1"/>
  <c r="S20"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G24" i="22" s="1"/>
  <c r="K58" i="21"/>
  <c r="K61" i="21" s="1"/>
  <c r="K64" i="21" s="1"/>
  <c r="R19" i="24"/>
  <c r="R20" i="24" s="1"/>
  <c r="I21" i="27"/>
  <c r="I23" i="27" s="1"/>
  <c r="I24" i="27" s="1"/>
  <c r="Q21" i="27"/>
  <c r="Q23" i="27" s="1"/>
  <c r="Q24" i="27" s="1"/>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R20" i="23" s="1"/>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T23" i="30"/>
  <c r="T24" i="30" s="1"/>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I64"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P58" i="26"/>
  <c r="P61" i="26" s="1"/>
  <c r="F59" i="26"/>
  <c r="O58" i="27"/>
  <c r="O61" i="27" s="1"/>
  <c r="A38" i="21"/>
  <c r="F57" i="22"/>
  <c r="N59" i="22"/>
  <c r="E58" i="23"/>
  <c r="E61" i="23" s="1"/>
  <c r="E64" i="23" s="1"/>
  <c r="M58" i="23"/>
  <c r="M61" i="23" s="1"/>
  <c r="U58" i="23"/>
  <c r="U61" i="23" s="1"/>
  <c r="U64" i="23"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P23" i="22"/>
  <c r="P24" i="22" s="1"/>
  <c r="C58" i="22"/>
  <c r="C61" i="22" s="1"/>
  <c r="C64" i="22" s="1"/>
  <c r="K58" i="22"/>
  <c r="K61" i="22" s="1"/>
  <c r="K64" i="22" s="1"/>
  <c r="K65" i="22" s="1"/>
  <c r="S58" i="22"/>
  <c r="S61" i="22" s="1"/>
  <c r="S64" i="22" s="1"/>
  <c r="F57" i="23"/>
  <c r="D23" i="24"/>
  <c r="D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G57" i="21"/>
  <c r="J19" i="22"/>
  <c r="J20" i="22" s="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U64" i="26" s="1"/>
  <c r="N57" i="26"/>
  <c r="P59" i="27"/>
  <c r="I58" i="28"/>
  <c r="I61" i="28" s="1"/>
  <c r="I64" i="28" s="1"/>
  <c r="Q58" i="28"/>
  <c r="Q61" i="28" s="1"/>
  <c r="Q64" i="28" s="1"/>
  <c r="P23" i="28"/>
  <c r="P24" i="28" s="1"/>
  <c r="H58" i="29"/>
  <c r="H61" i="29" s="1"/>
  <c r="P58" i="29"/>
  <c r="P61" i="29" s="1"/>
  <c r="E58" i="30"/>
  <c r="E61" i="30" s="1"/>
  <c r="M58" i="30"/>
  <c r="M61" i="30" s="1"/>
  <c r="U58" i="30"/>
  <c r="U61" i="30" s="1"/>
  <c r="U64"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F63" i="30"/>
  <c r="N63" i="30"/>
  <c r="S19" i="30"/>
  <c r="S20" i="30" s="1"/>
  <c r="S23" i="30"/>
  <c r="S24" i="30" s="1"/>
  <c r="A31" i="30"/>
  <c r="A33" i="30"/>
  <c r="A39" i="30"/>
  <c r="A41" i="30"/>
  <c r="A47" i="30"/>
  <c r="A49" i="30"/>
  <c r="G57" i="30"/>
  <c r="O57" i="30"/>
  <c r="G59" i="30"/>
  <c r="O59" i="30"/>
  <c r="G63" i="30"/>
  <c r="O63" i="30"/>
  <c r="P63" i="30"/>
  <c r="I63" i="30"/>
  <c r="Q63" i="30"/>
  <c r="T19" i="30"/>
  <c r="T20" i="30" s="1"/>
  <c r="E19" i="30"/>
  <c r="E20" i="30" s="1"/>
  <c r="F23" i="30"/>
  <c r="F24" i="30" s="1"/>
  <c r="B63" i="30"/>
  <c r="J63" i="30"/>
  <c r="R63" i="30"/>
  <c r="A32" i="30"/>
  <c r="A34" i="30"/>
  <c r="A40" i="30"/>
  <c r="A42" i="30"/>
  <c r="A48" i="30"/>
  <c r="A50" i="30"/>
  <c r="C63" i="30"/>
  <c r="K63" i="30"/>
  <c r="S63" i="30"/>
  <c r="P19" i="30"/>
  <c r="P20" i="30" s="1"/>
  <c r="D63" i="30"/>
  <c r="L63" i="30"/>
  <c r="T63" i="30"/>
  <c r="H63" i="30"/>
  <c r="Q19" i="30"/>
  <c r="Q20" i="30" s="1"/>
  <c r="E63" i="30"/>
  <c r="M63" i="30"/>
  <c r="Q23" i="29"/>
  <c r="Q24" i="29" s="1"/>
  <c r="T19" i="29"/>
  <c r="T20" i="29" s="1"/>
  <c r="P63" i="29"/>
  <c r="J19" i="29"/>
  <c r="J20" i="29" s="1"/>
  <c r="R19" i="29"/>
  <c r="R20" i="29" s="1"/>
  <c r="F57" i="29"/>
  <c r="N57" i="29"/>
  <c r="F59" i="29"/>
  <c r="N59" i="29"/>
  <c r="F63" i="29"/>
  <c r="N63" i="29"/>
  <c r="H63" i="29"/>
  <c r="K19" i="29"/>
  <c r="K20" i="29" s="1"/>
  <c r="S19" i="29"/>
  <c r="S20" i="29" s="1"/>
  <c r="K23" i="29"/>
  <c r="K24" i="29" s="1"/>
  <c r="S23" i="29"/>
  <c r="S24" i="29" s="1"/>
  <c r="A31" i="29"/>
  <c r="A33" i="29"/>
  <c r="A39" i="29"/>
  <c r="A41" i="29"/>
  <c r="A47" i="29"/>
  <c r="A49" i="29"/>
  <c r="G57" i="29"/>
  <c r="O57" i="29"/>
  <c r="G59" i="29"/>
  <c r="O59" i="29"/>
  <c r="G63" i="29"/>
  <c r="O63" i="29"/>
  <c r="E19" i="29"/>
  <c r="E20" i="29" s="1"/>
  <c r="U19" i="29"/>
  <c r="U20" i="29" s="1"/>
  <c r="E23" i="29"/>
  <c r="E24" i="29" s="1"/>
  <c r="M23" i="29"/>
  <c r="M24" i="29" s="1"/>
  <c r="U23" i="29"/>
  <c r="U24" i="29" s="1"/>
  <c r="I57" i="29"/>
  <c r="Q57" i="29"/>
  <c r="I63" i="29"/>
  <c r="Q63" i="29"/>
  <c r="N19" i="29"/>
  <c r="N20" i="29" s="1"/>
  <c r="V19" i="29"/>
  <c r="V20" i="29" s="1"/>
  <c r="F23" i="29"/>
  <c r="F24" i="29" s="1"/>
  <c r="B63" i="29"/>
  <c r="J63" i="29"/>
  <c r="R63" i="29"/>
  <c r="L19" i="29"/>
  <c r="L20" i="29" s="1"/>
  <c r="G19" i="29"/>
  <c r="G20" i="29" s="1"/>
  <c r="O19" i="29"/>
  <c r="O20" i="29" s="1"/>
  <c r="A32" i="29"/>
  <c r="A34" i="29"/>
  <c r="A40" i="29"/>
  <c r="A42" i="29"/>
  <c r="A48" i="29"/>
  <c r="A50" i="29"/>
  <c r="C63" i="29"/>
  <c r="K63" i="29"/>
  <c r="S63" i="29"/>
  <c r="P19" i="29"/>
  <c r="P20" i="29" s="1"/>
  <c r="D63" i="29"/>
  <c r="L63" i="29"/>
  <c r="T63" i="29"/>
  <c r="E63" i="29"/>
  <c r="M63" i="29"/>
  <c r="K19" i="28"/>
  <c r="K20" i="28" s="1"/>
  <c r="S19" i="28"/>
  <c r="S20" i="28" s="1"/>
  <c r="K23" i="28"/>
  <c r="K24" i="28" s="1"/>
  <c r="A31" i="28"/>
  <c r="A33" i="28"/>
  <c r="A37" i="28"/>
  <c r="A39" i="28"/>
  <c r="A41" i="28"/>
  <c r="A45" i="28"/>
  <c r="A47" i="28"/>
  <c r="A49" i="28"/>
  <c r="G57" i="28"/>
  <c r="O57" i="28"/>
  <c r="G59" i="28"/>
  <c r="O59" i="28"/>
  <c r="G63" i="28"/>
  <c r="O63" i="28"/>
  <c r="D19" i="28"/>
  <c r="D20" i="28" s="1"/>
  <c r="L19" i="28"/>
  <c r="L20" i="28" s="1"/>
  <c r="T23" i="28"/>
  <c r="T24" i="28" s="1"/>
  <c r="H59" i="28"/>
  <c r="P59" i="28"/>
  <c r="H63" i="28"/>
  <c r="P63" i="28"/>
  <c r="E19" i="28"/>
  <c r="E20" i="28" s="1"/>
  <c r="M19" i="28"/>
  <c r="M20" i="28" s="1"/>
  <c r="U19" i="28"/>
  <c r="U20" i="28" s="1"/>
  <c r="M23" i="28"/>
  <c r="M24" i="28" s="1"/>
  <c r="I57" i="28"/>
  <c r="Q57" i="28"/>
  <c r="I63" i="28"/>
  <c r="Q63" i="28"/>
  <c r="R19" i="28"/>
  <c r="R20" i="28" s="1"/>
  <c r="V19" i="28"/>
  <c r="V20" i="28" s="1"/>
  <c r="F23" i="28"/>
  <c r="F24" i="28" s="1"/>
  <c r="N23" i="28"/>
  <c r="N24" i="28" s="1"/>
  <c r="B63" i="28"/>
  <c r="J63" i="28"/>
  <c r="R63" i="28"/>
  <c r="A32" i="28"/>
  <c r="A34" i="28"/>
  <c r="A40" i="28"/>
  <c r="A42" i="28"/>
  <c r="A48" i="28"/>
  <c r="A50" i="28"/>
  <c r="C63" i="28"/>
  <c r="K63" i="28"/>
  <c r="S63" i="28"/>
  <c r="H19" i="28"/>
  <c r="H20" i="28" s="1"/>
  <c r="D63" i="28"/>
  <c r="L63" i="28"/>
  <c r="T63" i="28"/>
  <c r="I19" i="28"/>
  <c r="I20" i="28" s="1"/>
  <c r="E63" i="28"/>
  <c r="M63" i="28"/>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E63" i="27"/>
  <c r="M63" i="27"/>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I57" i="26"/>
  <c r="Q57" i="26"/>
  <c r="I59" i="26"/>
  <c r="I64" i="26" s="1"/>
  <c r="Q59" i="26"/>
  <c r="Q64" i="26" s="1"/>
  <c r="I63" i="26"/>
  <c r="Q63" i="26"/>
  <c r="N19" i="26"/>
  <c r="N20" i="26" s="1"/>
  <c r="N23" i="26"/>
  <c r="N24" i="26" s="1"/>
  <c r="V23" i="26"/>
  <c r="V24" i="26" s="1"/>
  <c r="B63" i="26"/>
  <c r="J63" i="26"/>
  <c r="R63" i="26"/>
  <c r="O19" i="26"/>
  <c r="O20" i="26" s="1"/>
  <c r="A32" i="26"/>
  <c r="A34" i="26"/>
  <c r="A40" i="26"/>
  <c r="A42" i="26"/>
  <c r="A48" i="26"/>
  <c r="A50" i="26"/>
  <c r="C63" i="26"/>
  <c r="K63" i="26"/>
  <c r="S63" i="26"/>
  <c r="P19" i="26"/>
  <c r="P20" i="26" s="1"/>
  <c r="D63" i="26"/>
  <c r="L63" i="26"/>
  <c r="I19" i="26"/>
  <c r="I20" i="26" s="1"/>
  <c r="P23" i="24"/>
  <c r="P24" i="24" s="1"/>
  <c r="K19" i="24"/>
  <c r="K20"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I57" i="24"/>
  <c r="Q57" i="24"/>
  <c r="I63" i="24"/>
  <c r="Q63" i="24"/>
  <c r="F19" i="24"/>
  <c r="F20"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D23" i="23"/>
  <c r="D24" i="23" s="1"/>
  <c r="L23" i="23"/>
  <c r="L24" i="23" s="1"/>
  <c r="T23" i="23"/>
  <c r="T24" i="23" s="1"/>
  <c r="E19" i="23"/>
  <c r="E20" i="23" s="1"/>
  <c r="M23" i="23"/>
  <c r="M24" i="23" s="1"/>
  <c r="I57" i="23"/>
  <c r="Q57" i="23"/>
  <c r="F23" i="23"/>
  <c r="F24" i="23" s="1"/>
  <c r="G19" i="23"/>
  <c r="G20" i="23" s="1"/>
  <c r="O19" i="23"/>
  <c r="O20" i="23" s="1"/>
  <c r="A32" i="23"/>
  <c r="A34" i="23"/>
  <c r="A40" i="23"/>
  <c r="A42" i="23"/>
  <c r="A48" i="23"/>
  <c r="A50" i="23"/>
  <c r="Q19" i="23"/>
  <c r="Q20" i="23" s="1"/>
  <c r="U63" i="22"/>
  <c r="M63" i="22"/>
  <c r="E63" i="22"/>
  <c r="F63" i="22"/>
  <c r="T63" i="22"/>
  <c r="L63" i="22"/>
  <c r="D63" i="22"/>
  <c r="S63" i="22"/>
  <c r="K63" i="22"/>
  <c r="C63" i="22"/>
  <c r="N63" i="22"/>
  <c r="R63" i="22"/>
  <c r="J63" i="22"/>
  <c r="B63" i="22"/>
  <c r="Q63" i="22"/>
  <c r="I63" i="22"/>
  <c r="P63" i="22"/>
  <c r="H63" i="22"/>
  <c r="O63" i="22"/>
  <c r="G63" i="22"/>
  <c r="S19" i="22"/>
  <c r="S20" i="22" s="1"/>
  <c r="D19" i="22"/>
  <c r="D20" i="22" s="1"/>
  <c r="T19" i="22"/>
  <c r="T20" i="22" s="1"/>
  <c r="L23" i="22"/>
  <c r="L24" i="22" s="1"/>
  <c r="T23" i="22"/>
  <c r="T24" i="22" s="1"/>
  <c r="K23" i="22"/>
  <c r="K24" i="22" s="1"/>
  <c r="A31" i="22"/>
  <c r="A33" i="22"/>
  <c r="A41" i="22"/>
  <c r="A47" i="22"/>
  <c r="E19" i="22"/>
  <c r="E20" i="22" s="1"/>
  <c r="M19" i="22"/>
  <c r="M20" i="22" s="1"/>
  <c r="U23" i="22"/>
  <c r="U24" i="22" s="1"/>
  <c r="I57" i="22"/>
  <c r="Q57" i="22"/>
  <c r="A39" i="22"/>
  <c r="A49" i="22"/>
  <c r="N19" i="22"/>
  <c r="N20" i="22" s="1"/>
  <c r="V19" i="22"/>
  <c r="V20" i="22" s="1"/>
  <c r="V23" i="22"/>
  <c r="V24" i="22" s="1"/>
  <c r="A32" i="22"/>
  <c r="A34" i="22"/>
  <c r="A40" i="22"/>
  <c r="A42" i="22"/>
  <c r="A48" i="22"/>
  <c r="A50" i="22"/>
  <c r="P19" i="22"/>
  <c r="P20" i="22" s="1"/>
  <c r="P64" i="21"/>
  <c r="L23" i="21"/>
  <c r="L24" i="21" s="1"/>
  <c r="N23" i="21"/>
  <c r="N24" i="21" s="1"/>
  <c r="A33" i="21"/>
  <c r="A37" i="21"/>
  <c r="A41" i="21"/>
  <c r="A45" i="21"/>
  <c r="A49" i="21"/>
  <c r="E58" i="21"/>
  <c r="E61" i="21" s="1"/>
  <c r="M58" i="21"/>
  <c r="M61" i="21" s="1"/>
  <c r="U58" i="21"/>
  <c r="U61" i="21" s="1"/>
  <c r="U64" i="21" s="1"/>
  <c r="S19" i="21"/>
  <c r="S20" i="21" s="1"/>
  <c r="G23" i="21"/>
  <c r="G24" i="21" s="1"/>
  <c r="C57" i="21"/>
  <c r="K57" i="21"/>
  <c r="S57" i="21"/>
  <c r="G19" i="21"/>
  <c r="G20" i="21" s="1"/>
  <c r="Q19" i="21"/>
  <c r="Q20" i="21" s="1"/>
  <c r="J23" i="21"/>
  <c r="J24" i="21" s="1"/>
  <c r="R23" i="21"/>
  <c r="R24" i="21" s="1"/>
  <c r="I19" i="21"/>
  <c r="I20" i="21" s="1"/>
  <c r="R19" i="21"/>
  <c r="R20" i="21" s="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S65" i="29"/>
  <c r="Q65" i="29"/>
  <c r="I65" i="29"/>
  <c r="T65" i="29"/>
  <c r="D65" i="24"/>
  <c r="S65" i="26"/>
  <c r="Q65" i="26"/>
  <c r="I65" i="26"/>
  <c r="C65" i="26"/>
  <c r="H65" i="26"/>
  <c r="Q65" i="27"/>
  <c r="P65" i="22"/>
  <c r="R65" i="21"/>
  <c r="C23" i="21"/>
  <c r="C24" i="21" s="1"/>
  <c r="L65" i="21"/>
  <c r="S65" i="22"/>
  <c r="O65" i="22"/>
  <c r="H65" i="22"/>
  <c r="M65" i="22"/>
  <c r="T65" i="22"/>
  <c r="C65" i="22"/>
  <c r="E65" i="22"/>
  <c r="I65" i="22"/>
  <c r="N65" i="22"/>
  <c r="R65" i="22"/>
  <c r="U65" i="23"/>
  <c r="E65" i="23"/>
  <c r="J65" i="23"/>
  <c r="I65" i="23"/>
  <c r="P65" i="23"/>
  <c r="H65" i="23"/>
  <c r="T65" i="23"/>
  <c r="C65" i="23"/>
  <c r="T65" i="24"/>
  <c r="Q65" i="24"/>
  <c r="J65" i="24"/>
  <c r="B65" i="24"/>
  <c r="J65" i="30"/>
  <c r="T65" i="30"/>
  <c r="Q65" i="30"/>
  <c r="K65" i="30"/>
  <c r="I65" i="30"/>
  <c r="C65" i="30"/>
  <c r="L65" i="30"/>
  <c r="R65" i="30"/>
  <c r="B65" i="30"/>
  <c r="I65" i="28"/>
  <c r="S65" i="27"/>
  <c r="D65" i="27"/>
  <c r="K65" i="27"/>
  <c r="I65" i="27"/>
  <c r="T65" i="27"/>
  <c r="C65" i="27"/>
  <c r="R65" i="27"/>
  <c r="J65" i="27"/>
  <c r="P65" i="21"/>
  <c r="K65" i="21"/>
  <c r="O65" i="21"/>
  <c r="C65" i="21"/>
  <c r="T65" i="21"/>
  <c r="D65" i="21"/>
  <c r="Q65" i="21"/>
  <c r="C23" i="22"/>
  <c r="C24" i="22" s="1"/>
  <c r="C19" i="29"/>
  <c r="C20" i="29" s="1"/>
  <c r="K65" i="28"/>
  <c r="J65" i="28"/>
  <c r="T65" i="28"/>
  <c r="Q65" i="28"/>
  <c r="R65" i="28"/>
  <c r="H64" i="30"/>
  <c r="H65" i="30" s="1"/>
  <c r="L64" i="26"/>
  <c r="L65" i="26" s="1"/>
  <c r="L64" i="23"/>
  <c r="L65" i="23" s="1"/>
  <c r="L64" i="24"/>
  <c r="L65" i="24" s="1"/>
  <c r="L64" i="28"/>
  <c r="L65" i="28" s="1"/>
  <c r="G64" i="30"/>
  <c r="G65" i="30" s="1"/>
  <c r="F64" i="26"/>
  <c r="F65" i="26" s="1"/>
  <c r="C64" i="29"/>
  <c r="C65" i="29" s="1"/>
  <c r="E64" i="30"/>
  <c r="E65" i="30" s="1"/>
  <c r="D64" i="28"/>
  <c r="D65" i="28" s="1"/>
  <c r="U66" i="21"/>
  <c r="U65" i="21"/>
  <c r="U66" i="30"/>
  <c r="U65" i="30"/>
  <c r="U66" i="26"/>
  <c r="U65" i="26"/>
  <c r="N66" i="21"/>
  <c r="N65" i="21"/>
  <c r="M66" i="26"/>
  <c r="M65" i="26"/>
  <c r="F66"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C66" i="23"/>
  <c r="P66" i="23"/>
  <c r="E66" i="22"/>
  <c r="T66" i="23"/>
  <c r="Q66" i="21"/>
  <c r="P66" i="21"/>
  <c r="K66" i="27"/>
  <c r="G64" i="23"/>
  <c r="Q66" i="24"/>
  <c r="R66" i="27"/>
  <c r="C66" i="27"/>
  <c r="H66" i="23"/>
  <c r="J66" i="27"/>
  <c r="G64" i="27"/>
  <c r="G66" i="30"/>
  <c r="J66" i="30"/>
  <c r="F64" i="27"/>
  <c r="T66" i="27"/>
  <c r="C66" i="22"/>
  <c r="T66" i="21"/>
  <c r="L66" i="21"/>
  <c r="D66" i="22"/>
  <c r="S66" i="26"/>
  <c r="L66" i="26"/>
  <c r="T66" i="30"/>
  <c r="C66" i="29"/>
  <c r="H66" i="22"/>
  <c r="R66" i="28"/>
  <c r="N64" i="26"/>
  <c r="O64" i="29"/>
  <c r="P64" i="29"/>
  <c r="S64" i="1"/>
  <c r="D66" i="27"/>
  <c r="N64" i="29"/>
  <c r="R66" i="30"/>
  <c r="D66" i="23"/>
  <c r="O66" i="22"/>
  <c r="R64" i="1"/>
  <c r="J66" i="23"/>
  <c r="Q64" i="1"/>
  <c r="U64" i="1"/>
  <c r="P64" i="1"/>
  <c r="E66" i="27"/>
  <c r="J66" i="24"/>
  <c r="Q66" i="29"/>
  <c r="F64" i="29"/>
  <c r="O64" i="23"/>
  <c r="O64" i="30"/>
  <c r="N64" i="24"/>
  <c r="B66" i="30"/>
  <c r="B66" i="24"/>
  <c r="K66" i="30"/>
  <c r="C66" i="30"/>
  <c r="I66" i="30"/>
  <c r="R66" i="29"/>
  <c r="M66" i="29"/>
  <c r="I66" i="29"/>
  <c r="S66" i="29"/>
  <c r="T66" i="28"/>
  <c r="D66" i="28"/>
  <c r="Q66" i="28"/>
  <c r="I66" i="28"/>
  <c r="S66" i="28"/>
  <c r="K66" i="28"/>
  <c r="Q66" i="27"/>
  <c r="I66" i="27"/>
  <c r="P66" i="27"/>
  <c r="Q66" i="26"/>
  <c r="C66" i="26"/>
  <c r="I66" i="26"/>
  <c r="H66" i="26"/>
  <c r="L66" i="24"/>
  <c r="P66" i="24"/>
  <c r="D66" i="24"/>
  <c r="M66" i="24"/>
  <c r="I66" i="23"/>
  <c r="N66" i="23"/>
  <c r="E66" i="23"/>
  <c r="I66" i="22"/>
  <c r="M66" i="22"/>
  <c r="S66" i="22"/>
  <c r="K66" i="22"/>
  <c r="T66" i="22"/>
  <c r="H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P65" i="1" l="1"/>
  <c r="I65" i="1"/>
  <c r="N65" i="1"/>
  <c r="C65" i="1"/>
  <c r="Q65" i="1"/>
  <c r="S65" i="1"/>
  <c r="H65" i="1"/>
  <c r="U65" i="1"/>
  <c r="M65" i="1"/>
  <c r="O65" i="1"/>
  <c r="D65" i="1"/>
  <c r="K65" i="1"/>
  <c r="R65" i="1"/>
  <c r="E65" i="1"/>
  <c r="J65" i="1"/>
  <c r="F65" i="1"/>
  <c r="L65" i="1"/>
  <c r="G65" i="1"/>
  <c r="T65" i="1"/>
  <c r="B65" i="1"/>
  <c r="E66" i="30"/>
  <c r="H66" i="30"/>
  <c r="I66" i="24"/>
  <c r="D66" i="26"/>
  <c r="L66" i="23"/>
  <c r="L66" i="28"/>
  <c r="Q66" i="22"/>
  <c r="P66" i="26"/>
  <c r="U66" i="29"/>
  <c r="U65" i="29"/>
  <c r="U66" i="24"/>
  <c r="U65" i="24"/>
  <c r="U66" i="22"/>
  <c r="U65" i="22"/>
  <c r="U66" i="27"/>
  <c r="U65" i="27"/>
  <c r="U66" i="28"/>
  <c r="U65" i="28"/>
  <c r="T66" i="26"/>
  <c r="T65" i="26"/>
  <c r="S66" i="24"/>
  <c r="S66" i="30"/>
  <c r="S65" i="30"/>
  <c r="S66" i="23"/>
  <c r="S66" i="21"/>
  <c r="S65" i="21"/>
  <c r="R66" i="26"/>
  <c r="R66" i="23"/>
  <c r="R65" i="23"/>
  <c r="R66" i="24"/>
  <c r="R65" i="24"/>
  <c r="Q66" i="23"/>
  <c r="Q65" i="23"/>
  <c r="P66" i="30"/>
  <c r="P65" i="30"/>
  <c r="P66" i="28"/>
  <c r="P65" i="28"/>
  <c r="P66" i="29"/>
  <c r="P65" i="29"/>
  <c r="O66" i="29"/>
  <c r="O65" i="29"/>
  <c r="O66" i="30"/>
  <c r="O65" i="30"/>
  <c r="O66" i="24"/>
  <c r="O65" i="24"/>
  <c r="O66" i="28"/>
  <c r="O65" i="28"/>
  <c r="O66" i="26"/>
  <c r="O65" i="26"/>
  <c r="O66" i="27"/>
  <c r="O65" i="27"/>
  <c r="O66" i="23"/>
  <c r="O65" i="23"/>
  <c r="N66" i="30"/>
  <c r="N65" i="30"/>
  <c r="N66" i="28"/>
  <c r="N65" i="28"/>
  <c r="N66" i="26"/>
  <c r="N65" i="26"/>
  <c r="N66" i="27"/>
  <c r="N65" i="27"/>
  <c r="N66" i="24"/>
  <c r="N65" i="24"/>
  <c r="N66" i="29"/>
  <c r="N65" i="29"/>
  <c r="M66" i="27"/>
  <c r="M65" i="27"/>
  <c r="M66" i="21"/>
  <c r="M66" i="23"/>
  <c r="M65" i="23"/>
  <c r="M66" i="28"/>
  <c r="M66" i="30"/>
  <c r="M65" i="30"/>
  <c r="L66" i="27"/>
  <c r="L65" i="27"/>
  <c r="L66" i="29"/>
  <c r="K66" i="29"/>
  <c r="K65" i="29"/>
  <c r="K66" i="24"/>
  <c r="K66" i="26"/>
  <c r="K65" i="26"/>
  <c r="K66" i="23"/>
  <c r="K65" i="23"/>
  <c r="J66" i="29"/>
  <c r="J65" i="29"/>
  <c r="J66" i="22"/>
  <c r="J65" i="22"/>
  <c r="J66" i="21"/>
  <c r="J65" i="21"/>
  <c r="J66" i="26"/>
  <c r="I66" i="21"/>
  <c r="I65" i="21"/>
  <c r="H66" i="24"/>
  <c r="H65" i="24"/>
  <c r="H66" i="28"/>
  <c r="H65" i="28"/>
  <c r="H66" i="29"/>
  <c r="H65" i="29"/>
  <c r="H66" i="27"/>
  <c r="H65" i="27"/>
  <c r="G66" i="28"/>
  <c r="G65" i="28"/>
  <c r="G66" i="29"/>
  <c r="G65" i="29"/>
  <c r="G66" i="21"/>
  <c r="G65" i="21"/>
  <c r="G66" i="23"/>
  <c r="G65" i="23"/>
  <c r="G66" i="26"/>
  <c r="G65" i="26"/>
  <c r="G66" i="22"/>
  <c r="G65" i="22"/>
  <c r="G66" i="27"/>
  <c r="G65" i="27"/>
  <c r="G66" i="24"/>
  <c r="G65" i="24"/>
  <c r="F66" i="22"/>
  <c r="F65" i="22"/>
  <c r="F66" i="23"/>
  <c r="F65" i="23"/>
  <c r="F66" i="27"/>
  <c r="F65" i="27"/>
  <c r="F66" i="29"/>
  <c r="F65" i="29"/>
  <c r="F66" i="28"/>
  <c r="F65" i="28"/>
  <c r="F66" i="24"/>
  <c r="F65" i="24"/>
  <c r="F66" i="21"/>
  <c r="F65" i="21"/>
  <c r="F66" i="30"/>
  <c r="F65" i="30"/>
  <c r="E66" i="24"/>
  <c r="E65" i="24"/>
  <c r="E66" i="29"/>
  <c r="E65" i="29"/>
  <c r="E66" i="26"/>
  <c r="E65" i="26"/>
  <c r="E66" i="28"/>
  <c r="E65" i="28"/>
  <c r="E66" i="21"/>
  <c r="E65" i="21"/>
  <c r="D66" i="29"/>
  <c r="C66" i="28"/>
  <c r="C65" i="28"/>
  <c r="C66" i="24"/>
  <c r="C65" i="24"/>
  <c r="B66" i="26"/>
  <c r="B65" i="26"/>
  <c r="B66" i="28"/>
  <c r="B65" i="28"/>
  <c r="B66" i="29"/>
  <c r="B65" i="29"/>
  <c r="B66" i="21"/>
  <c r="B65" i="21"/>
  <c r="B66" i="27"/>
  <c r="B65" i="27"/>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<sst xmlns="http://schemas.openxmlformats.org/spreadsheetml/2006/main" count="2307" uniqueCount="181">
  <si>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</si>
  <si>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</si>
  <si>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</si>
  <si>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</si>
  <si>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</si>
  <si>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</si>
  <si>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</si>
  <si>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</si>
  <si>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</si>
  <si>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</si>
  <si>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</si>
  <si>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</si>
  <si>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</si>
  <si>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</si>
  <si>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</si>
  <si>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</si>
  <si>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</si>
  <si>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</si>
  <si>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</si>
  <si>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</si>
  <si>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</si>
  <si>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</si>
  <si>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</si>
  <si>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</si>
  <si>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</si>
  <si>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</si>
  <si>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</si>
  <si>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</si>
  <si>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</si>
  <si>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</si>
  <si>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</si>
  <si>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</si>
  <si>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</si>
  <si>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</si>
  <si>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</si>
  <si>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</si>
  <si>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</si>
  <si>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</si>
  <si>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</si>
  <si>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</si>
  <si>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</si>
  <si>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</si>
  <si>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</si>
  <si>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</si>
  <si>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</si>
  <si>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</si>
  <si>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</si>
  <si>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</si>
  <si>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</si>
  <si>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</si>
  <si>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</si>
  <si>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</si>
  <si>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</si>
  <si>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</si>
  <si>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</si>
  <si>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</si>
  <si>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</si>
  <si>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</si>
  <si>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</si>
  <si>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</si>
  <si>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</si>
  <si>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</si>
  <si>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</si>
  <si>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</si>
  <si>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</si>
  <si>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</si>
  <si>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</si>
  <si>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</si>
  <si>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</si>
  <si>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</si>
  <si>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</si>
  <si>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</si>
  <si>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</si>
  <si>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</si>
  <si>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</si>
  <si>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</si>
  <si>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</si>
  <si>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</si>
  <si>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</si>
  <si>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</si>
  <si>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</si>
  <si>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</si>
  <si>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</si>
  <si>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</si>
  <si>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</si>
  <si>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</si>
  <si>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</si>
  <si>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</si>
  <si>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</si>
  <si>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</si>
  <si>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</si>
  <si>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</si>
  <si>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</si>
  <si>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</si>
  <si>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</si>
  <si>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</si>
  <si>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</si>
  <si>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</si>
  <si>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</si>
  <si>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</si>
  <si>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</si>
  <si>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</si>
  <si>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</si>
  <si>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</si>
  <si>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</si>
  <si>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</si>
  <si>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</si>
  <si>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</si>
  <si>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</si>
  <si>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</si>
  <si>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</si>
  <si>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</si>
  <si>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</si>
  <si>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</si>
  <si>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</si>
  <si>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</si>
  <si>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</si>
  <si>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</si>
  <si>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</si>
  <si>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</si>
  <si>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</si>
  <si>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</si>
  <si>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</si>
  <si>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</si>
  <si>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</si>
  <si>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</si>
  <si>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</si>
  <si>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</si>
  <si>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</si>
  <si>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</si>
  <si>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</si>
  <si>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</si>
  <si>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</si>
  <si>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</si>
  <si>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</si>
  <si>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</si>
  <si>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</si>
  <si>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</si>
  <si>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</si>
  <si>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</si>
  <si>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</si>
  <si>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</si>
  <si>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</si>
  <si>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</si>
  <si>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</si>
  <si>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</si>
  <si>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</si>
  <si>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</si>
  <si>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</si>
  <si>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</si>
  <si>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</si>
  <si>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</si>
  <si>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</si>
  <si>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</si>
  <si>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</si>
  <si>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</si>
  <si>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</si>
  <si>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</si>
  <si>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</si>
  <si>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</si>
  <si>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PAN-017507</t>
  </si>
  <si>
    <t xml:space="preserve">Trade effluent services </t>
  </si>
  <si>
    <t>Ethan Banfield</t>
  </si>
  <si>
    <t>Moderate</t>
  </si>
  <si>
    <t>Beechdean</t>
  </si>
  <si>
    <t>Croda Goole</t>
  </si>
  <si>
    <t>Croda Widnes</t>
  </si>
  <si>
    <t>Dwise</t>
  </si>
  <si>
    <t>Encirc</t>
  </si>
  <si>
    <t>Penderyn</t>
  </si>
  <si>
    <t>Kelloggs</t>
  </si>
  <si>
    <t>Maelor</t>
  </si>
  <si>
    <t>Secanim</t>
  </si>
  <si>
    <t>02 05 01</t>
  </si>
  <si>
    <t>EPR- KP3594VE</t>
  </si>
  <si>
    <t>Dyke Farm, Padeswood Lane, Mold, CH7 4HZ</t>
  </si>
  <si>
    <t>07 07 12</t>
  </si>
  <si>
    <t>02 03 05</t>
  </si>
  <si>
    <t>02 02 04</t>
  </si>
  <si>
    <t>02 07 05</t>
  </si>
  <si>
    <t>Rowan Food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</si>
</sst>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9" zoomScale="90" zoomScaleNormal="90" workbookViewId="0">
      <selection activeCell="C41" sqref="C4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51.8</v>
      </c>
      <c r="G1" s="123" t="s">
        <v>43</v>
      </c>
      <c r="H1" s="124"/>
      <c r="I1" s="96">
        <v>3.76</v>
      </c>
      <c r="J1" s="127" t="s">
        <v>153</v>
      </c>
      <c r="K1" s="127"/>
      <c r="L1" s="96">
        <v>25</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174</v>
      </c>
      <c r="D2" s="120"/>
      <c r="E2" s="93" t="s">
        <v>109</v>
      </c>
      <c r="F2" s="96" t="s">
        <v>173</v>
      </c>
      <c r="G2" s="125" t="s">
        <v>110</v>
      </c>
      <c r="H2" s="126"/>
      <c r="I2" s="96">
        <v>516</v>
      </c>
      <c r="J2" s="127" t="s">
        <v>158</v>
      </c>
      <c r="K2" s="127"/>
      <c r="L2" s="96">
        <v>0.06</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161</v>
      </c>
      <c r="D3" s="120"/>
      <c r="E3" s="93" t="s">
        <v>108</v>
      </c>
      <c r="F3" s="31" t="s">
        <v>78</v>
      </c>
      <c r="G3" s="127" t="s">
        <v>159</v>
      </c>
      <c r="H3" s="127"/>
      <c r="I3" s="96">
        <v>2360</v>
      </c>
      <c r="J3" s="123" t="s">
        <v>154</v>
      </c>
      <c r="K3" s="124"/>
      <c r="L3" s="96">
        <f>(L1/(L2*10000))*100</f>
        <v>4.1666666666666661</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175</v>
      </c>
      <c r="D4" s="122"/>
      <c r="E4" s="94" t="s">
        <v>1</v>
      </c>
      <c r="F4" s="95" t="s">
        <v>164</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162</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v>1</v>
      </c>
      <c r="D8" s="15">
        <v>2</v>
      </c>
      <c r="E8" s="15">
        <v>3</v>
      </c>
      <c r="F8" s="15">
        <v>4</v>
      </c>
      <c r="G8" s="15">
        <v>5</v>
      </c>
      <c r="H8" s="15">
        <v>6</v>
      </c>
      <c r="I8" s="15">
        <v>7</v>
      </c>
      <c r="J8" s="15">
        <v>8</v>
      </c>
      <c r="K8" s="15">
        <v>9</v>
      </c>
      <c r="L8" s="15">
        <v>10</v>
      </c>
      <c r="M8" s="15">
        <v>11</v>
      </c>
      <c r="N8" s="15">
        <v>12</v>
      </c>
      <c r="O8" s="15">
        <v>13</v>
      </c>
      <c r="P8" s="15">
        <v>14</v>
      </c>
      <c r="Q8" s="15">
        <v>15</v>
      </c>
      <c r="R8" s="15">
        <v>16</v>
      </c>
      <c r="S8" s="15">
        <v>17</v>
      </c>
      <c r="T8" s="15">
        <v>18</v>
      </c>
      <c r="U8" s="15">
        <v>19</v>
      </c>
      <c r="V8" s="15">
        <v>20</v>
      </c>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163</v>
      </c>
      <c r="D9" s="15" t="s">
        <v>163</v>
      </c>
      <c r="E9" s="15" t="s">
        <v>163</v>
      </c>
      <c r="F9" s="15" t="s">
        <v>163</v>
      </c>
      <c r="G9" s="15" t="s">
        <v>163</v>
      </c>
      <c r="H9" s="15">
        <v>1</v>
      </c>
      <c r="I9" s="15">
        <v>1</v>
      </c>
      <c r="J9" s="15">
        <v>1</v>
      </c>
      <c r="K9" s="15">
        <v>1</v>
      </c>
      <c r="L9" s="15">
        <v>1</v>
      </c>
      <c r="M9" s="15">
        <v>1</v>
      </c>
      <c r="N9" s="15">
        <v>1</v>
      </c>
      <c r="O9" s="15">
        <v>1</v>
      </c>
      <c r="P9" s="15" t="s">
        <v>163</v>
      </c>
      <c r="Q9" s="15" t="s">
        <v>163</v>
      </c>
      <c r="R9" s="15" t="s">
        <v>163</v>
      </c>
      <c r="S9" s="15" t="s">
        <v>163</v>
      </c>
      <c r="T9" s="15" t="s">
        <v>163</v>
      </c>
      <c r="U9" s="15" t="s">
        <v>163</v>
      </c>
      <c r="V9" s="15" t="s">
        <v>163</v>
      </c>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6.5</v>
      </c>
      <c r="D10" s="15">
        <v>7.4</v>
      </c>
      <c r="E10" s="15">
        <v>6.2</v>
      </c>
      <c r="F10" s="15">
        <v>5.8</v>
      </c>
      <c r="G10" s="15">
        <v>5.6</v>
      </c>
      <c r="H10" s="15">
        <v>6.4</v>
      </c>
      <c r="I10" s="15">
        <v>5.9</v>
      </c>
      <c r="J10" s="15">
        <v>6.4</v>
      </c>
      <c r="K10" s="15">
        <v>6.1</v>
      </c>
      <c r="L10" s="15">
        <v>6.1</v>
      </c>
      <c r="M10" s="15">
        <v>5.6</v>
      </c>
      <c r="N10" s="15">
        <v>5.8</v>
      </c>
      <c r="O10" s="15">
        <v>6.3</v>
      </c>
      <c r="P10" s="15">
        <v>6.3</v>
      </c>
      <c r="Q10" s="15">
        <v>6</v>
      </c>
      <c r="R10" s="15">
        <v>6</v>
      </c>
      <c r="S10" s="15">
        <v>6.4</v>
      </c>
      <c r="T10" s="15">
        <v>6.2</v>
      </c>
      <c r="U10" s="15">
        <v>6.1</v>
      </c>
      <c r="V10" s="15">
        <v>5.6</v>
      </c>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1</v>
      </c>
      <c r="D11" s="15">
        <v>3</v>
      </c>
      <c r="E11" s="15">
        <v>0</v>
      </c>
      <c r="F11" s="15">
        <v>0</v>
      </c>
      <c r="G11" s="15">
        <v>3</v>
      </c>
      <c r="H11" s="15">
        <v>2</v>
      </c>
      <c r="I11" s="15">
        <v>2</v>
      </c>
      <c r="J11" s="15">
        <v>3</v>
      </c>
      <c r="K11" s="15">
        <v>3</v>
      </c>
      <c r="L11" s="15">
        <v>2</v>
      </c>
      <c r="M11" s="15">
        <v>2</v>
      </c>
      <c r="N11" s="15">
        <v>2</v>
      </c>
      <c r="O11" s="15">
        <v>2</v>
      </c>
      <c r="P11" s="15">
        <v>1</v>
      </c>
      <c r="Q11" s="15">
        <v>0</v>
      </c>
      <c r="R11" s="15">
        <v>0</v>
      </c>
      <c r="S11" s="15">
        <v>0</v>
      </c>
      <c r="T11" s="15">
        <v>0</v>
      </c>
      <c r="U11" s="15">
        <v>0</v>
      </c>
      <c r="V11" s="15">
        <v>0</v>
      </c>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2</v>
      </c>
      <c r="D12" s="15">
        <v>3</v>
      </c>
      <c r="E12" s="15">
        <v>1</v>
      </c>
      <c r="F12" s="15">
        <v>0</v>
      </c>
      <c r="G12" s="15">
        <v>2</v>
      </c>
      <c r="H12" s="15">
        <v>1</v>
      </c>
      <c r="I12" s="15">
        <v>0</v>
      </c>
      <c r="J12" s="15">
        <v>0</v>
      </c>
      <c r="K12" s="15">
        <v>0</v>
      </c>
      <c r="L12" s="15">
        <v>0</v>
      </c>
      <c r="M12" s="15">
        <v>0</v>
      </c>
      <c r="N12" s="15">
        <v>0</v>
      </c>
      <c r="O12" s="15">
        <v>1</v>
      </c>
      <c r="P12" s="15">
        <v>0</v>
      </c>
      <c r="Q12" s="15">
        <v>0</v>
      </c>
      <c r="R12" s="15">
        <v>0</v>
      </c>
      <c r="S12" s="15">
        <v>0</v>
      </c>
      <c r="T12" s="15">
        <v>1</v>
      </c>
      <c r="U12" s="15">
        <v>0</v>
      </c>
      <c r="V12" s="15">
        <v>0</v>
      </c>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3</v>
      </c>
      <c r="D13" s="15">
        <v>3</v>
      </c>
      <c r="E13" s="15">
        <v>2</v>
      </c>
      <c r="F13" s="15">
        <v>3</v>
      </c>
      <c r="G13" s="15">
        <v>2</v>
      </c>
      <c r="H13" s="15">
        <v>2</v>
      </c>
      <c r="I13" s="15">
        <v>1</v>
      </c>
      <c r="J13" s="15">
        <v>2</v>
      </c>
      <c r="K13" s="15">
        <v>2</v>
      </c>
      <c r="L13" s="15">
        <v>2</v>
      </c>
      <c r="M13" s="15">
        <v>2</v>
      </c>
      <c r="N13" s="15">
        <v>2</v>
      </c>
      <c r="O13" s="15">
        <v>3</v>
      </c>
      <c r="P13" s="15">
        <v>2</v>
      </c>
      <c r="Q13" s="15">
        <v>3</v>
      </c>
      <c r="R13" s="15">
        <v>2</v>
      </c>
      <c r="S13" s="15">
        <v>2</v>
      </c>
      <c r="T13" s="15">
        <v>2</v>
      </c>
      <c r="U13" s="15">
        <v>2</v>
      </c>
      <c r="V13" s="15">
        <v>2</v>
      </c>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t="s">
        <v>113</v>
      </c>
      <c r="E14" s="100" t="s">
        <v>113</v>
      </c>
      <c r="F14" s="100" t="s">
        <v>113</v>
      </c>
      <c r="G14" s="100" t="s">
        <v>113</v>
      </c>
      <c r="H14" s="100" t="s">
        <v>105</v>
      </c>
      <c r="I14" s="100" t="s">
        <v>105</v>
      </c>
      <c r="J14" s="100" t="s">
        <v>105</v>
      </c>
      <c r="K14" s="100" t="s">
        <v>105</v>
      </c>
      <c r="L14" s="100" t="s">
        <v>105</v>
      </c>
      <c r="M14" s="100" t="s">
        <v>68</v>
      </c>
      <c r="N14" s="100" t="s">
        <v>68</v>
      </c>
      <c r="O14" s="100" t="s">
        <v>68</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x14ac:dyDescent="0.2">
      <c r="A15" s="135" t="s">
        <v>9</v>
      </c>
      <c r="B15" s="135"/>
      <c r="C15" s="15">
        <v>38</v>
      </c>
      <c r="D15" s="15">
        <v>38</v>
      </c>
      <c r="E15" s="15">
        <v>38</v>
      </c>
      <c r="F15" s="15">
        <v>38</v>
      </c>
      <c r="G15" s="15">
        <v>38</v>
      </c>
      <c r="H15" s="15">
        <v>40</v>
      </c>
      <c r="I15" s="15">
        <v>40</v>
      </c>
      <c r="J15" s="15">
        <v>40</v>
      </c>
      <c r="K15" s="15">
        <v>40</v>
      </c>
      <c r="L15" s="15">
        <v>40</v>
      </c>
      <c r="M15" s="15">
        <v>5.5</v>
      </c>
      <c r="N15" s="15">
        <v>5.5</v>
      </c>
      <c r="O15" s="15">
        <v>5.5</v>
      </c>
      <c r="P15" s="15">
        <v>5.5</v>
      </c>
      <c r="Q15" s="15">
        <v>5.5</v>
      </c>
      <c r="R15" s="15">
        <v>5.5</v>
      </c>
      <c r="S15" s="15">
        <v>5.5</v>
      </c>
      <c r="T15" s="15">
        <v>5.5</v>
      </c>
      <c r="U15" s="15">
        <v>5.5</v>
      </c>
      <c r="V15" s="15">
        <v>5.5</v>
      </c>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55.455945999999997</v>
      </c>
      <c r="D18" s="16">
        <f>$D32</f>
        <v>55.455945999999997</v>
      </c>
      <c r="E18" s="16">
        <f>$D33</f>
        <v>55.455945999999997</v>
      </c>
      <c r="F18" s="16">
        <f>$D34</f>
        <v>0</v>
      </c>
      <c r="G18" s="16">
        <f>$D35</f>
        <v>55.455945999999997</v>
      </c>
      <c r="H18" s="16">
        <f>$D36</f>
        <v>55.455945999999997</v>
      </c>
      <c r="I18" s="16">
        <f>$D37</f>
        <v>55.455945999999997</v>
      </c>
      <c r="J18" s="16">
        <f>$D38</f>
        <v>55.455945999999997</v>
      </c>
      <c r="K18" s="16">
        <f>$D39</f>
        <v>55.455945999999997</v>
      </c>
      <c r="L18" s="16">
        <f>$D40</f>
        <v>55.455945999999997</v>
      </c>
      <c r="M18" s="16">
        <f>$D41</f>
        <v>45.270159999999997</v>
      </c>
      <c r="N18" s="16">
        <f>$D42</f>
        <v>45.270159999999997</v>
      </c>
      <c r="O18" s="16">
        <f>$D43</f>
        <v>45.270159999999997</v>
      </c>
      <c r="P18" s="16">
        <f>$D44</f>
        <v>55.455945999999997</v>
      </c>
      <c r="Q18" s="16">
        <f>$D45</f>
        <v>55.455945999999997</v>
      </c>
      <c r="R18" s="16">
        <f>$D46</f>
        <v>55.455945999999997</v>
      </c>
      <c r="S18" s="16">
        <f>$D47</f>
        <v>55.455945999999997</v>
      </c>
      <c r="T18" s="16">
        <f>$D48</f>
        <v>55.455945999999997</v>
      </c>
      <c r="U18" s="16">
        <f>$D49</f>
        <v>55.455945999999997</v>
      </c>
      <c r="V18" s="25">
        <f>$D50</f>
        <v>55.455945999999997</v>
      </c>
      <c r="AD18" s="52" t="s">
        <v>147</v>
      </c>
      <c r="AE18" s="30">
        <v>16</v>
      </c>
      <c r="AI18" s="48" t="s">
        <v>106</v>
      </c>
      <c r="AJ18" s="49">
        <v>5.9</v>
      </c>
      <c r="AK18" s="50">
        <v>18</v>
      </c>
      <c r="AL18" s="51">
        <v>16</v>
      </c>
      <c r="AM18" s="11">
        <v>6.2</v>
      </c>
      <c r="AN18" s="11" t="s">
        <v>112</v>
      </c>
    </row>
    <row r="19" spans="1:40" x14ac:dyDescent="0.2">
      <c r="A19" s="131" t="s">
        <v>90</v>
      </c>
      <c r="B19" s="132"/>
      <c r="C19" s="16">
        <f>C18-C17</f>
        <v>-9.144053999999997</v>
      </c>
      <c r="D19" s="16">
        <f t="shared" ref="D19:V19" si="1">D18-D17</f>
        <v>-9.144053999999997</v>
      </c>
      <c r="E19" s="16">
        <f t="shared" si="1"/>
        <v>-9.144053999999997</v>
      </c>
      <c r="F19" s="16">
        <f t="shared" si="1"/>
        <v>-64.599999999999994</v>
      </c>
      <c r="G19" s="16">
        <f t="shared" si="1"/>
        <v>-9.144053999999997</v>
      </c>
      <c r="H19" s="16">
        <f t="shared" si="1"/>
        <v>-0.5440540000000027</v>
      </c>
      <c r="I19" s="16">
        <f t="shared" si="1"/>
        <v>-0.5440540000000027</v>
      </c>
      <c r="J19" s="16">
        <f t="shared" si="1"/>
        <v>-0.5440540000000027</v>
      </c>
      <c r="K19" s="16">
        <f t="shared" si="1"/>
        <v>-0.5440540000000027</v>
      </c>
      <c r="L19" s="16">
        <f t="shared" si="1"/>
        <v>-0.5440540000000027</v>
      </c>
      <c r="M19" s="16">
        <f t="shared" si="1"/>
        <v>-1.4798400000000029</v>
      </c>
      <c r="N19" s="16">
        <f t="shared" si="1"/>
        <v>-1.4798400000000029</v>
      </c>
      <c r="O19" s="16">
        <f t="shared" si="1"/>
        <v>-1.4798400000000029</v>
      </c>
      <c r="P19" s="16">
        <f t="shared" si="1"/>
        <v>46.105945999999996</v>
      </c>
      <c r="Q19" s="16">
        <f t="shared" si="1"/>
        <v>46.105945999999996</v>
      </c>
      <c r="R19" s="16">
        <f t="shared" si="1"/>
        <v>46.105945999999996</v>
      </c>
      <c r="S19" s="16">
        <f t="shared" si="1"/>
        <v>46.105945999999996</v>
      </c>
      <c r="T19" s="16">
        <f t="shared" si="1"/>
        <v>46.105945999999996</v>
      </c>
      <c r="U19" s="16">
        <f t="shared" si="1"/>
        <v>46.105945999999996</v>
      </c>
      <c r="V19" s="25">
        <f t="shared" si="1"/>
        <v>46.105945999999996</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49.893025000000002</v>
      </c>
      <c r="D22" s="16">
        <f>$E32</f>
        <v>49.893025000000002</v>
      </c>
      <c r="E22" s="16">
        <f>$E33</f>
        <v>49.893025000000002</v>
      </c>
      <c r="F22" s="16">
        <f>$E34</f>
        <v>0</v>
      </c>
      <c r="G22" s="16">
        <f>$E35</f>
        <v>49.893025000000002</v>
      </c>
      <c r="H22" s="16">
        <f>$E36</f>
        <v>49.893025000000002</v>
      </c>
      <c r="I22" s="16">
        <f>$E37</f>
        <v>49.893025000000002</v>
      </c>
      <c r="J22" s="16">
        <f>$E38</f>
        <v>49.893025000000002</v>
      </c>
      <c r="K22" s="16">
        <f>$E39</f>
        <v>49.893025000000002</v>
      </c>
      <c r="L22" s="16">
        <f>$E40</f>
        <v>49.893025000000002</v>
      </c>
      <c r="M22" s="16">
        <f>$E41</f>
        <v>40.729000000000006</v>
      </c>
      <c r="N22" s="16">
        <f>$E42</f>
        <v>40.729000000000006</v>
      </c>
      <c r="O22" s="16">
        <f>$E43</f>
        <v>40.729000000000006</v>
      </c>
      <c r="P22" s="16">
        <f>$E44</f>
        <v>49.893025000000002</v>
      </c>
      <c r="Q22" s="16">
        <f>$E45</f>
        <v>49.893025000000002</v>
      </c>
      <c r="R22" s="16">
        <f>$E46</f>
        <v>49.893025000000002</v>
      </c>
      <c r="S22" s="16">
        <f>$E47</f>
        <v>49.893025000000002</v>
      </c>
      <c r="T22" s="16">
        <f>$E48</f>
        <v>49.893025000000002</v>
      </c>
      <c r="U22" s="16">
        <f>$E49</f>
        <v>49.893025000000002</v>
      </c>
      <c r="V22" s="16">
        <f>$E50</f>
        <v>49.893025000000002</v>
      </c>
      <c r="AI22" s="63" t="s">
        <v>102</v>
      </c>
      <c r="AJ22" s="64">
        <v>1.2</v>
      </c>
      <c r="AK22" s="65">
        <v>5</v>
      </c>
      <c r="AL22" s="29">
        <v>20</v>
      </c>
      <c r="AM22" s="11">
        <v>6.7</v>
      </c>
      <c r="AN22" s="11" t="s">
        <v>135</v>
      </c>
    </row>
    <row r="23" spans="1:40" x14ac:dyDescent="0.2">
      <c r="A23" s="131" t="s">
        <v>92</v>
      </c>
      <c r="B23" s="132"/>
      <c r="C23" s="16">
        <f>C22-C21</f>
        <v>-178.10697500000001</v>
      </c>
      <c r="D23" s="16">
        <f t="shared" ref="D23:V23" si="3">D22-D21</f>
        <v>-178.10697500000001</v>
      </c>
      <c r="E23" s="16">
        <f t="shared" si="3"/>
        <v>-178.10697500000001</v>
      </c>
      <c r="F23" s="16">
        <f t="shared" si="3"/>
        <v>-228</v>
      </c>
      <c r="G23" s="16">
        <f t="shared" si="3"/>
        <v>-178.10697500000001</v>
      </c>
      <c r="H23" s="16">
        <f t="shared" si="3"/>
        <v>-126.10697500000001</v>
      </c>
      <c r="I23" s="16">
        <f t="shared" si="3"/>
        <v>-126.10697500000001</v>
      </c>
      <c r="J23" s="16">
        <f t="shared" si="3"/>
        <v>-126.10697500000001</v>
      </c>
      <c r="K23" s="16">
        <f t="shared" si="3"/>
        <v>-126.10697500000001</v>
      </c>
      <c r="L23" s="16">
        <f t="shared" si="3"/>
        <v>-126.10697500000001</v>
      </c>
      <c r="M23" s="16">
        <f t="shared" si="3"/>
        <v>-25.270999999999994</v>
      </c>
      <c r="N23" s="16">
        <f t="shared" si="3"/>
        <v>-25.270999999999994</v>
      </c>
      <c r="O23" s="16">
        <f t="shared" si="3"/>
        <v>-25.270999999999994</v>
      </c>
      <c r="P23" s="16">
        <f t="shared" si="3"/>
        <v>16.893025000000002</v>
      </c>
      <c r="Q23" s="16">
        <f t="shared" si="3"/>
        <v>16.893025000000002</v>
      </c>
      <c r="R23" s="16">
        <f t="shared" si="3"/>
        <v>16.893025000000002</v>
      </c>
      <c r="S23" s="16">
        <f t="shared" si="3"/>
        <v>16.893025000000002</v>
      </c>
      <c r="T23" s="16">
        <f t="shared" si="3"/>
        <v>16.893025000000002</v>
      </c>
      <c r="U23" s="16">
        <f t="shared" si="3"/>
        <v>16.893025000000002</v>
      </c>
      <c r="V23" s="16">
        <f t="shared" si="3"/>
        <v>16.893025000000002</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INCREASE</v>
      </c>
      <c r="Q24" s="26" t="str">
        <f t="shared" si="4"/>
        <v>INCREASE</v>
      </c>
      <c r="R24" s="26" t="str">
        <f t="shared" si="4"/>
        <v>INCREASE</v>
      </c>
      <c r="S24" s="26" t="str">
        <f t="shared" si="4"/>
        <v>INCREASE</v>
      </c>
      <c r="T24" s="26" t="str">
        <f t="shared" si="4"/>
        <v>INCREASE</v>
      </c>
      <c r="U24" s="26" t="str">
        <f t="shared" si="4"/>
        <v>INCREASE</v>
      </c>
      <c r="V24" s="26" t="str">
        <f t="shared" si="4"/>
        <v>INCREASE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245</v>
      </c>
      <c r="C31" s="77">
        <f>IF(C$27="%w/w SAR",((C$28*10)*$B31),IF(C$27="%w/w DM",(((C$28*10)*($B$28/100))*$B31),IF(C$27="kg/t SAR",(C$28*$B31),IF(C$27="kg/t DM",((C$28*($B$28/100))*$B31),IF(C$27="mg/kg SAR",((C$28*0.001)*$B31),IF(C$27="mg/kg DM",(((C$28*0.001)*($B$28/100))*$B31),0))))))</f>
        <v>147</v>
      </c>
      <c r="D31" s="77">
        <f>(IF(D$27="%w/w SAR",((D$28*10)*$B31),IF(D$27="%w/w DM",(((D$28*10)*($B$28/100))*$B31),IF(D$27="kg/t SAR",(D$28*$B31),IF(D$27="kg/t DM",((D$28*($B$28/100))*$B31),IF(D$27="mg/kg SAR",((D$28*0.001)*$B31),IF(D$27="mg/kg DM",(((D$28*0.001)*($B$28/100))*$B31),"0")))))))*2.291</f>
        <v>55.455945999999997</v>
      </c>
      <c r="E31" s="77">
        <f>(IF(E$27="%w/w SAR",((E$28*10)*$B31),IF(E$27="%w/w DM",(((E$28*10)*($B$28/100))*$B31),IF(E$27="kg/t SAR",(E$28*$B31),IF(E$27="kg/t DM",((E$28*($B$28/100))*$B31),IF(E$27="mg/kg SAR",((E$28*0.001)*$B31),IF(E$27="mg/kg DM",(((E$28*0.001)*($B$28/100))*$B31),"0")))))))*1.205</f>
        <v>49.893025000000002</v>
      </c>
      <c r="F31" s="77">
        <f>(IF(F$27="%w/w SAR",((F$28*10)*$B31),IF(F$27="%w/w DM",(((F$28*10)*($B$28/100))*$B31),IF(F$27="kg/t SAR",(F$28*$B31),IF(F$27="kg/t DM",((F$28*($B$28/100))*$B31),IF(F$27="mg/kg SAR",((F$28*0.001)*$B31),IF(F$27="mg/kg DM",(((F$28*0.001)*($B$28/100))*$B31),"0")))))))*1.658</f>
        <v>10.398975999999999</v>
      </c>
      <c r="G31" s="77">
        <f t="shared" ref="G31:P31" si="5">IF(G$27="%w/w SAR",((G$28*10)*$B31),IF(G$27="%w/w DM",(((G$28*10)*($B$28/100))*$B31),IF(G$27="kg/t SAR",(G$28*$B31),IF(G$27="kg/t DM",((G$28*($B$28/100))*$B31),IF(G$27="mg/kg SAR",((G$28*0.001)*$B31),IF(G$27="mg/kg DM",(((G$28*0.001)*($B$28/100))*$B31),0))))))</f>
        <v>5.4144999999999999E-2</v>
      </c>
      <c r="H31" s="77">
        <f t="shared" si="5"/>
        <v>0.245</v>
      </c>
      <c r="I31" s="77">
        <f t="shared" si="5"/>
        <v>0.1225</v>
      </c>
      <c r="J31" s="77">
        <f t="shared" si="5"/>
        <v>2.4500000000000004E-3</v>
      </c>
      <c r="K31" s="77">
        <f t="shared" si="5"/>
        <v>1.225E-2</v>
      </c>
      <c r="L31" s="77">
        <f t="shared" si="5"/>
        <v>4.9000000000000002E-2</v>
      </c>
      <c r="M31" s="77">
        <f t="shared" si="5"/>
        <v>4.9000000000000002E-2</v>
      </c>
      <c r="N31" s="77">
        <f t="shared" si="5"/>
        <v>0</v>
      </c>
      <c r="O31" s="77">
        <f t="shared" si="5"/>
        <v>0</v>
      </c>
      <c r="P31" s="77">
        <f t="shared" si="5"/>
        <v>82.565000000000012</v>
      </c>
      <c r="Q31" s="77">
        <f>(IF(Q$27="%w/w SAR",((Q$28*10)*$B31),IF(Q$27="%w/w DM",(((Q$28*10)*($B$28/100))*$B31),IF(Q$27="kg/t SAR",(Q$28*$B31),IF(Q$27="kg/t DM",((Q$28*($B$28/100))*$B31),IF(Q$27="mg/kg SAR",((Q$28*0.001)*$B31),IF(Q$27="mg/kg DM",(((Q$28*0.001)*($B$28/100))*$B31),0)))))))*2.5</f>
        <v>47.713750000000005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245</v>
      </c>
      <c r="C32" s="77">
        <f t="shared" ref="C32:C50" si="6">IF(C$27="%w/w SAR",((C$28*10)*$B32),IF(C$27="%w/w DM",(((C$28*10)*($B$28/100))*$B32),IF(C$27="kg/t SAR",(C$28*$B32),IF(C$27="kg/t DM",((C$28*($B$28/100))*$B32),IF(C$27="mg/kg SAR",((C$28*0.001)*$B32),IF(C$27="mg/kg DM",(((C$28*0.001)*($B$28/100))*$B32),0))))))</f>
        <v>147</v>
      </c>
      <c r="D32" s="77">
        <f t="shared" ref="D32:D50" si="7">(IF(D$27="%w/w SAR",((D$28*10)*$B32),IF(D$27="%w/w DM",(((D$28*10)*($B$28/100))*$B32),IF(D$27="kg/t SAR",(D$28*$B32),IF(D$27="kg/t DM",((D$28*($B$28/100))*$B32),IF(D$27="mg/kg SAR",((D$28*0.001)*$B32),IF(D$27="mg/kg DM",(((D$28*0.001)*($B$28/100))*$B32),"0")))))))*2.291</f>
        <v>55.455945999999997</v>
      </c>
      <c r="E32" s="77">
        <f t="shared" ref="E32:E50" si="8">(IF(E$27="%w/w SAR",((E$28*10)*$B32),IF(E$27="%w/w DM",(((E$28*10)*($B$28/100))*$B32),IF(E$27="kg/t SAR",(E$28*$B32),IF(E$27="kg/t DM",((E$28*($B$28/100))*$B32),IF(E$27="mg/kg SAR",((E$28*0.001)*$B32),IF(E$27="mg/kg DM",(((E$28*0.001)*($B$28/100))*$B32),"0")))))))*1.205</f>
        <v>49.893025000000002</v>
      </c>
      <c r="F32" s="77">
        <f t="shared" ref="F32:F50" si="9">(IF(F$27="%w/w SAR",((F$28*10)*$B32),IF(F$27="%w/w DM",(((F$28*10)*($B$28/100))*$B32),IF(F$27="kg/t SAR",(F$28*$B32),IF(F$27="kg/t DM",((F$28*($B$28/100))*$B32),IF(F$27="mg/kg SAR",((F$28*0.001)*$B32),IF(F$27="mg/kg DM",(((F$28*0.001)*($B$28/100))*$B32),"0")))))))*1.658</f>
        <v>10.398975999999999</v>
      </c>
      <c r="G32" s="77">
        <f t="shared" ref="G32:P50" si="10">IF(G$27="%w/w SAR",((G$28*10)*$B32),IF(G$27="%w/w DM",(((G$28*10)*($B$28/100))*$B32),IF(G$27="kg/t SAR",(G$28*$B32),IF(G$27="kg/t DM",((G$28*($B$28/100))*$B32),IF(G$27="mg/kg SAR",((G$28*0.001)*$B32),IF(G$27="mg/kg DM",(((G$28*0.001)*($B$28/100))*$B32),0))))))</f>
        <v>5.4144999999999999E-2</v>
      </c>
      <c r="H32" s="77">
        <f t="shared" si="10"/>
        <v>0.245</v>
      </c>
      <c r="I32" s="77">
        <f t="shared" si="10"/>
        <v>0.1225</v>
      </c>
      <c r="J32" s="77">
        <f t="shared" si="10"/>
        <v>2.4500000000000004E-3</v>
      </c>
      <c r="K32" s="77">
        <f t="shared" si="10"/>
        <v>1.225E-2</v>
      </c>
      <c r="L32" s="77">
        <f t="shared" si="10"/>
        <v>4.9000000000000002E-2</v>
      </c>
      <c r="M32" s="77">
        <f t="shared" si="10"/>
        <v>4.9000000000000002E-2</v>
      </c>
      <c r="N32" s="77">
        <f t="shared" si="10"/>
        <v>0</v>
      </c>
      <c r="O32" s="77">
        <f t="shared" si="10"/>
        <v>0</v>
      </c>
      <c r="P32" s="77">
        <f t="shared" si="10"/>
        <v>82.565000000000012</v>
      </c>
      <c r="Q32" s="77">
        <f t="shared" ref="Q32:Q50" si="11">(IF(Q$27="%w/w SAR",((Q$28*10)*$B32),IF(Q$27="%w/w DM",(((Q$28*10)*($B$28/100))*$B32),IF(Q$27="kg/t SAR",(Q$28*$B32),IF(Q$27="kg/t DM",((Q$28*($B$28/100))*$B32),IF(Q$27="mg/kg SAR",((Q$28*0.001)*$B32),IF(Q$27="mg/kg DM",(((Q$28*0.001)*($B$28/100))*$B32),0)))))))*2.5</f>
        <v>47.713750000000005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3</v>
      </c>
      <c r="B33" s="15">
        <v>245</v>
      </c>
      <c r="C33" s="77">
        <f t="shared" si="6"/>
        <v>147</v>
      </c>
      <c r="D33" s="77">
        <f t="shared" si="7"/>
        <v>55.455945999999997</v>
      </c>
      <c r="E33" s="77">
        <f t="shared" si="8"/>
        <v>49.893025000000002</v>
      </c>
      <c r="F33" s="77">
        <f t="shared" si="9"/>
        <v>10.398975999999999</v>
      </c>
      <c r="G33" s="77">
        <f t="shared" si="10"/>
        <v>5.4144999999999999E-2</v>
      </c>
      <c r="H33" s="77">
        <f t="shared" si="10"/>
        <v>0.245</v>
      </c>
      <c r="I33" s="77">
        <f t="shared" si="10"/>
        <v>0.1225</v>
      </c>
      <c r="J33" s="77">
        <f t="shared" si="10"/>
        <v>2.4500000000000004E-3</v>
      </c>
      <c r="K33" s="77">
        <f t="shared" si="10"/>
        <v>1.225E-2</v>
      </c>
      <c r="L33" s="77">
        <f t="shared" si="10"/>
        <v>4.9000000000000002E-2</v>
      </c>
      <c r="M33" s="77">
        <f t="shared" si="10"/>
        <v>4.9000000000000002E-2</v>
      </c>
      <c r="N33" s="77">
        <f t="shared" si="10"/>
        <v>0</v>
      </c>
      <c r="O33" s="77">
        <f t="shared" si="10"/>
        <v>0</v>
      </c>
      <c r="P33" s="77">
        <f t="shared" si="10"/>
        <v>82.565000000000012</v>
      </c>
      <c r="Q33" s="77">
        <f t="shared" si="11"/>
        <v>47.713750000000005</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5</v>
      </c>
      <c r="B35" s="15">
        <v>245</v>
      </c>
      <c r="C35" s="77">
        <f t="shared" si="6"/>
        <v>147</v>
      </c>
      <c r="D35" s="77">
        <f t="shared" si="7"/>
        <v>55.455945999999997</v>
      </c>
      <c r="E35" s="77">
        <f t="shared" si="8"/>
        <v>49.893025000000002</v>
      </c>
      <c r="F35" s="77">
        <f t="shared" si="9"/>
        <v>10.398975999999999</v>
      </c>
      <c r="G35" s="77">
        <f t="shared" si="10"/>
        <v>5.4144999999999999E-2</v>
      </c>
      <c r="H35" s="77">
        <f t="shared" si="10"/>
        <v>0.245</v>
      </c>
      <c r="I35" s="77">
        <f t="shared" si="10"/>
        <v>0.1225</v>
      </c>
      <c r="J35" s="77">
        <f t="shared" si="10"/>
        <v>2.4500000000000004E-3</v>
      </c>
      <c r="K35" s="77">
        <f t="shared" si="10"/>
        <v>1.225E-2</v>
      </c>
      <c r="L35" s="77">
        <f t="shared" si="10"/>
        <v>4.9000000000000002E-2</v>
      </c>
      <c r="M35" s="77">
        <f t="shared" si="10"/>
        <v>4.9000000000000002E-2</v>
      </c>
      <c r="N35" s="77">
        <f t="shared" si="10"/>
        <v>0</v>
      </c>
      <c r="O35" s="77">
        <f t="shared" si="10"/>
        <v>0</v>
      </c>
      <c r="P35" s="77">
        <f t="shared" si="10"/>
        <v>82.565000000000012</v>
      </c>
      <c r="Q35" s="77">
        <f t="shared" si="11"/>
        <v>47.713750000000005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6</v>
      </c>
      <c r="B36" s="15">
        <v>245</v>
      </c>
      <c r="C36" s="77">
        <f t="shared" si="6"/>
        <v>147</v>
      </c>
      <c r="D36" s="77">
        <f t="shared" si="7"/>
        <v>55.455945999999997</v>
      </c>
      <c r="E36" s="77">
        <f t="shared" si="8"/>
        <v>49.893025000000002</v>
      </c>
      <c r="F36" s="77">
        <f t="shared" si="9"/>
        <v>10.398975999999999</v>
      </c>
      <c r="G36" s="77">
        <f t="shared" si="10"/>
        <v>5.4144999999999999E-2</v>
      </c>
      <c r="H36" s="77">
        <f t="shared" si="10"/>
        <v>0.245</v>
      </c>
      <c r="I36" s="77">
        <f t="shared" si="10"/>
        <v>0.1225</v>
      </c>
      <c r="J36" s="77">
        <f t="shared" si="10"/>
        <v>2.4500000000000004E-3</v>
      </c>
      <c r="K36" s="77">
        <f t="shared" si="10"/>
        <v>1.225E-2</v>
      </c>
      <c r="L36" s="77">
        <f t="shared" si="10"/>
        <v>4.9000000000000002E-2</v>
      </c>
      <c r="M36" s="77">
        <f t="shared" si="10"/>
        <v>4.9000000000000002E-2</v>
      </c>
      <c r="N36" s="77">
        <f t="shared" si="10"/>
        <v>0</v>
      </c>
      <c r="O36" s="77">
        <f t="shared" si="10"/>
        <v>0</v>
      </c>
      <c r="P36" s="77">
        <f t="shared" si="10"/>
        <v>82.565000000000012</v>
      </c>
      <c r="Q36" s="77">
        <f t="shared" si="11"/>
        <v>47.713750000000005</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7</v>
      </c>
      <c r="B37" s="15">
        <v>245</v>
      </c>
      <c r="C37" s="77">
        <f t="shared" si="6"/>
        <v>147</v>
      </c>
      <c r="D37" s="77">
        <f t="shared" si="7"/>
        <v>55.455945999999997</v>
      </c>
      <c r="E37" s="77">
        <f t="shared" si="8"/>
        <v>49.893025000000002</v>
      </c>
      <c r="F37" s="77">
        <f t="shared" si="9"/>
        <v>10.398975999999999</v>
      </c>
      <c r="G37" s="77">
        <f t="shared" si="10"/>
        <v>5.4144999999999999E-2</v>
      </c>
      <c r="H37" s="77">
        <f t="shared" si="10"/>
        <v>0.245</v>
      </c>
      <c r="I37" s="77">
        <f t="shared" si="10"/>
        <v>0.1225</v>
      </c>
      <c r="J37" s="77">
        <f t="shared" si="10"/>
        <v>2.4500000000000004E-3</v>
      </c>
      <c r="K37" s="77">
        <f t="shared" si="10"/>
        <v>1.225E-2</v>
      </c>
      <c r="L37" s="77">
        <f t="shared" si="10"/>
        <v>4.9000000000000002E-2</v>
      </c>
      <c r="M37" s="77">
        <f t="shared" si="10"/>
        <v>4.9000000000000002E-2</v>
      </c>
      <c r="N37" s="77">
        <f t="shared" si="10"/>
        <v>0</v>
      </c>
      <c r="O37" s="77">
        <f t="shared" si="10"/>
        <v>0</v>
      </c>
      <c r="P37" s="77">
        <f t="shared" si="10"/>
        <v>82.565000000000012</v>
      </c>
      <c r="Q37" s="77">
        <f t="shared" si="11"/>
        <v>47.713750000000005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8</v>
      </c>
      <c r="B38" s="15">
        <v>245</v>
      </c>
      <c r="C38" s="77">
        <f t="shared" si="6"/>
        <v>147</v>
      </c>
      <c r="D38" s="77">
        <f t="shared" si="7"/>
        <v>55.455945999999997</v>
      </c>
      <c r="E38" s="77">
        <f t="shared" si="8"/>
        <v>49.893025000000002</v>
      </c>
      <c r="F38" s="77">
        <f t="shared" si="9"/>
        <v>10.398975999999999</v>
      </c>
      <c r="G38" s="77">
        <f t="shared" si="10"/>
        <v>5.4144999999999999E-2</v>
      </c>
      <c r="H38" s="77">
        <f t="shared" si="10"/>
        <v>0.245</v>
      </c>
      <c r="I38" s="77">
        <f t="shared" si="10"/>
        <v>0.1225</v>
      </c>
      <c r="J38" s="77">
        <f t="shared" si="10"/>
        <v>2.4500000000000004E-3</v>
      </c>
      <c r="K38" s="77">
        <f t="shared" si="10"/>
        <v>1.225E-2</v>
      </c>
      <c r="L38" s="77">
        <f t="shared" si="10"/>
        <v>4.9000000000000002E-2</v>
      </c>
      <c r="M38" s="77">
        <f t="shared" si="10"/>
        <v>4.9000000000000002E-2</v>
      </c>
      <c r="N38" s="77">
        <f t="shared" si="10"/>
        <v>0</v>
      </c>
      <c r="O38" s="77">
        <f t="shared" si="10"/>
        <v>0</v>
      </c>
      <c r="P38" s="77">
        <f t="shared" si="10"/>
        <v>82.565000000000012</v>
      </c>
      <c r="Q38" s="77">
        <f t="shared" si="11"/>
        <v>47.713750000000005</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9</v>
      </c>
      <c r="B39" s="15">
        <v>245</v>
      </c>
      <c r="C39" s="77">
        <f t="shared" si="6"/>
        <v>147</v>
      </c>
      <c r="D39" s="77">
        <f t="shared" si="7"/>
        <v>55.455945999999997</v>
      </c>
      <c r="E39" s="77">
        <f t="shared" si="8"/>
        <v>49.893025000000002</v>
      </c>
      <c r="F39" s="77">
        <f t="shared" si="9"/>
        <v>10.398975999999999</v>
      </c>
      <c r="G39" s="77">
        <f t="shared" si="10"/>
        <v>5.4144999999999999E-2</v>
      </c>
      <c r="H39" s="77">
        <f t="shared" si="10"/>
        <v>0.245</v>
      </c>
      <c r="I39" s="77">
        <f t="shared" si="10"/>
        <v>0.1225</v>
      </c>
      <c r="J39" s="77">
        <f t="shared" si="10"/>
        <v>2.4500000000000004E-3</v>
      </c>
      <c r="K39" s="77">
        <f t="shared" si="10"/>
        <v>1.225E-2</v>
      </c>
      <c r="L39" s="77">
        <f t="shared" si="10"/>
        <v>4.9000000000000002E-2</v>
      </c>
      <c r="M39" s="77">
        <f t="shared" si="10"/>
        <v>4.9000000000000002E-2</v>
      </c>
      <c r="N39" s="77">
        <f t="shared" si="10"/>
        <v>0</v>
      </c>
      <c r="O39" s="77">
        <f t="shared" si="10"/>
        <v>0</v>
      </c>
      <c r="P39" s="77">
        <f t="shared" si="10"/>
        <v>82.565000000000012</v>
      </c>
      <c r="Q39" s="77">
        <f t="shared" si="11"/>
        <v>47.713750000000005</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10</v>
      </c>
      <c r="B40" s="15">
        <v>245</v>
      </c>
      <c r="C40" s="77">
        <f t="shared" si="6"/>
        <v>147</v>
      </c>
      <c r="D40" s="77">
        <f t="shared" si="7"/>
        <v>55.455945999999997</v>
      </c>
      <c r="E40" s="77">
        <f t="shared" si="8"/>
        <v>49.893025000000002</v>
      </c>
      <c r="F40" s="77">
        <f t="shared" si="9"/>
        <v>10.398975999999999</v>
      </c>
      <c r="G40" s="77">
        <f t="shared" si="10"/>
        <v>5.4144999999999999E-2</v>
      </c>
      <c r="H40" s="77">
        <f t="shared" si="10"/>
        <v>0.245</v>
      </c>
      <c r="I40" s="77">
        <f t="shared" si="10"/>
        <v>0.1225</v>
      </c>
      <c r="J40" s="77">
        <f t="shared" si="10"/>
        <v>2.4500000000000004E-3</v>
      </c>
      <c r="K40" s="77">
        <f t="shared" si="10"/>
        <v>1.225E-2</v>
      </c>
      <c r="L40" s="77">
        <f t="shared" si="10"/>
        <v>4.9000000000000002E-2</v>
      </c>
      <c r="M40" s="77">
        <f t="shared" si="10"/>
        <v>4.9000000000000002E-2</v>
      </c>
      <c r="N40" s="77">
        <f t="shared" si="10"/>
        <v>0</v>
      </c>
      <c r="O40" s="77">
        <f t="shared" si="10"/>
        <v>0</v>
      </c>
      <c r="P40" s="77">
        <f t="shared" si="10"/>
        <v>82.565000000000012</v>
      </c>
      <c r="Q40" s="77">
        <f t="shared" si="11"/>
        <v>47.713750000000005</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11</v>
      </c>
      <c r="B41" s="15">
        <v>200</v>
      </c>
      <c r="C41" s="77">
        <f t="shared" si="6"/>
        <v>120</v>
      </c>
      <c r="D41" s="77">
        <f t="shared" si="7"/>
        <v>45.270159999999997</v>
      </c>
      <c r="E41" s="77">
        <f t="shared" si="8"/>
        <v>40.729000000000006</v>
      </c>
      <c r="F41" s="77">
        <f t="shared" si="9"/>
        <v>8.4889600000000005</v>
      </c>
      <c r="G41" s="77">
        <f t="shared" si="10"/>
        <v>4.4200000000000003E-2</v>
      </c>
      <c r="H41" s="77">
        <f t="shared" si="10"/>
        <v>0.2</v>
      </c>
      <c r="I41" s="77">
        <f t="shared" si="10"/>
        <v>0.1</v>
      </c>
      <c r="J41" s="77">
        <f t="shared" si="10"/>
        <v>2E-3</v>
      </c>
      <c r="K41" s="77">
        <f t="shared" si="10"/>
        <v>0.01</v>
      </c>
      <c r="L41" s="77">
        <f t="shared" si="10"/>
        <v>0.04</v>
      </c>
      <c r="M41" s="77">
        <f t="shared" si="10"/>
        <v>0.04</v>
      </c>
      <c r="N41" s="77">
        <f t="shared" si="10"/>
        <v>0</v>
      </c>
      <c r="O41" s="77">
        <f t="shared" si="10"/>
        <v>0</v>
      </c>
      <c r="P41" s="77">
        <f t="shared" si="10"/>
        <v>67.400000000000006</v>
      </c>
      <c r="Q41" s="77">
        <f t="shared" si="11"/>
        <v>38.950000000000003</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12</v>
      </c>
      <c r="B42" s="15">
        <v>200</v>
      </c>
      <c r="C42" s="77">
        <f t="shared" si="6"/>
        <v>120</v>
      </c>
      <c r="D42" s="77">
        <f t="shared" si="7"/>
        <v>45.270159999999997</v>
      </c>
      <c r="E42" s="77">
        <f t="shared" si="8"/>
        <v>40.729000000000006</v>
      </c>
      <c r="F42" s="77">
        <f t="shared" si="9"/>
        <v>8.4889600000000005</v>
      </c>
      <c r="G42" s="77">
        <f t="shared" si="10"/>
        <v>4.4200000000000003E-2</v>
      </c>
      <c r="H42" s="77">
        <f t="shared" si="10"/>
        <v>0.2</v>
      </c>
      <c r="I42" s="77">
        <f t="shared" si="10"/>
        <v>0.1</v>
      </c>
      <c r="J42" s="77">
        <f t="shared" si="10"/>
        <v>2E-3</v>
      </c>
      <c r="K42" s="77">
        <f t="shared" si="10"/>
        <v>0.01</v>
      </c>
      <c r="L42" s="77">
        <f t="shared" si="10"/>
        <v>0.04</v>
      </c>
      <c r="M42" s="77">
        <f t="shared" si="10"/>
        <v>0.04</v>
      </c>
      <c r="N42" s="77">
        <f t="shared" si="10"/>
        <v>0</v>
      </c>
      <c r="O42" s="77">
        <f t="shared" si="10"/>
        <v>0</v>
      </c>
      <c r="P42" s="77">
        <f t="shared" si="10"/>
        <v>67.400000000000006</v>
      </c>
      <c r="Q42" s="77">
        <f t="shared" si="11"/>
        <v>38.950000000000003</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13</v>
      </c>
      <c r="B43" s="15">
        <v>200</v>
      </c>
      <c r="C43" s="77">
        <f t="shared" si="6"/>
        <v>120</v>
      </c>
      <c r="D43" s="77">
        <f t="shared" si="7"/>
        <v>45.270159999999997</v>
      </c>
      <c r="E43" s="77">
        <f t="shared" si="8"/>
        <v>40.729000000000006</v>
      </c>
      <c r="F43" s="77">
        <f t="shared" si="9"/>
        <v>8.4889600000000005</v>
      </c>
      <c r="G43" s="77">
        <f t="shared" si="10"/>
        <v>4.4200000000000003E-2</v>
      </c>
      <c r="H43" s="77">
        <f t="shared" si="10"/>
        <v>0.2</v>
      </c>
      <c r="I43" s="77">
        <f t="shared" si="10"/>
        <v>0.1</v>
      </c>
      <c r="J43" s="77">
        <f t="shared" si="10"/>
        <v>2E-3</v>
      </c>
      <c r="K43" s="77">
        <f t="shared" si="10"/>
        <v>0.01</v>
      </c>
      <c r="L43" s="77">
        <f t="shared" si="10"/>
        <v>0.04</v>
      </c>
      <c r="M43" s="77">
        <f t="shared" si="10"/>
        <v>0.04</v>
      </c>
      <c r="N43" s="77">
        <f t="shared" si="10"/>
        <v>0</v>
      </c>
      <c r="O43" s="77">
        <f t="shared" si="10"/>
        <v>0</v>
      </c>
      <c r="P43" s="77">
        <f t="shared" si="10"/>
        <v>67.400000000000006</v>
      </c>
      <c r="Q43" s="77">
        <f t="shared" si="11"/>
        <v>38.950000000000003</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14</v>
      </c>
      <c r="B44" s="15">
        <v>245</v>
      </c>
      <c r="C44" s="77">
        <f t="shared" si="6"/>
        <v>147</v>
      </c>
      <c r="D44" s="77">
        <f t="shared" si="7"/>
        <v>55.455945999999997</v>
      </c>
      <c r="E44" s="77">
        <f t="shared" si="8"/>
        <v>49.893025000000002</v>
      </c>
      <c r="F44" s="77">
        <f t="shared" si="9"/>
        <v>10.398975999999999</v>
      </c>
      <c r="G44" s="77">
        <f t="shared" si="10"/>
        <v>5.4144999999999999E-2</v>
      </c>
      <c r="H44" s="77">
        <f t="shared" si="10"/>
        <v>0.245</v>
      </c>
      <c r="I44" s="77">
        <f t="shared" si="10"/>
        <v>0.1225</v>
      </c>
      <c r="J44" s="77">
        <f t="shared" si="10"/>
        <v>2.4500000000000004E-3</v>
      </c>
      <c r="K44" s="77">
        <f t="shared" si="10"/>
        <v>1.225E-2</v>
      </c>
      <c r="L44" s="77">
        <f t="shared" si="10"/>
        <v>4.9000000000000002E-2</v>
      </c>
      <c r="M44" s="77">
        <f t="shared" si="10"/>
        <v>4.9000000000000002E-2</v>
      </c>
      <c r="N44" s="77">
        <f t="shared" si="10"/>
        <v>0</v>
      </c>
      <c r="O44" s="77">
        <f t="shared" si="10"/>
        <v>0</v>
      </c>
      <c r="P44" s="77">
        <f t="shared" si="10"/>
        <v>82.565000000000012</v>
      </c>
      <c r="Q44" s="77">
        <f t="shared" si="11"/>
        <v>47.713750000000005</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15</v>
      </c>
      <c r="B45" s="15">
        <v>245</v>
      </c>
      <c r="C45" s="77">
        <f t="shared" si="6"/>
        <v>147</v>
      </c>
      <c r="D45" s="77">
        <f t="shared" si="7"/>
        <v>55.455945999999997</v>
      </c>
      <c r="E45" s="77">
        <f t="shared" si="8"/>
        <v>49.893025000000002</v>
      </c>
      <c r="F45" s="77">
        <f t="shared" si="9"/>
        <v>10.398975999999999</v>
      </c>
      <c r="G45" s="77">
        <f t="shared" si="10"/>
        <v>5.4144999999999999E-2</v>
      </c>
      <c r="H45" s="77">
        <f t="shared" si="10"/>
        <v>0.245</v>
      </c>
      <c r="I45" s="77">
        <f t="shared" si="10"/>
        <v>0.1225</v>
      </c>
      <c r="J45" s="77">
        <f t="shared" si="10"/>
        <v>2.4500000000000004E-3</v>
      </c>
      <c r="K45" s="77">
        <f t="shared" si="10"/>
        <v>1.225E-2</v>
      </c>
      <c r="L45" s="77">
        <f t="shared" si="10"/>
        <v>4.9000000000000002E-2</v>
      </c>
      <c r="M45" s="77">
        <f t="shared" si="10"/>
        <v>4.9000000000000002E-2</v>
      </c>
      <c r="N45" s="77">
        <f t="shared" si="10"/>
        <v>0</v>
      </c>
      <c r="O45" s="77">
        <f t="shared" si="10"/>
        <v>0</v>
      </c>
      <c r="P45" s="77">
        <f t="shared" si="10"/>
        <v>82.565000000000012</v>
      </c>
      <c r="Q45" s="77">
        <f t="shared" si="11"/>
        <v>47.713750000000005</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16</v>
      </c>
      <c r="B46" s="15">
        <v>245</v>
      </c>
      <c r="C46" s="77">
        <f t="shared" si="6"/>
        <v>147</v>
      </c>
      <c r="D46" s="77">
        <f t="shared" si="7"/>
        <v>55.455945999999997</v>
      </c>
      <c r="E46" s="77">
        <f t="shared" si="8"/>
        <v>49.893025000000002</v>
      </c>
      <c r="F46" s="77">
        <f t="shared" si="9"/>
        <v>10.398975999999999</v>
      </c>
      <c r="G46" s="77">
        <f t="shared" si="10"/>
        <v>5.4144999999999999E-2</v>
      </c>
      <c r="H46" s="77">
        <f t="shared" si="10"/>
        <v>0.245</v>
      </c>
      <c r="I46" s="77">
        <f t="shared" si="10"/>
        <v>0.1225</v>
      </c>
      <c r="J46" s="77">
        <f t="shared" si="10"/>
        <v>2.4500000000000004E-3</v>
      </c>
      <c r="K46" s="77">
        <f t="shared" si="10"/>
        <v>1.225E-2</v>
      </c>
      <c r="L46" s="77">
        <f t="shared" si="10"/>
        <v>4.9000000000000002E-2</v>
      </c>
      <c r="M46" s="77">
        <f t="shared" si="10"/>
        <v>4.9000000000000002E-2</v>
      </c>
      <c r="N46" s="77">
        <f t="shared" si="10"/>
        <v>0</v>
      </c>
      <c r="O46" s="77">
        <f t="shared" si="10"/>
        <v>0</v>
      </c>
      <c r="P46" s="77">
        <f t="shared" si="10"/>
        <v>82.565000000000012</v>
      </c>
      <c r="Q46" s="77">
        <f t="shared" si="11"/>
        <v>47.713750000000005</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17</v>
      </c>
      <c r="B47" s="15">
        <v>245</v>
      </c>
      <c r="C47" s="77">
        <f t="shared" si="6"/>
        <v>147</v>
      </c>
      <c r="D47" s="77">
        <f t="shared" si="7"/>
        <v>55.455945999999997</v>
      </c>
      <c r="E47" s="77">
        <f t="shared" si="8"/>
        <v>49.893025000000002</v>
      </c>
      <c r="F47" s="77">
        <f t="shared" si="9"/>
        <v>10.398975999999999</v>
      </c>
      <c r="G47" s="77">
        <f t="shared" si="10"/>
        <v>5.4144999999999999E-2</v>
      </c>
      <c r="H47" s="77">
        <f t="shared" si="10"/>
        <v>0.245</v>
      </c>
      <c r="I47" s="77">
        <f t="shared" si="10"/>
        <v>0.1225</v>
      </c>
      <c r="J47" s="77">
        <f t="shared" si="10"/>
        <v>2.4500000000000004E-3</v>
      </c>
      <c r="K47" s="77">
        <f t="shared" si="10"/>
        <v>1.225E-2</v>
      </c>
      <c r="L47" s="77">
        <f t="shared" si="10"/>
        <v>4.9000000000000002E-2</v>
      </c>
      <c r="M47" s="77">
        <f t="shared" si="10"/>
        <v>4.9000000000000002E-2</v>
      </c>
      <c r="N47" s="77">
        <f t="shared" si="10"/>
        <v>0</v>
      </c>
      <c r="O47" s="77">
        <f t="shared" si="10"/>
        <v>0</v>
      </c>
      <c r="P47" s="77">
        <f t="shared" si="10"/>
        <v>82.565000000000012</v>
      </c>
      <c r="Q47" s="77">
        <f t="shared" si="11"/>
        <v>47.713750000000005</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18</v>
      </c>
      <c r="B48" s="15">
        <v>245</v>
      </c>
      <c r="C48" s="77">
        <f t="shared" si="6"/>
        <v>147</v>
      </c>
      <c r="D48" s="77">
        <f t="shared" si="7"/>
        <v>55.455945999999997</v>
      </c>
      <c r="E48" s="77">
        <f t="shared" si="8"/>
        <v>49.893025000000002</v>
      </c>
      <c r="F48" s="77">
        <f t="shared" si="9"/>
        <v>10.398975999999999</v>
      </c>
      <c r="G48" s="77">
        <f t="shared" si="10"/>
        <v>5.4144999999999999E-2</v>
      </c>
      <c r="H48" s="77">
        <f t="shared" si="10"/>
        <v>0.245</v>
      </c>
      <c r="I48" s="77">
        <f t="shared" si="10"/>
        <v>0.1225</v>
      </c>
      <c r="J48" s="77">
        <f t="shared" si="10"/>
        <v>2.4500000000000004E-3</v>
      </c>
      <c r="K48" s="77">
        <f t="shared" si="10"/>
        <v>1.225E-2</v>
      </c>
      <c r="L48" s="77">
        <f t="shared" si="10"/>
        <v>4.9000000000000002E-2</v>
      </c>
      <c r="M48" s="77">
        <f t="shared" si="10"/>
        <v>4.9000000000000002E-2</v>
      </c>
      <c r="N48" s="77">
        <f t="shared" si="10"/>
        <v>0</v>
      </c>
      <c r="O48" s="77">
        <f t="shared" si="10"/>
        <v>0</v>
      </c>
      <c r="P48" s="77">
        <f t="shared" si="10"/>
        <v>82.565000000000012</v>
      </c>
      <c r="Q48" s="77">
        <f t="shared" si="11"/>
        <v>47.713750000000005</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19</v>
      </c>
      <c r="B49" s="15">
        <v>245</v>
      </c>
      <c r="C49" s="77">
        <f t="shared" si="6"/>
        <v>147</v>
      </c>
      <c r="D49" s="77">
        <f t="shared" si="7"/>
        <v>55.455945999999997</v>
      </c>
      <c r="E49" s="77">
        <f t="shared" si="8"/>
        <v>49.893025000000002</v>
      </c>
      <c r="F49" s="77">
        <f t="shared" si="9"/>
        <v>10.398975999999999</v>
      </c>
      <c r="G49" s="77">
        <f t="shared" si="10"/>
        <v>5.4144999999999999E-2</v>
      </c>
      <c r="H49" s="77">
        <f t="shared" si="10"/>
        <v>0.245</v>
      </c>
      <c r="I49" s="77">
        <f t="shared" si="10"/>
        <v>0.1225</v>
      </c>
      <c r="J49" s="77">
        <f t="shared" si="10"/>
        <v>2.4500000000000004E-3</v>
      </c>
      <c r="K49" s="77">
        <f t="shared" si="10"/>
        <v>1.225E-2</v>
      </c>
      <c r="L49" s="77">
        <f t="shared" si="10"/>
        <v>4.9000000000000002E-2</v>
      </c>
      <c r="M49" s="77">
        <f t="shared" si="10"/>
        <v>4.9000000000000002E-2</v>
      </c>
      <c r="N49" s="77">
        <f t="shared" si="10"/>
        <v>0</v>
      </c>
      <c r="O49" s="77">
        <f t="shared" si="10"/>
        <v>0</v>
      </c>
      <c r="P49" s="77">
        <f t="shared" si="10"/>
        <v>82.565000000000012</v>
      </c>
      <c r="Q49" s="77">
        <f t="shared" si="11"/>
        <v>47.713750000000005</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20</v>
      </c>
      <c r="B50" s="15">
        <v>245</v>
      </c>
      <c r="C50" s="98">
        <f t="shared" si="6"/>
        <v>147</v>
      </c>
      <c r="D50" s="98">
        <f t="shared" si="7"/>
        <v>55.455945999999997</v>
      </c>
      <c r="E50" s="98">
        <f t="shared" si="8"/>
        <v>49.893025000000002</v>
      </c>
      <c r="F50" s="98">
        <f t="shared" si="9"/>
        <v>10.398975999999999</v>
      </c>
      <c r="G50" s="98">
        <f t="shared" si="10"/>
        <v>5.4144999999999999E-2</v>
      </c>
      <c r="H50" s="98">
        <f t="shared" si="10"/>
        <v>0.245</v>
      </c>
      <c r="I50" s="98">
        <f t="shared" si="10"/>
        <v>0.1225</v>
      </c>
      <c r="J50" s="98">
        <f t="shared" si="10"/>
        <v>2.4500000000000004E-3</v>
      </c>
      <c r="K50" s="98">
        <f t="shared" si="10"/>
        <v>1.225E-2</v>
      </c>
      <c r="L50" s="98">
        <f t="shared" si="10"/>
        <v>4.9000000000000002E-2</v>
      </c>
      <c r="M50" s="98">
        <f t="shared" si="10"/>
        <v>4.9000000000000002E-2</v>
      </c>
      <c r="N50" s="98">
        <f t="shared" si="10"/>
        <v>0</v>
      </c>
      <c r="O50" s="98">
        <f t="shared" si="10"/>
        <v>0</v>
      </c>
      <c r="P50" s="98">
        <f t="shared" si="10"/>
        <v>82.565000000000012</v>
      </c>
      <c r="Q50" s="98">
        <f t="shared" si="11"/>
        <v>47.713750000000005</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str">
        <f>N16&amp;" I "&amp;(VLOOKUP(N14,Table24[],6,FALSE))</f>
        <v>Medium/Clay I Arable</v>
      </c>
      <c r="N58" s="13" t="str">
        <f>O16&amp;" I "&amp;(VLOOKUP(O14,Table24[],6,FALSE))</f>
        <v>Medium/Clay I Arable</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6.7</v>
      </c>
      <c r="H59" s="76">
        <f>VLOOKUP(I$14,Table24[],5,FALSE)</f>
        <v>6.7</v>
      </c>
      <c r="I59" s="76">
        <f>VLOOKUP(J$14,Table24[],5,FALSE)</f>
        <v>6.7</v>
      </c>
      <c r="J59" s="76">
        <f>VLOOKUP(K$14,Table24[],5,FALSE)</f>
        <v>6.7</v>
      </c>
      <c r="K59" s="76">
        <f>VLOOKUP(L$14,Table24[],5,FALSE)</f>
        <v>6.7</v>
      </c>
      <c r="L59" s="76">
        <f>VLOOKUP(M$14,Table24[],5,FALSE)</f>
        <v>6.7</v>
      </c>
      <c r="M59" s="76">
        <f>VLOOKUP(N$14,Table24[],5,FALSE)</f>
        <v>6.7</v>
      </c>
      <c r="N59" s="76">
        <f>VLOOKUP(O$14,Table24[],5,FALSE)</f>
        <v>6.7</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245</v>
      </c>
      <c r="C62" s="77">
        <f>B32</f>
        <v>245</v>
      </c>
      <c r="D62" s="77">
        <f>B33</f>
        <v>245</v>
      </c>
      <c r="E62" s="77">
        <f>B34</f>
        <v>0</v>
      </c>
      <c r="F62" s="77">
        <f>B35</f>
        <v>245</v>
      </c>
      <c r="G62" s="77">
        <f>B36</f>
        <v>245</v>
      </c>
      <c r="H62" s="77">
        <f>B37</f>
        <v>245</v>
      </c>
      <c r="I62" s="77">
        <f>B38</f>
        <v>245</v>
      </c>
      <c r="J62" s="77">
        <f>B39</f>
        <v>245</v>
      </c>
      <c r="K62" s="77">
        <f>B40</f>
        <v>245</v>
      </c>
      <c r="L62" s="77">
        <f>B41</f>
        <v>200</v>
      </c>
      <c r="M62" s="77">
        <f>B42</f>
        <v>200</v>
      </c>
      <c r="N62" s="77">
        <f>B43</f>
        <v>200</v>
      </c>
      <c r="O62" s="77">
        <f>B44</f>
        <v>245</v>
      </c>
      <c r="P62" s="77">
        <f>B45</f>
        <v>245</v>
      </c>
      <c r="Q62" s="77">
        <f>B46</f>
        <v>245</v>
      </c>
      <c r="R62" s="77">
        <f>B47</f>
        <v>245</v>
      </c>
      <c r="S62" s="77">
        <f>B48</f>
        <v>245</v>
      </c>
      <c r="T62" s="77">
        <f>B49</f>
        <v>245</v>
      </c>
      <c r="U62" s="77">
        <f>B50</f>
        <v>245</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9" zoomScale="90" zoomScaleNormal="90" workbookViewId="0">
      <selection activeCell="A42" sqref="A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7.01</v>
      </c>
      <c r="J1" s="127" t="s">
        <v>153</v>
      </c>
      <c r="K1" s="127"/>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176</v>
      </c>
      <c r="G2" s="125" t="s">
        <v>110</v>
      </c>
      <c r="H2" s="126"/>
      <c r="I2" s="118">
        <v>3261</v>
      </c>
      <c r="J2" s="127" t="s">
        <v>158</v>
      </c>
      <c r="K2" s="127"/>
      <c r="L2" s="97">
        <v>0.22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c r="J3" s="123" t="s">
        <v>154</v>
      </c>
      <c r="K3" s="124"/>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165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54.227969999999999</v>
      </c>
      <c r="D18" s="16">
        <f>$D32</f>
        <v>54.227969999999999</v>
      </c>
      <c r="E18" s="16">
        <f>$D33</f>
        <v>54.227969999999999</v>
      </c>
      <c r="F18" s="16">
        <f>$D34</f>
        <v>0</v>
      </c>
      <c r="G18" s="16">
        <f>$D35</f>
        <v>54.227969999999999</v>
      </c>
      <c r="H18" s="16">
        <f>$D36</f>
        <v>54.227969999999999</v>
      </c>
      <c r="I18" s="16">
        <f>$D37</f>
        <v>54.227969999999999</v>
      </c>
      <c r="J18" s="16">
        <f>$D38</f>
        <v>54.227969999999999</v>
      </c>
      <c r="K18" s="16">
        <f>$D39</f>
        <v>54.227969999999999</v>
      </c>
      <c r="L18" s="16">
        <f>$D40</f>
        <v>54.227969999999999</v>
      </c>
      <c r="M18" s="16">
        <f>$D41</f>
        <v>44.587441999999996</v>
      </c>
      <c r="N18" s="16">
        <f>$D42</f>
        <v>44.587441999999996</v>
      </c>
      <c r="O18" s="16">
        <f>$D43</f>
        <v>44.587441999999996</v>
      </c>
      <c r="P18" s="16">
        <f>$D44</f>
        <v>54.227969999999999</v>
      </c>
      <c r="Q18" s="16">
        <f>$D45</f>
        <v>54.227969999999999</v>
      </c>
      <c r="R18" s="16">
        <f>$D46</f>
        <v>54.227969999999999</v>
      </c>
      <c r="S18" s="16">
        <f>$D47</f>
        <v>54.227969999999999</v>
      </c>
      <c r="T18" s="16">
        <f>$D48</f>
        <v>54.227969999999999</v>
      </c>
      <c r="U18" s="16">
        <f>$D49</f>
        <v>54.227969999999999</v>
      </c>
      <c r="V18" s="25">
        <f>$D50</f>
        <v>54.227969999999999</v>
      </c>
      <c r="AD18" s="52" t="s">
        <v>147</v>
      </c>
      <c r="AE18" s="30">
        <v>16</v>
      </c>
      <c r="AI18" s="48" t="s">
        <v>106</v>
      </c>
      <c r="AJ18" s="49">
        <v>5.9</v>
      </c>
      <c r="AK18" s="50">
        <v>18</v>
      </c>
      <c r="AL18" s="51">
        <v>16</v>
      </c>
      <c r="AM18" s="11">
        <v>6.2</v>
      </c>
      <c r="AN18" s="11" t="s">
        <v>112</v>
      </c>
    </row>
    <row r="19" spans="1:40" x14ac:dyDescent="0.2">
      <c r="A19" s="131" t="s">
        <v>90</v>
      </c>
      <c r="B19" s="132"/>
      <c r="C19" s="16">
        <f>C18-C17</f>
        <v>-10.372029999999995</v>
      </c>
      <c r="D19" s="16">
        <f t="shared" ref="D19:V19" si="1">D18-D17</f>
        <v>-10.372029999999995</v>
      </c>
      <c r="E19" s="16">
        <f t="shared" si="1"/>
        <v>-10.372029999999995</v>
      </c>
      <c r="F19" s="16">
        <f t="shared" si="1"/>
        <v>-64.599999999999994</v>
      </c>
      <c r="G19" s="16">
        <f t="shared" si="1"/>
        <v>-10.372029999999995</v>
      </c>
      <c r="H19" s="16">
        <f t="shared" si="1"/>
        <v>-1.7720300000000009</v>
      </c>
      <c r="I19" s="16">
        <f t="shared" si="1"/>
        <v>-1.7720300000000009</v>
      </c>
      <c r="J19" s="16">
        <f t="shared" si="1"/>
        <v>-1.7720300000000009</v>
      </c>
      <c r="K19" s="16">
        <f t="shared" si="1"/>
        <v>-1.7720300000000009</v>
      </c>
      <c r="L19" s="16">
        <f t="shared" si="1"/>
        <v>-1.7720300000000009</v>
      </c>
      <c r="M19" s="16">
        <f t="shared" si="1"/>
        <v>-2.1625580000000042</v>
      </c>
      <c r="N19" s="16">
        <f t="shared" si="1"/>
        <v>-2.1625580000000042</v>
      </c>
      <c r="O19" s="16">
        <f t="shared" si="1"/>
        <v>-2.1625580000000042</v>
      </c>
      <c r="P19" s="16">
        <f t="shared" si="1"/>
        <v>44.877969999999998</v>
      </c>
      <c r="Q19" s="16">
        <f t="shared" si="1"/>
        <v>44.877969999999998</v>
      </c>
      <c r="R19" s="16">
        <f t="shared" si="1"/>
        <v>44.877969999999998</v>
      </c>
      <c r="S19" s="16">
        <f t="shared" si="1"/>
        <v>44.877969999999998</v>
      </c>
      <c r="T19" s="16">
        <f t="shared" si="1"/>
        <v>44.877969999999998</v>
      </c>
      <c r="U19" s="16">
        <f t="shared" si="1"/>
        <v>44.877969999999998</v>
      </c>
      <c r="V19" s="25">
        <f t="shared" si="1"/>
        <v>44.877969999999998</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11.604149999999999</v>
      </c>
      <c r="D22" s="16">
        <f>$E32</f>
        <v>11.604149999999999</v>
      </c>
      <c r="E22" s="16">
        <f>$E33</f>
        <v>11.604149999999999</v>
      </c>
      <c r="F22" s="16">
        <f>$E34</f>
        <v>0</v>
      </c>
      <c r="G22" s="16">
        <f>$E35</f>
        <v>11.604149999999999</v>
      </c>
      <c r="H22" s="16">
        <f>$E36</f>
        <v>11.604149999999999</v>
      </c>
      <c r="I22" s="16">
        <f>$E37</f>
        <v>11.604149999999999</v>
      </c>
      <c r="J22" s="16">
        <f>$E38</f>
        <v>11.604149999999999</v>
      </c>
      <c r="K22" s="16">
        <f>$E39</f>
        <v>11.604149999999999</v>
      </c>
      <c r="L22" s="16">
        <f>$E40</f>
        <v>11.604149999999999</v>
      </c>
      <c r="M22" s="16">
        <f>$E41</f>
        <v>9.5411900000000003</v>
      </c>
      <c r="N22" s="16">
        <f>$E42</f>
        <v>9.5411900000000003</v>
      </c>
      <c r="O22" s="16">
        <f>$E43</f>
        <v>9.5411900000000003</v>
      </c>
      <c r="P22" s="16">
        <f>$E44</f>
        <v>11.604149999999999</v>
      </c>
      <c r="Q22" s="16">
        <f>$E45</f>
        <v>11.604149999999999</v>
      </c>
      <c r="R22" s="16">
        <f>$E46</f>
        <v>11.604149999999999</v>
      </c>
      <c r="S22" s="16">
        <f>$E47</f>
        <v>11.604149999999999</v>
      </c>
      <c r="T22" s="16">
        <f>$E48</f>
        <v>11.604149999999999</v>
      </c>
      <c r="U22" s="16">
        <f>$E49</f>
        <v>11.604149999999999</v>
      </c>
      <c r="V22" s="16">
        <f>$E50</f>
        <v>11.604149999999999</v>
      </c>
      <c r="AI22" s="63" t="s">
        <v>102</v>
      </c>
      <c r="AJ22" s="64">
        <v>1.2</v>
      </c>
      <c r="AK22" s="65">
        <v>5</v>
      </c>
      <c r="AL22" s="29">
        <v>20</v>
      </c>
      <c r="AM22" s="11">
        <v>6.7</v>
      </c>
      <c r="AN22" s="11" t="s">
        <v>135</v>
      </c>
    </row>
    <row r="23" spans="1:40" x14ac:dyDescent="0.2">
      <c r="A23" s="131" t="s">
        <v>92</v>
      </c>
      <c r="B23" s="132"/>
      <c r="C23" s="16">
        <f>C22-C21</f>
        <v>-216.39585</v>
      </c>
      <c r="D23" s="16">
        <f t="shared" ref="D23:V23" si="3">D22-D21</f>
        <v>-216.39585</v>
      </c>
      <c r="E23" s="16">
        <f t="shared" si="3"/>
        <v>-216.39585</v>
      </c>
      <c r="F23" s="16">
        <f t="shared" si="3"/>
        <v>-228</v>
      </c>
      <c r="G23" s="16">
        <f t="shared" si="3"/>
        <v>-216.39585</v>
      </c>
      <c r="H23" s="16">
        <f t="shared" si="3"/>
        <v>-164.39585</v>
      </c>
      <c r="I23" s="16">
        <f t="shared" si="3"/>
        <v>-164.39585</v>
      </c>
      <c r="J23" s="16">
        <f t="shared" si="3"/>
        <v>-164.39585</v>
      </c>
      <c r="K23" s="16">
        <f t="shared" si="3"/>
        <v>-164.39585</v>
      </c>
      <c r="L23" s="16">
        <f t="shared" si="3"/>
        <v>-164.39585</v>
      </c>
      <c r="M23" s="16">
        <f t="shared" si="3"/>
        <v>-56.45881</v>
      </c>
      <c r="N23" s="16">
        <f t="shared" si="3"/>
        <v>-56.45881</v>
      </c>
      <c r="O23" s="16">
        <f t="shared" si="3"/>
        <v>-56.45881</v>
      </c>
      <c r="P23" s="16">
        <f t="shared" si="3"/>
        <v>-21.395850000000003</v>
      </c>
      <c r="Q23" s="16">
        <f t="shared" si="3"/>
        <v>-21.395850000000003</v>
      </c>
      <c r="R23" s="16">
        <f t="shared" si="3"/>
        <v>-21.395850000000003</v>
      </c>
      <c r="S23" s="16">
        <f t="shared" si="3"/>
        <v>-21.395850000000003</v>
      </c>
      <c r="T23" s="16">
        <f t="shared" si="3"/>
        <v>-21.395850000000003</v>
      </c>
      <c r="U23" s="16">
        <f t="shared" si="3"/>
        <v>-21.395850000000003</v>
      </c>
      <c r="V23" s="16">
        <f t="shared" si="3"/>
        <v>-21.395850000000003</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4373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45</v>
      </c>
      <c r="C31" s="77">
        <f>IF(C$27="%w/w SAR",((C$28*10)*$B31),IF(C$27="%w/w DM",(((C$28*10)*($B$28/100))*$B31),IF(C$27="kg/t SAR",(C$28*$B31),IF(C$27="kg/t DM",((C$28*($B$28/100))*$B31),IF(C$27="mg/kg SAR",((C$28*0.001)*$B31),IF(C$27="mg/kg DM",(((C$28*0.001)*($B$28/100))*$B31),0))))))</f>
        <v>99.000000000000014</v>
      </c>
      <c r="D31" s="77">
        <f>(IF(D$27="%w/w SAR",((D$28*10)*$B31),IF(D$27="%w/w DM",(((D$28*10)*($B$28/100))*$B31),IF(D$27="kg/t SAR",(D$28*$B31),IF(D$27="kg/t DM",((D$28*($B$28/100))*$B31),IF(D$27="mg/kg SAR",((D$28*0.001)*$B31),IF(D$27="mg/kg DM",(((D$28*0.001)*($B$28/100))*$B31),"0")))))))*2.291</f>
        <v>54.227969999999999</v>
      </c>
      <c r="E31" s="77">
        <f>(IF(E$27="%w/w SAR",((E$28*10)*$B31),IF(E$27="%w/w DM",(((E$28*10)*($B$28/100))*$B31),IF(E$27="kg/t SAR",(E$28*$B31),IF(E$27="kg/t DM",((E$28*($B$28/100))*$B31),IF(E$27="mg/kg SAR",((E$28*0.001)*$B31),IF(E$27="mg/kg DM",(((E$28*0.001)*($B$28/100))*$B31),"0")))))))*1.205</f>
        <v>11.604149999999999</v>
      </c>
      <c r="F31" s="77">
        <f>(IF(F$27="%w/w SAR",((F$28*10)*$B31),IF(F$27="%w/w DM",(((F$28*10)*($B$28/100))*$B31),IF(F$27="kg/t SAR",(F$28*$B31),IF(F$27="kg/t DM",((F$28*($B$28/100))*$B31),IF(F$27="mg/kg SAR",((F$28*0.001)*$B31),IF(F$27="mg/kg DM",(((F$28*0.001)*($B$28/100))*$B31),"0")))))))*1.658</f>
        <v>6.8641199999999989</v>
      </c>
      <c r="G31" s="77">
        <f t="shared" ref="G31:P46" si="5">IF(G$27="%w/w SAR",((G$28*10)*$B31),IF(G$27="%w/w DM",(((G$28*10)*($B$28/100))*$B31),IF(G$27="kg/t SAR",(G$28*$B31),IF(G$27="kg/t DM",((G$28*($B$28/100))*$B31),IF(G$27="mg/kg SAR",((G$28*0.001)*$B31),IF(G$27="mg/kg DM",(((G$28*0.001)*($B$28/100))*$B31),0))))))</f>
        <v>4.41E-2</v>
      </c>
      <c r="H31" s="77">
        <f t="shared" si="5"/>
        <v>0.4995</v>
      </c>
      <c r="I31" s="77">
        <f t="shared" si="5"/>
        <v>2.2499999999999999E-2</v>
      </c>
      <c r="J31" s="77">
        <f t="shared" si="5"/>
        <v>4.5000000000000004E-4</v>
      </c>
      <c r="K31" s="77">
        <f t="shared" si="5"/>
        <v>2.2500000000000003E-3</v>
      </c>
      <c r="L31" s="77">
        <f t="shared" si="5"/>
        <v>2.9385000000000001E-2</v>
      </c>
      <c r="M31" s="77">
        <f t="shared" si="5"/>
        <v>0.22995000000000004</v>
      </c>
      <c r="N31" s="77">
        <f t="shared" si="5"/>
        <v>0</v>
      </c>
      <c r="O31" s="77">
        <f t="shared" si="5"/>
        <v>0</v>
      </c>
      <c r="P31" s="77">
        <f t="shared" si="5"/>
        <v>196.785</v>
      </c>
      <c r="Q31" s="77">
        <f>(IF(Q$27="%w/w SAR",((Q$28*10)*$B31),IF(Q$27="%w/w DM",(((Q$28*10)*($B$28/100))*$B31),IF(Q$27="kg/t SAR",(Q$28*$B31),IF(Q$27="kg/t DM",((Q$28*($B$28/100))*$B31),IF(Q$27="mg/kg SAR",((Q$28*0.001)*$B31),IF(Q$27="mg/kg DM",(((Q$28*0.001)*($B$28/100))*$B31),0)))))))*2.5</f>
        <v>491.96249999999998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45</v>
      </c>
      <c r="C32" s="77">
        <f t="shared" ref="C32:C50" si="6">IF(C$27="%w/w SAR",((C$28*10)*$B32),IF(C$27="%w/w DM",(((C$28*10)*($B$28/100))*$B32),IF(C$27="kg/t SAR",(C$28*$B32),IF(C$27="kg/t DM",((C$28*($B$28/100))*$B32),IF(C$27="mg/kg SAR",((C$28*0.001)*$B32),IF(C$27="mg/kg DM",(((C$28*0.001)*($B$28/100))*$B32),0))))))</f>
        <v>99.000000000000014</v>
      </c>
      <c r="D32" s="77">
        <f t="shared" ref="D32:D50" si="7">(IF(D$27="%w/w SAR",((D$28*10)*$B32),IF(D$27="%w/w DM",(((D$28*10)*($B$28/100))*$B32),IF(D$27="kg/t SAR",(D$28*$B32),IF(D$27="kg/t DM",((D$28*($B$28/100))*$B32),IF(D$27="mg/kg SAR",((D$28*0.001)*$B32),IF(D$27="mg/kg DM",(((D$28*0.001)*($B$28/100))*$B32),"0")))))))*2.291</f>
        <v>54.227969999999999</v>
      </c>
      <c r="E32" s="77">
        <f t="shared" ref="E32:E50" si="8">(IF(E$27="%w/w SAR",((E$28*10)*$B32),IF(E$27="%w/w DM",(((E$28*10)*($B$28/100))*$B32),IF(E$27="kg/t SAR",(E$28*$B32),IF(E$27="kg/t DM",((E$28*($B$28/100))*$B32),IF(E$27="mg/kg SAR",((E$28*0.001)*$B32),IF(E$27="mg/kg DM",(((E$28*0.001)*($B$28/100))*$B32),"0")))))))*1.205</f>
        <v>11.604149999999999</v>
      </c>
      <c r="F32" s="77">
        <f t="shared" ref="F32:F50" si="9">(IF(F$27="%w/w SAR",((F$28*10)*$B32),IF(F$27="%w/w DM",(((F$28*10)*($B$28/100))*$B32),IF(F$27="kg/t SAR",(F$28*$B32),IF(F$27="kg/t DM",((F$28*($B$28/100))*$B32),IF(F$27="mg/kg SAR",((F$28*0.001)*$B32),IF(F$27="mg/kg DM",(((F$28*0.001)*($B$28/100))*$B32),"0")))))))*1.658</f>
        <v>6.8641199999999989</v>
      </c>
      <c r="G32" s="77">
        <f t="shared" si="5"/>
        <v>4.41E-2</v>
      </c>
      <c r="H32" s="77">
        <f t="shared" si="5"/>
        <v>0.4995</v>
      </c>
      <c r="I32" s="77">
        <f t="shared" si="5"/>
        <v>2.2499999999999999E-2</v>
      </c>
      <c r="J32" s="77">
        <f t="shared" si="5"/>
        <v>4.5000000000000004E-4</v>
      </c>
      <c r="K32" s="77">
        <f t="shared" si="5"/>
        <v>2.2500000000000003E-3</v>
      </c>
      <c r="L32" s="77">
        <f t="shared" si="5"/>
        <v>2.9385000000000001E-2</v>
      </c>
      <c r="M32" s="77">
        <f t="shared" si="5"/>
        <v>0.22995000000000004</v>
      </c>
      <c r="N32" s="77">
        <f t="shared" si="5"/>
        <v>0</v>
      </c>
      <c r="O32" s="77">
        <f t="shared" si="5"/>
        <v>0</v>
      </c>
      <c r="P32" s="77">
        <f t="shared" si="5"/>
        <v>196.785</v>
      </c>
      <c r="Q32" s="77">
        <f t="shared" ref="Q32:Q50" si="10">(IF(Q$27="%w/w SAR",((Q$28*10)*$B32),IF(Q$27="%w/w DM",(((Q$28*10)*($B$28/100))*$B32),IF(Q$27="kg/t SAR",(Q$28*$B32),IF(Q$27="kg/t DM",((Q$28*($B$28/100))*$B32),IF(Q$27="mg/kg SAR",((Q$28*0.001)*$B32),IF(Q$27="mg/kg DM",(((Q$28*0.001)*($B$28/100))*$B32),0)))))))*2.5</f>
        <v>491.96249999999998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45</v>
      </c>
      <c r="C33" s="77">
        <f t="shared" si="6"/>
        <v>99.000000000000014</v>
      </c>
      <c r="D33" s="77">
        <f t="shared" si="7"/>
        <v>54.227969999999999</v>
      </c>
      <c r="E33" s="77">
        <f t="shared" si="8"/>
        <v>11.604149999999999</v>
      </c>
      <c r="F33" s="77">
        <f t="shared" si="9"/>
        <v>6.8641199999999989</v>
      </c>
      <c r="G33" s="77">
        <f t="shared" si="5"/>
        <v>4.41E-2</v>
      </c>
      <c r="H33" s="77">
        <f t="shared" si="5"/>
        <v>0.4995</v>
      </c>
      <c r="I33" s="77">
        <f t="shared" si="5"/>
        <v>2.2499999999999999E-2</v>
      </c>
      <c r="J33" s="77">
        <f t="shared" si="5"/>
        <v>4.5000000000000004E-4</v>
      </c>
      <c r="K33" s="77">
        <f t="shared" si="5"/>
        <v>2.2500000000000003E-3</v>
      </c>
      <c r="L33" s="77">
        <f t="shared" si="5"/>
        <v>2.9385000000000001E-2</v>
      </c>
      <c r="M33" s="77">
        <f t="shared" si="5"/>
        <v>0.22995000000000004</v>
      </c>
      <c r="N33" s="77">
        <f t="shared" si="5"/>
        <v>0</v>
      </c>
      <c r="O33" s="77">
        <f t="shared" si="5"/>
        <v>0</v>
      </c>
      <c r="P33" s="77">
        <f t="shared" si="5"/>
        <v>196.785</v>
      </c>
      <c r="Q33" s="77">
        <f t="shared" si="10"/>
        <v>491.96249999999998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45</v>
      </c>
      <c r="C35" s="77">
        <f t="shared" si="6"/>
        <v>99.000000000000014</v>
      </c>
      <c r="D35" s="77">
        <f t="shared" si="7"/>
        <v>54.227969999999999</v>
      </c>
      <c r="E35" s="77">
        <f t="shared" si="8"/>
        <v>11.604149999999999</v>
      </c>
      <c r="F35" s="77">
        <f t="shared" si="9"/>
        <v>6.8641199999999989</v>
      </c>
      <c r="G35" s="77">
        <f t="shared" si="5"/>
        <v>4.41E-2</v>
      </c>
      <c r="H35" s="77">
        <f t="shared" si="5"/>
        <v>0.4995</v>
      </c>
      <c r="I35" s="77">
        <f t="shared" si="5"/>
        <v>2.2499999999999999E-2</v>
      </c>
      <c r="J35" s="77">
        <f t="shared" si="5"/>
        <v>4.5000000000000004E-4</v>
      </c>
      <c r="K35" s="77">
        <f t="shared" si="5"/>
        <v>2.2500000000000003E-3</v>
      </c>
      <c r="L35" s="77">
        <f t="shared" si="5"/>
        <v>2.9385000000000001E-2</v>
      </c>
      <c r="M35" s="77">
        <f t="shared" si="5"/>
        <v>0.22995000000000004</v>
      </c>
      <c r="N35" s="77">
        <f t="shared" si="5"/>
        <v>0</v>
      </c>
      <c r="O35" s="77">
        <f t="shared" si="5"/>
        <v>0</v>
      </c>
      <c r="P35" s="77">
        <f t="shared" si="5"/>
        <v>196.785</v>
      </c>
      <c r="Q35" s="77">
        <f t="shared" si="10"/>
        <v>491.96249999999998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45</v>
      </c>
      <c r="C36" s="77">
        <f t="shared" si="6"/>
        <v>99.000000000000014</v>
      </c>
      <c r="D36" s="77">
        <f t="shared" si="7"/>
        <v>54.227969999999999</v>
      </c>
      <c r="E36" s="77">
        <f t="shared" si="8"/>
        <v>11.604149999999999</v>
      </c>
      <c r="F36" s="77">
        <f t="shared" si="9"/>
        <v>6.8641199999999989</v>
      </c>
      <c r="G36" s="77">
        <f t="shared" si="5"/>
        <v>4.41E-2</v>
      </c>
      <c r="H36" s="77">
        <f t="shared" si="5"/>
        <v>0.4995</v>
      </c>
      <c r="I36" s="77">
        <f t="shared" si="5"/>
        <v>2.2499999999999999E-2</v>
      </c>
      <c r="J36" s="77">
        <f t="shared" si="5"/>
        <v>4.5000000000000004E-4</v>
      </c>
      <c r="K36" s="77">
        <f t="shared" si="5"/>
        <v>2.2500000000000003E-3</v>
      </c>
      <c r="L36" s="77">
        <f t="shared" si="5"/>
        <v>2.9385000000000001E-2</v>
      </c>
      <c r="M36" s="77">
        <f t="shared" si="5"/>
        <v>0.22995000000000004</v>
      </c>
      <c r="N36" s="77">
        <f t="shared" si="5"/>
        <v>0</v>
      </c>
      <c r="O36" s="77">
        <f t="shared" si="5"/>
        <v>0</v>
      </c>
      <c r="P36" s="77">
        <f t="shared" si="5"/>
        <v>196.785</v>
      </c>
      <c r="Q36" s="77">
        <f t="shared" si="10"/>
        <v>491.96249999999998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45</v>
      </c>
      <c r="C37" s="77">
        <f t="shared" si="6"/>
        <v>99.000000000000014</v>
      </c>
      <c r="D37" s="77">
        <f t="shared" si="7"/>
        <v>54.227969999999999</v>
      </c>
      <c r="E37" s="77">
        <f t="shared" si="8"/>
        <v>11.604149999999999</v>
      </c>
      <c r="F37" s="77">
        <f t="shared" si="9"/>
        <v>6.8641199999999989</v>
      </c>
      <c r="G37" s="77">
        <f t="shared" si="5"/>
        <v>4.41E-2</v>
      </c>
      <c r="H37" s="77">
        <f t="shared" si="5"/>
        <v>0.4995</v>
      </c>
      <c r="I37" s="77">
        <f t="shared" si="5"/>
        <v>2.2499999999999999E-2</v>
      </c>
      <c r="J37" s="77">
        <f t="shared" si="5"/>
        <v>4.5000000000000004E-4</v>
      </c>
      <c r="K37" s="77">
        <f t="shared" si="5"/>
        <v>2.2500000000000003E-3</v>
      </c>
      <c r="L37" s="77">
        <f t="shared" si="5"/>
        <v>2.9385000000000001E-2</v>
      </c>
      <c r="M37" s="77">
        <f t="shared" si="5"/>
        <v>0.22995000000000004</v>
      </c>
      <c r="N37" s="77">
        <f t="shared" si="5"/>
        <v>0</v>
      </c>
      <c r="O37" s="77">
        <f t="shared" si="5"/>
        <v>0</v>
      </c>
      <c r="P37" s="77">
        <f t="shared" si="5"/>
        <v>196.785</v>
      </c>
      <c r="Q37" s="77">
        <f t="shared" si="10"/>
        <v>491.96249999999998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45</v>
      </c>
      <c r="C38" s="77">
        <f t="shared" si="6"/>
        <v>99.000000000000014</v>
      </c>
      <c r="D38" s="77">
        <f t="shared" si="7"/>
        <v>54.227969999999999</v>
      </c>
      <c r="E38" s="77">
        <f t="shared" si="8"/>
        <v>11.604149999999999</v>
      </c>
      <c r="F38" s="77">
        <f t="shared" si="9"/>
        <v>6.8641199999999989</v>
      </c>
      <c r="G38" s="77">
        <f t="shared" si="5"/>
        <v>4.41E-2</v>
      </c>
      <c r="H38" s="77">
        <f t="shared" si="5"/>
        <v>0.4995</v>
      </c>
      <c r="I38" s="77">
        <f t="shared" si="5"/>
        <v>2.2499999999999999E-2</v>
      </c>
      <c r="J38" s="77">
        <f t="shared" si="5"/>
        <v>4.5000000000000004E-4</v>
      </c>
      <c r="K38" s="77">
        <f t="shared" si="5"/>
        <v>2.2500000000000003E-3</v>
      </c>
      <c r="L38" s="77">
        <f t="shared" si="5"/>
        <v>2.9385000000000001E-2</v>
      </c>
      <c r="M38" s="77">
        <f t="shared" si="5"/>
        <v>0.22995000000000004</v>
      </c>
      <c r="N38" s="77">
        <f t="shared" si="5"/>
        <v>0</v>
      </c>
      <c r="O38" s="77">
        <f t="shared" si="5"/>
        <v>0</v>
      </c>
      <c r="P38" s="77">
        <f t="shared" si="5"/>
        <v>196.785</v>
      </c>
      <c r="Q38" s="77">
        <f t="shared" si="10"/>
        <v>491.96249999999998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45</v>
      </c>
      <c r="C39" s="77">
        <f t="shared" si="6"/>
        <v>99.000000000000014</v>
      </c>
      <c r="D39" s="77">
        <f t="shared" si="7"/>
        <v>54.227969999999999</v>
      </c>
      <c r="E39" s="77">
        <f t="shared" si="8"/>
        <v>11.604149999999999</v>
      </c>
      <c r="F39" s="77">
        <f t="shared" si="9"/>
        <v>6.8641199999999989</v>
      </c>
      <c r="G39" s="77">
        <f t="shared" si="5"/>
        <v>4.41E-2</v>
      </c>
      <c r="H39" s="77">
        <f t="shared" si="5"/>
        <v>0.4995</v>
      </c>
      <c r="I39" s="77">
        <f t="shared" si="5"/>
        <v>2.2499999999999999E-2</v>
      </c>
      <c r="J39" s="77">
        <f t="shared" si="5"/>
        <v>4.5000000000000004E-4</v>
      </c>
      <c r="K39" s="77">
        <f t="shared" si="5"/>
        <v>2.2500000000000003E-3</v>
      </c>
      <c r="L39" s="77">
        <f t="shared" si="5"/>
        <v>2.9385000000000001E-2</v>
      </c>
      <c r="M39" s="77">
        <f t="shared" si="5"/>
        <v>0.22995000000000004</v>
      </c>
      <c r="N39" s="77">
        <f t="shared" si="5"/>
        <v>0</v>
      </c>
      <c r="O39" s="77">
        <f t="shared" si="5"/>
        <v>0</v>
      </c>
      <c r="P39" s="77">
        <f t="shared" si="5"/>
        <v>196.785</v>
      </c>
      <c r="Q39" s="77">
        <f t="shared" si="10"/>
        <v>491.96249999999998</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45</v>
      </c>
      <c r="C40" s="77">
        <f t="shared" si="6"/>
        <v>99.000000000000014</v>
      </c>
      <c r="D40" s="77">
        <f t="shared" si="7"/>
        <v>54.227969999999999</v>
      </c>
      <c r="E40" s="77">
        <f t="shared" si="8"/>
        <v>11.604149999999999</v>
      </c>
      <c r="F40" s="77">
        <f t="shared" si="9"/>
        <v>6.8641199999999989</v>
      </c>
      <c r="G40" s="77">
        <f t="shared" si="5"/>
        <v>4.41E-2</v>
      </c>
      <c r="H40" s="77">
        <f t="shared" si="5"/>
        <v>0.4995</v>
      </c>
      <c r="I40" s="77">
        <f t="shared" si="5"/>
        <v>2.2499999999999999E-2</v>
      </c>
      <c r="J40" s="77">
        <f t="shared" si="5"/>
        <v>4.5000000000000004E-4</v>
      </c>
      <c r="K40" s="77">
        <f t="shared" si="5"/>
        <v>2.2500000000000003E-3</v>
      </c>
      <c r="L40" s="77">
        <f t="shared" si="5"/>
        <v>2.9385000000000001E-2</v>
      </c>
      <c r="M40" s="77">
        <f t="shared" si="5"/>
        <v>0.22995000000000004</v>
      </c>
      <c r="N40" s="77">
        <f t="shared" si="5"/>
        <v>0</v>
      </c>
      <c r="O40" s="77">
        <f t="shared" si="5"/>
        <v>0</v>
      </c>
      <c r="P40" s="77">
        <f t="shared" si="5"/>
        <v>196.785</v>
      </c>
      <c r="Q40" s="77">
        <f t="shared" si="10"/>
        <v>491.96249999999998</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37</v>
      </c>
      <c r="C41" s="77">
        <f t="shared" si="6"/>
        <v>81.400000000000006</v>
      </c>
      <c r="D41" s="77">
        <f t="shared" si="7"/>
        <v>44.587441999999996</v>
      </c>
      <c r="E41" s="77">
        <f t="shared" si="8"/>
        <v>9.5411900000000003</v>
      </c>
      <c r="F41" s="77">
        <f t="shared" si="9"/>
        <v>5.6438319999999997</v>
      </c>
      <c r="G41" s="77">
        <f t="shared" si="5"/>
        <v>3.6260000000000001E-2</v>
      </c>
      <c r="H41" s="77">
        <f t="shared" si="5"/>
        <v>0.41070000000000001</v>
      </c>
      <c r="I41" s="77">
        <f t="shared" si="5"/>
        <v>1.8499999999999999E-2</v>
      </c>
      <c r="J41" s="77">
        <f t="shared" si="5"/>
        <v>3.7000000000000005E-4</v>
      </c>
      <c r="K41" s="77">
        <f t="shared" si="5"/>
        <v>1.8500000000000001E-3</v>
      </c>
      <c r="L41" s="77">
        <f t="shared" si="5"/>
        <v>2.4161000000000002E-2</v>
      </c>
      <c r="M41" s="77">
        <f t="shared" si="5"/>
        <v>0.18907000000000004</v>
      </c>
      <c r="N41" s="77">
        <f t="shared" si="5"/>
        <v>0</v>
      </c>
      <c r="O41" s="77">
        <f t="shared" si="5"/>
        <v>0</v>
      </c>
      <c r="P41" s="77">
        <f t="shared" si="5"/>
        <v>161.80100000000002</v>
      </c>
      <c r="Q41" s="77">
        <f t="shared" si="10"/>
        <v>404.50250000000005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37</v>
      </c>
      <c r="C42" s="77">
        <f t="shared" si="6"/>
        <v>81.400000000000006</v>
      </c>
      <c r="D42" s="77">
        <f t="shared" si="7"/>
        <v>44.587441999999996</v>
      </c>
      <c r="E42" s="77">
        <f t="shared" si="8"/>
        <v>9.5411900000000003</v>
      </c>
      <c r="F42" s="77">
        <f t="shared" si="9"/>
        <v>5.6438319999999997</v>
      </c>
      <c r="G42" s="77">
        <f t="shared" si="5"/>
        <v>3.6260000000000001E-2</v>
      </c>
      <c r="H42" s="77">
        <f t="shared" si="5"/>
        <v>0.41070000000000001</v>
      </c>
      <c r="I42" s="77">
        <f t="shared" si="5"/>
        <v>1.8499999999999999E-2</v>
      </c>
      <c r="J42" s="77">
        <f t="shared" si="5"/>
        <v>3.7000000000000005E-4</v>
      </c>
      <c r="K42" s="77">
        <f t="shared" si="5"/>
        <v>1.8500000000000001E-3</v>
      </c>
      <c r="L42" s="77">
        <f t="shared" si="5"/>
        <v>2.4161000000000002E-2</v>
      </c>
      <c r="M42" s="77">
        <f t="shared" si="5"/>
        <v>0.18907000000000004</v>
      </c>
      <c r="N42" s="77">
        <f t="shared" si="5"/>
        <v>0</v>
      </c>
      <c r="O42" s="77">
        <f t="shared" si="5"/>
        <v>0</v>
      </c>
      <c r="P42" s="77">
        <f t="shared" si="5"/>
        <v>161.80100000000002</v>
      </c>
      <c r="Q42" s="77">
        <f t="shared" si="10"/>
        <v>404.50250000000005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37</v>
      </c>
      <c r="C43" s="77">
        <f t="shared" si="6"/>
        <v>81.400000000000006</v>
      </c>
      <c r="D43" s="77">
        <f t="shared" si="7"/>
        <v>44.587441999999996</v>
      </c>
      <c r="E43" s="77">
        <f t="shared" si="8"/>
        <v>9.5411900000000003</v>
      </c>
      <c r="F43" s="77">
        <f t="shared" si="9"/>
        <v>5.6438319999999997</v>
      </c>
      <c r="G43" s="77">
        <f t="shared" si="5"/>
        <v>3.6260000000000001E-2</v>
      </c>
      <c r="H43" s="77">
        <f t="shared" si="5"/>
        <v>0.41070000000000001</v>
      </c>
      <c r="I43" s="77">
        <f t="shared" si="5"/>
        <v>1.8499999999999999E-2</v>
      </c>
      <c r="J43" s="77">
        <f t="shared" si="5"/>
        <v>3.7000000000000005E-4</v>
      </c>
      <c r="K43" s="77">
        <f t="shared" si="5"/>
        <v>1.8500000000000001E-3</v>
      </c>
      <c r="L43" s="77">
        <f t="shared" si="5"/>
        <v>2.4161000000000002E-2</v>
      </c>
      <c r="M43" s="77">
        <f t="shared" si="5"/>
        <v>0.18907000000000004</v>
      </c>
      <c r="N43" s="77">
        <f t="shared" si="5"/>
        <v>0</v>
      </c>
      <c r="O43" s="77">
        <f t="shared" si="5"/>
        <v>0</v>
      </c>
      <c r="P43" s="77">
        <f t="shared" si="5"/>
        <v>161.80100000000002</v>
      </c>
      <c r="Q43" s="77">
        <f t="shared" si="10"/>
        <v>404.50250000000005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45</v>
      </c>
      <c r="C44" s="77">
        <f t="shared" si="6"/>
        <v>99.000000000000014</v>
      </c>
      <c r="D44" s="77">
        <f t="shared" si="7"/>
        <v>54.227969999999999</v>
      </c>
      <c r="E44" s="77">
        <f t="shared" si="8"/>
        <v>11.604149999999999</v>
      </c>
      <c r="F44" s="77">
        <f t="shared" si="9"/>
        <v>6.8641199999999989</v>
      </c>
      <c r="G44" s="77">
        <f t="shared" si="5"/>
        <v>4.41E-2</v>
      </c>
      <c r="H44" s="77">
        <f t="shared" si="5"/>
        <v>0.4995</v>
      </c>
      <c r="I44" s="77">
        <f t="shared" si="5"/>
        <v>2.2499999999999999E-2</v>
      </c>
      <c r="J44" s="77">
        <f t="shared" si="5"/>
        <v>4.5000000000000004E-4</v>
      </c>
      <c r="K44" s="77">
        <f t="shared" si="5"/>
        <v>2.2500000000000003E-3</v>
      </c>
      <c r="L44" s="77">
        <f t="shared" si="5"/>
        <v>2.9385000000000001E-2</v>
      </c>
      <c r="M44" s="77">
        <f t="shared" si="5"/>
        <v>0.22995000000000004</v>
      </c>
      <c r="N44" s="77">
        <f t="shared" si="5"/>
        <v>0</v>
      </c>
      <c r="O44" s="77">
        <f t="shared" si="5"/>
        <v>0</v>
      </c>
      <c r="P44" s="77">
        <f t="shared" si="5"/>
        <v>196.785</v>
      </c>
      <c r="Q44" s="77">
        <f t="shared" si="10"/>
        <v>491.96249999999998</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45</v>
      </c>
      <c r="C45" s="77">
        <f t="shared" si="6"/>
        <v>99.000000000000014</v>
      </c>
      <c r="D45" s="77">
        <f t="shared" si="7"/>
        <v>54.227969999999999</v>
      </c>
      <c r="E45" s="77">
        <f t="shared" si="8"/>
        <v>11.604149999999999</v>
      </c>
      <c r="F45" s="77">
        <f t="shared" si="9"/>
        <v>6.8641199999999989</v>
      </c>
      <c r="G45" s="77">
        <f t="shared" si="5"/>
        <v>4.41E-2</v>
      </c>
      <c r="H45" s="77">
        <f t="shared" si="5"/>
        <v>0.4995</v>
      </c>
      <c r="I45" s="77">
        <f t="shared" si="5"/>
        <v>2.2499999999999999E-2</v>
      </c>
      <c r="J45" s="77">
        <f t="shared" si="5"/>
        <v>4.5000000000000004E-4</v>
      </c>
      <c r="K45" s="77">
        <f t="shared" si="5"/>
        <v>2.2500000000000003E-3</v>
      </c>
      <c r="L45" s="77">
        <f t="shared" si="5"/>
        <v>2.9385000000000001E-2</v>
      </c>
      <c r="M45" s="77">
        <f t="shared" si="5"/>
        <v>0.22995000000000004</v>
      </c>
      <c r="N45" s="77">
        <f t="shared" si="5"/>
        <v>0</v>
      </c>
      <c r="O45" s="77">
        <f t="shared" si="5"/>
        <v>0</v>
      </c>
      <c r="P45" s="77">
        <f t="shared" si="5"/>
        <v>196.785</v>
      </c>
      <c r="Q45" s="77">
        <f t="shared" si="10"/>
        <v>491.96249999999998</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45</v>
      </c>
      <c r="C46" s="77">
        <f t="shared" si="6"/>
        <v>99.000000000000014</v>
      </c>
      <c r="D46" s="77">
        <f t="shared" si="7"/>
        <v>54.227969999999999</v>
      </c>
      <c r="E46" s="77">
        <f t="shared" si="8"/>
        <v>11.604149999999999</v>
      </c>
      <c r="F46" s="77">
        <f t="shared" si="9"/>
        <v>6.8641199999999989</v>
      </c>
      <c r="G46" s="77">
        <f t="shared" si="5"/>
        <v>4.41E-2</v>
      </c>
      <c r="H46" s="77">
        <f t="shared" si="5"/>
        <v>0.4995</v>
      </c>
      <c r="I46" s="77">
        <f t="shared" si="5"/>
        <v>2.2499999999999999E-2</v>
      </c>
      <c r="J46" s="77">
        <f t="shared" si="5"/>
        <v>4.5000000000000004E-4</v>
      </c>
      <c r="K46" s="77">
        <f t="shared" si="5"/>
        <v>2.2500000000000003E-3</v>
      </c>
      <c r="L46" s="77">
        <f t="shared" si="5"/>
        <v>2.9385000000000001E-2</v>
      </c>
      <c r="M46" s="77">
        <f t="shared" si="5"/>
        <v>0.22995000000000004</v>
      </c>
      <c r="N46" s="77">
        <f t="shared" si="5"/>
        <v>0</v>
      </c>
      <c r="O46" s="77">
        <f t="shared" si="5"/>
        <v>0</v>
      </c>
      <c r="P46" s="77">
        <f t="shared" si="5"/>
        <v>196.785</v>
      </c>
      <c r="Q46" s="77">
        <f t="shared" si="10"/>
        <v>491.96249999999998</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45</v>
      </c>
      <c r="C47" s="77">
        <f t="shared" si="6"/>
        <v>99.000000000000014</v>
      </c>
      <c r="D47" s="77">
        <f t="shared" si="7"/>
        <v>54.227969999999999</v>
      </c>
      <c r="E47" s="77">
        <f t="shared" si="8"/>
        <v>11.604149999999999</v>
      </c>
      <c r="F47" s="77">
        <f t="shared" si="9"/>
        <v>6.8641199999999989</v>
      </c>
      <c r="G47" s="77">
        <f t="shared" ref="G47:P50" si="12">IF(G$27="%w/w SAR",((G$28*10)*$B47),IF(G$27="%w/w DM",(((G$28*10)*($B$28/100))*$B47),IF(G$27="kg/t SAR",(G$28*$B47),IF(G$27="kg/t DM",((G$28*($B$28/100))*$B47),IF(G$27="mg/kg SAR",((G$28*0.001)*$B47),IF(G$27="mg/kg DM",(((G$28*0.001)*($B$28/100))*$B47),0))))))</f>
        <v>4.41E-2</v>
      </c>
      <c r="H47" s="77">
        <f t="shared" si="12"/>
        <v>0.4995</v>
      </c>
      <c r="I47" s="77">
        <f t="shared" si="12"/>
        <v>2.2499999999999999E-2</v>
      </c>
      <c r="J47" s="77">
        <f t="shared" si="12"/>
        <v>4.5000000000000004E-4</v>
      </c>
      <c r="K47" s="77">
        <f t="shared" si="12"/>
        <v>2.2500000000000003E-3</v>
      </c>
      <c r="L47" s="77">
        <f t="shared" si="12"/>
        <v>2.9385000000000001E-2</v>
      </c>
      <c r="M47" s="77">
        <f t="shared" si="12"/>
        <v>0.22995000000000004</v>
      </c>
      <c r="N47" s="77">
        <f t="shared" si="12"/>
        <v>0</v>
      </c>
      <c r="O47" s="77">
        <f t="shared" si="12"/>
        <v>0</v>
      </c>
      <c r="P47" s="77">
        <f t="shared" si="12"/>
        <v>196.785</v>
      </c>
      <c r="Q47" s="77">
        <f t="shared" si="10"/>
        <v>491.96249999999998</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45</v>
      </c>
      <c r="C48" s="77">
        <f t="shared" si="6"/>
        <v>99.000000000000014</v>
      </c>
      <c r="D48" s="77">
        <f t="shared" si="7"/>
        <v>54.227969999999999</v>
      </c>
      <c r="E48" s="77">
        <f t="shared" si="8"/>
        <v>11.604149999999999</v>
      </c>
      <c r="F48" s="77">
        <f t="shared" si="9"/>
        <v>6.8641199999999989</v>
      </c>
      <c r="G48" s="77">
        <f t="shared" si="12"/>
        <v>4.41E-2</v>
      </c>
      <c r="H48" s="77">
        <f t="shared" si="12"/>
        <v>0.4995</v>
      </c>
      <c r="I48" s="77">
        <f t="shared" si="12"/>
        <v>2.2499999999999999E-2</v>
      </c>
      <c r="J48" s="77">
        <f t="shared" si="12"/>
        <v>4.5000000000000004E-4</v>
      </c>
      <c r="K48" s="77">
        <f t="shared" si="12"/>
        <v>2.2500000000000003E-3</v>
      </c>
      <c r="L48" s="77">
        <f t="shared" si="12"/>
        <v>2.9385000000000001E-2</v>
      </c>
      <c r="M48" s="77">
        <f t="shared" si="12"/>
        <v>0.22995000000000004</v>
      </c>
      <c r="N48" s="77">
        <f t="shared" si="12"/>
        <v>0</v>
      </c>
      <c r="O48" s="77">
        <f t="shared" si="12"/>
        <v>0</v>
      </c>
      <c r="P48" s="77">
        <f t="shared" si="12"/>
        <v>196.785</v>
      </c>
      <c r="Q48" s="77">
        <f t="shared" si="10"/>
        <v>491.96249999999998</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45</v>
      </c>
      <c r="C49" s="77">
        <f t="shared" si="6"/>
        <v>99.000000000000014</v>
      </c>
      <c r="D49" s="77">
        <f t="shared" si="7"/>
        <v>54.227969999999999</v>
      </c>
      <c r="E49" s="77">
        <f t="shared" si="8"/>
        <v>11.604149999999999</v>
      </c>
      <c r="F49" s="77">
        <f t="shared" si="9"/>
        <v>6.8641199999999989</v>
      </c>
      <c r="G49" s="77">
        <f t="shared" si="12"/>
        <v>4.41E-2</v>
      </c>
      <c r="H49" s="77">
        <f t="shared" si="12"/>
        <v>0.4995</v>
      </c>
      <c r="I49" s="77">
        <f t="shared" si="12"/>
        <v>2.2499999999999999E-2</v>
      </c>
      <c r="J49" s="77">
        <f t="shared" si="12"/>
        <v>4.5000000000000004E-4</v>
      </c>
      <c r="K49" s="77">
        <f t="shared" si="12"/>
        <v>2.2500000000000003E-3</v>
      </c>
      <c r="L49" s="77">
        <f t="shared" si="12"/>
        <v>2.9385000000000001E-2</v>
      </c>
      <c r="M49" s="77">
        <f t="shared" si="12"/>
        <v>0.22995000000000004</v>
      </c>
      <c r="N49" s="77">
        <f t="shared" si="12"/>
        <v>0</v>
      </c>
      <c r="O49" s="77">
        <f t="shared" si="12"/>
        <v>0</v>
      </c>
      <c r="P49" s="77">
        <f t="shared" si="12"/>
        <v>196.785</v>
      </c>
      <c r="Q49" s="77">
        <f t="shared" si="10"/>
        <v>491.96249999999998</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45</v>
      </c>
      <c r="C50" s="98">
        <f t="shared" si="6"/>
        <v>99.000000000000014</v>
      </c>
      <c r="D50" s="98">
        <f t="shared" si="7"/>
        <v>54.227969999999999</v>
      </c>
      <c r="E50" s="98">
        <f t="shared" si="8"/>
        <v>11.604149999999999</v>
      </c>
      <c r="F50" s="98">
        <f t="shared" si="9"/>
        <v>6.8641199999999989</v>
      </c>
      <c r="G50" s="98">
        <f t="shared" si="12"/>
        <v>4.41E-2</v>
      </c>
      <c r="H50" s="98">
        <f t="shared" si="12"/>
        <v>0.4995</v>
      </c>
      <c r="I50" s="98">
        <f t="shared" si="12"/>
        <v>2.2499999999999999E-2</v>
      </c>
      <c r="J50" s="98">
        <f t="shared" si="12"/>
        <v>4.5000000000000004E-4</v>
      </c>
      <c r="K50" s="98">
        <f t="shared" si="12"/>
        <v>2.2500000000000003E-3</v>
      </c>
      <c r="L50" s="98">
        <f t="shared" si="12"/>
        <v>2.9385000000000001E-2</v>
      </c>
      <c r="M50" s="98">
        <f t="shared" si="12"/>
        <v>0.22995000000000004</v>
      </c>
      <c r="N50" s="98">
        <f t="shared" si="12"/>
        <v>0</v>
      </c>
      <c r="O50" s="98">
        <f t="shared" si="12"/>
        <v>0</v>
      </c>
      <c r="P50" s="98">
        <f t="shared" si="12"/>
        <v>196.785</v>
      </c>
      <c r="Q50" s="98">
        <f t="shared" si="10"/>
        <v>491.96249999999998</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str">
        <f>N16&amp;" I "&amp;(VLOOKUP(N14,Table245[],6,FALSE))</f>
        <v>Medium/Clay I Arable</v>
      </c>
      <c r="N58" s="13" t="str">
        <f>O16&amp;" I "&amp;(VLOOKUP(O14,Table245[],6,FALSE))</f>
        <v>Medium/Clay I Arable</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6.7</v>
      </c>
      <c r="H59" s="76">
        <f>VLOOKUP(I$14,Table245[],5,FALSE)</f>
        <v>6.7</v>
      </c>
      <c r="I59" s="76">
        <f>VLOOKUP(J$14,Table245[],5,FALSE)</f>
        <v>6.7</v>
      </c>
      <c r="J59" s="76">
        <f>VLOOKUP(K$14,Table245[],5,FALSE)</f>
        <v>6.7</v>
      </c>
      <c r="K59" s="76">
        <f>VLOOKUP(L$14,Table245[],5,FALSE)</f>
        <v>6.7</v>
      </c>
      <c r="L59" s="76">
        <f>VLOOKUP(M$14,Table245[],5,FALSE)</f>
        <v>6.7</v>
      </c>
      <c r="M59" s="76">
        <f>VLOOKUP(N$14,Table245[],5,FALSE)</f>
        <v>6.7</v>
      </c>
      <c r="N59" s="76">
        <f>VLOOKUP(O$14,Table245[],5,FALSE)</f>
        <v>6.7</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45</v>
      </c>
      <c r="C62" s="77">
        <f>B32</f>
        <v>45</v>
      </c>
      <c r="D62" s="77">
        <f>B33</f>
        <v>45</v>
      </c>
      <c r="E62" s="77">
        <f>B34</f>
        <v>0</v>
      </c>
      <c r="F62" s="77">
        <f>B35</f>
        <v>45</v>
      </c>
      <c r="G62" s="77">
        <f>B36</f>
        <v>45</v>
      </c>
      <c r="H62" s="77">
        <f>B37</f>
        <v>45</v>
      </c>
      <c r="I62" s="77">
        <f>B38</f>
        <v>45</v>
      </c>
      <c r="J62" s="77">
        <f>B39</f>
        <v>45</v>
      </c>
      <c r="K62" s="77">
        <f>B40</f>
        <v>45</v>
      </c>
      <c r="L62" s="77">
        <f>B41</f>
        <v>37</v>
      </c>
      <c r="M62" s="77">
        <f>B42</f>
        <v>37</v>
      </c>
      <c r="N62" s="77">
        <f>B43</f>
        <v>37</v>
      </c>
      <c r="O62" s="77">
        <f>B44</f>
        <v>45</v>
      </c>
      <c r="P62" s="77">
        <f>B45</f>
        <v>45</v>
      </c>
      <c r="Q62" s="77">
        <f>B46</f>
        <v>45</v>
      </c>
      <c r="R62" s="77">
        <f>B47</f>
        <v>45</v>
      </c>
      <c r="S62" s="77">
        <f>B48</f>
        <v>45</v>
      </c>
      <c r="T62" s="77">
        <f>B49</f>
        <v>45</v>
      </c>
      <c r="U62" s="77">
        <f>B50</f>
        <v>45</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9" zoomScale="90" zoomScaleNormal="90" workbookViewId="0">
      <selection activeCell="A42" sqref="A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7.04</v>
      </c>
      <c r="J1" s="127" t="s">
        <v>153</v>
      </c>
      <c r="K1" s="127"/>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177</v>
      </c>
      <c r="G2" s="125" t="s">
        <v>110</v>
      </c>
      <c r="H2" s="126"/>
      <c r="I2" s="118">
        <v>613</v>
      </c>
      <c r="J2" s="127" t="s">
        <v>158</v>
      </c>
      <c r="K2" s="127"/>
      <c r="L2" s="97">
        <v>0.36</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v>4280</v>
      </c>
      <c r="J3" s="123" t="s">
        <v>154</v>
      </c>
      <c r="K3" s="124"/>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54.605984999999997</v>
      </c>
      <c r="D18" s="16">
        <f>$D32</f>
        <v>54.605984999999997</v>
      </c>
      <c r="E18" s="16">
        <f>$D33</f>
        <v>54.605984999999997</v>
      </c>
      <c r="F18" s="16">
        <f>$D34</f>
        <v>0</v>
      </c>
      <c r="G18" s="16">
        <f>$D35</f>
        <v>54.605984999999997</v>
      </c>
      <c r="H18" s="16">
        <f>$D36</f>
        <v>54.605984999999997</v>
      </c>
      <c r="I18" s="16">
        <f>$D37</f>
        <v>54.605984999999997</v>
      </c>
      <c r="J18" s="16">
        <f>$D38</f>
        <v>54.605984999999997</v>
      </c>
      <c r="K18" s="16">
        <f>$D39</f>
        <v>54.605984999999997</v>
      </c>
      <c r="L18" s="16">
        <f>$D40</f>
        <v>54.605984999999997</v>
      </c>
      <c r="M18" s="16">
        <f>$D41</f>
        <v>43.684788000000005</v>
      </c>
      <c r="N18" s="16">
        <f>$D42</f>
        <v>43.684788000000005</v>
      </c>
      <c r="O18" s="16">
        <f>$D43</f>
        <v>43.684788000000005</v>
      </c>
      <c r="P18" s="16">
        <f>$D44</f>
        <v>54.605984999999997</v>
      </c>
      <c r="Q18" s="16">
        <f>$D45</f>
        <v>54.605984999999997</v>
      </c>
      <c r="R18" s="16">
        <f>$D46</f>
        <v>54.605984999999997</v>
      </c>
      <c r="S18" s="16">
        <f>$D47</f>
        <v>54.605984999999997</v>
      </c>
      <c r="T18" s="16">
        <f>$D48</f>
        <v>54.605984999999997</v>
      </c>
      <c r="U18" s="16">
        <f>$D49</f>
        <v>54.605984999999997</v>
      </c>
      <c r="V18" s="25">
        <f>$D50</f>
        <v>54.605984999999997</v>
      </c>
      <c r="AD18" s="52" t="s">
        <v>147</v>
      </c>
      <c r="AE18" s="30">
        <v>16</v>
      </c>
      <c r="AI18" s="48" t="s">
        <v>106</v>
      </c>
      <c r="AJ18" s="49">
        <v>5.9</v>
      </c>
      <c r="AK18" s="50">
        <v>18</v>
      </c>
      <c r="AL18" s="51">
        <v>16</v>
      </c>
      <c r="AM18" s="11">
        <v>6.2</v>
      </c>
      <c r="AN18" s="11" t="s">
        <v>112</v>
      </c>
    </row>
    <row r="19" spans="1:40" x14ac:dyDescent="0.2">
      <c r="A19" s="131" t="s">
        <v>90</v>
      </c>
      <c r="B19" s="132"/>
      <c r="C19" s="16">
        <f>C18-C17</f>
        <v>-9.9940149999999974</v>
      </c>
      <c r="D19" s="16">
        <f t="shared" ref="D19:V19" si="1">D18-D17</f>
        <v>-9.9940149999999974</v>
      </c>
      <c r="E19" s="16">
        <f t="shared" si="1"/>
        <v>-9.9940149999999974</v>
      </c>
      <c r="F19" s="16">
        <f t="shared" si="1"/>
        <v>-64.599999999999994</v>
      </c>
      <c r="G19" s="16">
        <f t="shared" si="1"/>
        <v>-9.9940149999999974</v>
      </c>
      <c r="H19" s="16">
        <f t="shared" si="1"/>
        <v>-1.3940150000000031</v>
      </c>
      <c r="I19" s="16">
        <f t="shared" si="1"/>
        <v>-1.3940150000000031</v>
      </c>
      <c r="J19" s="16">
        <f t="shared" si="1"/>
        <v>-1.3940150000000031</v>
      </c>
      <c r="K19" s="16">
        <f t="shared" si="1"/>
        <v>-1.3940150000000031</v>
      </c>
      <c r="L19" s="16">
        <f t="shared" si="1"/>
        <v>-1.3940150000000031</v>
      </c>
      <c r="M19" s="16">
        <f t="shared" si="1"/>
        <v>-3.0652119999999954</v>
      </c>
      <c r="N19" s="16">
        <f t="shared" si="1"/>
        <v>-3.0652119999999954</v>
      </c>
      <c r="O19" s="16">
        <f t="shared" si="1"/>
        <v>-3.0652119999999954</v>
      </c>
      <c r="P19" s="16">
        <f t="shared" si="1"/>
        <v>45.255984999999995</v>
      </c>
      <c r="Q19" s="16">
        <f t="shared" si="1"/>
        <v>45.255984999999995</v>
      </c>
      <c r="R19" s="16">
        <f t="shared" si="1"/>
        <v>45.255984999999995</v>
      </c>
      <c r="S19" s="16">
        <f t="shared" si="1"/>
        <v>45.255984999999995</v>
      </c>
      <c r="T19" s="16">
        <f t="shared" si="1"/>
        <v>45.255984999999995</v>
      </c>
      <c r="U19" s="16">
        <f t="shared" si="1"/>
        <v>45.255984999999995</v>
      </c>
      <c r="V19" s="25">
        <f t="shared" si="1"/>
        <v>45.255984999999995</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(VLOOKUP(D$14,$AI2:$AK24,3,FALSE))*D$15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11.598125000000001</v>
      </c>
      <c r="D22" s="16">
        <f>$E32</f>
        <v>11.598125000000001</v>
      </c>
      <c r="E22" s="16">
        <f>$E33</f>
        <v>11.598125000000001</v>
      </c>
      <c r="F22" s="16">
        <f>$E34</f>
        <v>0</v>
      </c>
      <c r="G22" s="16">
        <f>$E35</f>
        <v>11.598125000000001</v>
      </c>
      <c r="H22" s="16">
        <f>$E36</f>
        <v>11.598125000000001</v>
      </c>
      <c r="I22" s="16">
        <f>$E37</f>
        <v>11.598125000000001</v>
      </c>
      <c r="J22" s="16">
        <f>$E38</f>
        <v>11.598125000000001</v>
      </c>
      <c r="K22" s="16">
        <f>$E39</f>
        <v>11.598125000000001</v>
      </c>
      <c r="L22" s="16">
        <f>$E40</f>
        <v>11.598125000000001</v>
      </c>
      <c r="M22" s="16">
        <f>$E41</f>
        <v>9.2785000000000011</v>
      </c>
      <c r="N22" s="16">
        <f>$E42</f>
        <v>9.2785000000000011</v>
      </c>
      <c r="O22" s="16">
        <f>$E43</f>
        <v>9.2785000000000011</v>
      </c>
      <c r="P22" s="16">
        <f>$E44</f>
        <v>11.598125000000001</v>
      </c>
      <c r="Q22" s="16">
        <f>$E45</f>
        <v>11.598125000000001</v>
      </c>
      <c r="R22" s="16">
        <f>$E46</f>
        <v>11.598125000000001</v>
      </c>
      <c r="S22" s="16">
        <f>$E47</f>
        <v>11.598125000000001</v>
      </c>
      <c r="T22" s="16">
        <f>$E48</f>
        <v>11.598125000000001</v>
      </c>
      <c r="U22" s="16">
        <f>$E49</f>
        <v>11.598125000000001</v>
      </c>
      <c r="V22" s="16">
        <f>$E50</f>
        <v>11.598125000000001</v>
      </c>
      <c r="AI22" s="63" t="s">
        <v>102</v>
      </c>
      <c r="AJ22" s="64">
        <v>1.2</v>
      </c>
      <c r="AK22" s="65">
        <v>5</v>
      </c>
      <c r="AL22" s="29">
        <v>20</v>
      </c>
      <c r="AM22" s="11">
        <v>6.7</v>
      </c>
      <c r="AN22" s="11" t="s">
        <v>135</v>
      </c>
    </row>
    <row r="23" spans="1:40" x14ac:dyDescent="0.2">
      <c r="A23" s="131" t="s">
        <v>92</v>
      </c>
      <c r="B23" s="132"/>
      <c r="C23" s="16">
        <f>C22-C21</f>
        <v>-216.40187499999999</v>
      </c>
      <c r="D23" s="16">
        <f t="shared" ref="D23:V23" si="3">D22-D21</f>
        <v>-216.40187499999999</v>
      </c>
      <c r="E23" s="16">
        <f t="shared" si="3"/>
        <v>-216.40187499999999</v>
      </c>
      <c r="F23" s="16">
        <f t="shared" si="3"/>
        <v>-228</v>
      </c>
      <c r="G23" s="16">
        <f t="shared" si="3"/>
        <v>-216.40187499999999</v>
      </c>
      <c r="H23" s="16">
        <f t="shared" si="3"/>
        <v>-164.40187499999999</v>
      </c>
      <c r="I23" s="16">
        <f t="shared" si="3"/>
        <v>-164.40187499999999</v>
      </c>
      <c r="J23" s="16">
        <f t="shared" si="3"/>
        <v>-164.40187499999999</v>
      </c>
      <c r="K23" s="16">
        <f t="shared" si="3"/>
        <v>-164.40187499999999</v>
      </c>
      <c r="L23" s="16">
        <f t="shared" si="3"/>
        <v>-164.40187499999999</v>
      </c>
      <c r="M23" s="16">
        <f t="shared" si="3"/>
        <v>-56.721499999999999</v>
      </c>
      <c r="N23" s="16">
        <f t="shared" si="3"/>
        <v>-56.721499999999999</v>
      </c>
      <c r="O23" s="16">
        <f t="shared" si="3"/>
        <v>-56.721499999999999</v>
      </c>
      <c r="P23" s="16">
        <f t="shared" si="3"/>
        <v>-21.401874999999997</v>
      </c>
      <c r="Q23" s="16">
        <f t="shared" si="3"/>
        <v>-21.401874999999997</v>
      </c>
      <c r="R23" s="16">
        <f t="shared" si="3"/>
        <v>-21.401874999999997</v>
      </c>
      <c r="S23" s="16">
        <f t="shared" si="3"/>
        <v>-21.401874999999997</v>
      </c>
      <c r="T23" s="16">
        <f t="shared" si="3"/>
        <v>-21.401874999999997</v>
      </c>
      <c r="U23" s="16">
        <f t="shared" si="3"/>
        <v>-21.401874999999997</v>
      </c>
      <c r="V23" s="16">
        <f t="shared" si="3"/>
        <v>-21.401874999999997</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5.33</v>
      </c>
      <c r="C28" s="15">
        <v>0.36</v>
      </c>
      <c r="D28" s="15">
        <v>681</v>
      </c>
      <c r="E28" s="15">
        <v>275</v>
      </c>
      <c r="F28" s="15">
        <v>212</v>
      </c>
      <c r="G28" s="15">
        <v>1.98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35</v>
      </c>
      <c r="C31" s="77">
        <f>IF(C$27="%w/w SAR",((C$28*10)*$B31),IF(C$27="%w/w DM",(((C$28*10)*($B$28/100))*$B31),IF(C$27="kg/t SAR",(C$28*$B31),IF(C$27="kg/t DM",((C$28*($B$28/100))*$B31),IF(C$27="mg/kg SAR",((C$28*0.001)*$B31),IF(C$27="mg/kg DM",(((C$28*0.001)*($B$28/100))*$B31),0))))))</f>
        <v>125.99999999999999</v>
      </c>
      <c r="D31" s="77">
        <f>(IF(D$27="%w/w SAR",((D$28*10)*$B31),IF(D$27="%w/w DM",(((D$28*10)*($B$28/100))*$B31),IF(D$27="kg/t SAR",(D$28*$B31),IF(D$27="kg/t DM",((D$28*($B$28/100))*$B31),IF(D$27="mg/kg SAR",((D$28*0.001)*$B31),IF(D$27="mg/kg DM",(((D$28*0.001)*($B$28/100))*$B31),"0")))))))*2.291</f>
        <v>54.605984999999997</v>
      </c>
      <c r="E31" s="77">
        <f>(IF(E$27="%w/w SAR",((E$28*10)*$B31),IF(E$27="%w/w DM",(((E$28*10)*($B$28/100))*$B31),IF(E$27="kg/t SAR",(E$28*$B31),IF(E$27="kg/t DM",((E$28*($B$28/100))*$B31),IF(E$27="mg/kg SAR",((E$28*0.001)*$B31),IF(E$27="mg/kg DM",(((E$28*0.001)*($B$28/100))*$B31),"0")))))))*1.205</f>
        <v>11.598125000000001</v>
      </c>
      <c r="F31" s="77">
        <f>(IF(F$27="%w/w SAR",((F$28*10)*$B31),IF(F$27="%w/w DM",(((F$28*10)*($B$28/100))*$B31),IF(F$27="kg/t SAR",(F$28*$B31),IF(F$27="kg/t DM",((F$28*($B$28/100))*$B31),IF(F$27="mg/kg SAR",((F$28*0.001)*$B31),IF(F$27="mg/kg DM",(((F$28*0.001)*($B$28/100))*$B31),"0")))))))*1.658</f>
        <v>12.302359999999998</v>
      </c>
      <c r="G31" s="77">
        <f t="shared" ref="G31:P46" si="5">IF(G$27="%w/w SAR",((G$28*10)*$B31),IF(G$27="%w/w DM",(((G$28*10)*($B$28/100))*$B31),IF(G$27="kg/t SAR",(G$28*$B31),IF(G$27="kg/t DM",((G$28*($B$28/100))*$B31),IF(G$27="mg/kg SAR",((G$28*0.001)*$B31),IF(G$27="mg/kg DM",(((G$28*0.001)*($B$28/100))*$B31),0))))))</f>
        <v>6.93E-2</v>
      </c>
      <c r="H31" s="77">
        <f t="shared" si="5"/>
        <v>0.39200000000000002</v>
      </c>
      <c r="I31" s="77">
        <f t="shared" si="5"/>
        <v>1.7500000000000002E-2</v>
      </c>
      <c r="J31" s="77">
        <f t="shared" si="5"/>
        <v>5.5999999999999995E-4</v>
      </c>
      <c r="K31" s="77">
        <f t="shared" si="5"/>
        <v>1.75E-3</v>
      </c>
      <c r="L31" s="77">
        <f t="shared" si="5"/>
        <v>1.1130000000000001E-2</v>
      </c>
      <c r="M31" s="77">
        <f t="shared" si="5"/>
        <v>1.8655000000000001E-2</v>
      </c>
      <c r="N31" s="77">
        <f t="shared" si="5"/>
        <v>0</v>
      </c>
      <c r="O31" s="77">
        <f t="shared" si="5"/>
        <v>0</v>
      </c>
      <c r="P31" s="77">
        <f t="shared" si="5"/>
        <v>14.525000000000002</v>
      </c>
      <c r="Q31" s="77">
        <f>(IF(Q$27="%w/w SAR",((Q$28*10)*$B31),IF(Q$27="%w/w DM",(((Q$28*10)*($B$28/100))*$B31),IF(Q$27="kg/t SAR",(Q$28*$B31),IF(Q$27="kg/t DM",((Q$28*($B$28/100))*$B31),IF(Q$27="mg/kg SAR",((Q$28*0.001)*$B31),IF(Q$27="mg/kg DM",(((Q$28*0.001)*($B$28/100))*$B31),0)))))))*2.5</f>
        <v>62.212499999999991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35</v>
      </c>
      <c r="C32" s="77">
        <f t="shared" ref="C32:C50" si="6">IF(C$27="%w/w SAR",((C$28*10)*$B32),IF(C$27="%w/w DM",(((C$28*10)*($B$28/100))*$B32),IF(C$27="kg/t SAR",(C$28*$B32),IF(C$27="kg/t DM",((C$28*($B$28/100))*$B32),IF(C$27="mg/kg SAR",((C$28*0.001)*$B32),IF(C$27="mg/kg DM",(((C$28*0.001)*($B$28/100))*$B32),0))))))</f>
        <v>125.99999999999999</v>
      </c>
      <c r="D32" s="77">
        <f t="shared" ref="D32:D50" si="7">(IF(D$27="%w/w SAR",((D$28*10)*$B32),IF(D$27="%w/w DM",(((D$28*10)*($B$28/100))*$B32),IF(D$27="kg/t SAR",(D$28*$B32),IF(D$27="kg/t DM",((D$28*($B$28/100))*$B32),IF(D$27="mg/kg SAR",((D$28*0.001)*$B32),IF(D$27="mg/kg DM",(((D$28*0.001)*($B$28/100))*$B32),"0")))))))*2.291</f>
        <v>54.605984999999997</v>
      </c>
      <c r="E32" s="77">
        <f t="shared" ref="E32:E50" si="8">(IF(E$27="%w/w SAR",((E$28*10)*$B32),IF(E$27="%w/w DM",(((E$28*10)*($B$28/100))*$B32),IF(E$27="kg/t SAR",(E$28*$B32),IF(E$27="kg/t DM",((E$28*($B$28/100))*$B32),IF(E$27="mg/kg SAR",((E$28*0.001)*$B32),IF(E$27="mg/kg DM",(((E$28*0.001)*($B$28/100))*$B32),"0")))))))*1.205</f>
        <v>11.598125000000001</v>
      </c>
      <c r="F32" s="77">
        <f t="shared" ref="F32:F50" si="9">(IF(F$27="%w/w SAR",((F$28*10)*$B32),IF(F$27="%w/w DM",(((F$28*10)*($B$28/100))*$B32),IF(F$27="kg/t SAR",(F$28*$B32),IF(F$27="kg/t DM",((F$28*($B$28/100))*$B32),IF(F$27="mg/kg SAR",((F$28*0.001)*$B32),IF(F$27="mg/kg DM",(((F$28*0.001)*($B$28/100))*$B32),"0")))))))*1.658</f>
        <v>12.302359999999998</v>
      </c>
      <c r="G32" s="77">
        <f t="shared" si="5"/>
        <v>6.93E-2</v>
      </c>
      <c r="H32" s="77">
        <f t="shared" si="5"/>
        <v>0.39200000000000002</v>
      </c>
      <c r="I32" s="77">
        <f t="shared" si="5"/>
        <v>1.7500000000000002E-2</v>
      </c>
      <c r="J32" s="77">
        <f t="shared" si="5"/>
        <v>5.5999999999999995E-4</v>
      </c>
      <c r="K32" s="77">
        <f t="shared" si="5"/>
        <v>1.75E-3</v>
      </c>
      <c r="L32" s="77">
        <f t="shared" si="5"/>
        <v>1.1130000000000001E-2</v>
      </c>
      <c r="M32" s="77">
        <f t="shared" si="5"/>
        <v>1.8655000000000001E-2</v>
      </c>
      <c r="N32" s="77">
        <f t="shared" si="5"/>
        <v>0</v>
      </c>
      <c r="O32" s="77">
        <f t="shared" si="5"/>
        <v>0</v>
      </c>
      <c r="P32" s="77">
        <f t="shared" si="5"/>
        <v>14.525000000000002</v>
      </c>
      <c r="Q32" s="77">
        <f t="shared" ref="Q32:Q50" si="10">(IF(Q$27="%w/w SAR",((Q$28*10)*$B32),IF(Q$27="%w/w DM",(((Q$28*10)*($B$28/100))*$B32),IF(Q$27="kg/t SAR",(Q$28*$B32),IF(Q$27="kg/t DM",((Q$28*($B$28/100))*$B32),IF(Q$27="mg/kg SAR",((Q$28*0.001)*$B32),IF(Q$27="mg/kg DM",(((Q$28*0.001)*($B$28/100))*$B32),0)))))))*2.5</f>
        <v>62.212499999999991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35</v>
      </c>
      <c r="C33" s="77">
        <f t="shared" si="6"/>
        <v>125.99999999999999</v>
      </c>
      <c r="D33" s="77">
        <f t="shared" si="7"/>
        <v>54.605984999999997</v>
      </c>
      <c r="E33" s="77">
        <f t="shared" si="8"/>
        <v>11.598125000000001</v>
      </c>
      <c r="F33" s="77">
        <f t="shared" si="9"/>
        <v>12.302359999999998</v>
      </c>
      <c r="G33" s="77">
        <f t="shared" si="5"/>
        <v>6.93E-2</v>
      </c>
      <c r="H33" s="77">
        <f t="shared" si="5"/>
        <v>0.39200000000000002</v>
      </c>
      <c r="I33" s="77">
        <f t="shared" si="5"/>
        <v>1.7500000000000002E-2</v>
      </c>
      <c r="J33" s="77">
        <f t="shared" si="5"/>
        <v>5.5999999999999995E-4</v>
      </c>
      <c r="K33" s="77">
        <f t="shared" si="5"/>
        <v>1.75E-3</v>
      </c>
      <c r="L33" s="77">
        <f t="shared" si="5"/>
        <v>1.1130000000000001E-2</v>
      </c>
      <c r="M33" s="77">
        <f t="shared" si="5"/>
        <v>1.8655000000000001E-2</v>
      </c>
      <c r="N33" s="77">
        <f t="shared" si="5"/>
        <v>0</v>
      </c>
      <c r="O33" s="77">
        <f t="shared" si="5"/>
        <v>0</v>
      </c>
      <c r="P33" s="77">
        <f t="shared" si="5"/>
        <v>14.525000000000002</v>
      </c>
      <c r="Q33" s="77">
        <f t="shared" si="10"/>
        <v>62.212499999999991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35</v>
      </c>
      <c r="C35" s="77">
        <f t="shared" si="6"/>
        <v>125.99999999999999</v>
      </c>
      <c r="D35" s="77">
        <f t="shared" si="7"/>
        <v>54.605984999999997</v>
      </c>
      <c r="E35" s="77">
        <f t="shared" si="8"/>
        <v>11.598125000000001</v>
      </c>
      <c r="F35" s="77">
        <f t="shared" si="9"/>
        <v>12.302359999999998</v>
      </c>
      <c r="G35" s="77">
        <f t="shared" si="5"/>
        <v>6.93E-2</v>
      </c>
      <c r="H35" s="77">
        <f t="shared" si="5"/>
        <v>0.39200000000000002</v>
      </c>
      <c r="I35" s="77">
        <f t="shared" si="5"/>
        <v>1.7500000000000002E-2</v>
      </c>
      <c r="J35" s="77">
        <f t="shared" si="5"/>
        <v>5.5999999999999995E-4</v>
      </c>
      <c r="K35" s="77">
        <f t="shared" si="5"/>
        <v>1.75E-3</v>
      </c>
      <c r="L35" s="77">
        <f t="shared" si="5"/>
        <v>1.1130000000000001E-2</v>
      </c>
      <c r="M35" s="77">
        <f t="shared" si="5"/>
        <v>1.8655000000000001E-2</v>
      </c>
      <c r="N35" s="77">
        <f t="shared" si="5"/>
        <v>0</v>
      </c>
      <c r="O35" s="77">
        <f t="shared" si="5"/>
        <v>0</v>
      </c>
      <c r="P35" s="77">
        <f t="shared" si="5"/>
        <v>14.525000000000002</v>
      </c>
      <c r="Q35" s="77">
        <f t="shared" si="10"/>
        <v>62.212499999999991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35</v>
      </c>
      <c r="C36" s="77">
        <f t="shared" si="6"/>
        <v>125.99999999999999</v>
      </c>
      <c r="D36" s="77">
        <f t="shared" si="7"/>
        <v>54.605984999999997</v>
      </c>
      <c r="E36" s="77">
        <f t="shared" si="8"/>
        <v>11.598125000000001</v>
      </c>
      <c r="F36" s="77">
        <f t="shared" si="9"/>
        <v>12.302359999999998</v>
      </c>
      <c r="G36" s="77">
        <f t="shared" si="5"/>
        <v>6.93E-2</v>
      </c>
      <c r="H36" s="77">
        <f t="shared" si="5"/>
        <v>0.39200000000000002</v>
      </c>
      <c r="I36" s="77">
        <f t="shared" si="5"/>
        <v>1.7500000000000002E-2</v>
      </c>
      <c r="J36" s="77">
        <f t="shared" si="5"/>
        <v>5.5999999999999995E-4</v>
      </c>
      <c r="K36" s="77">
        <f t="shared" si="5"/>
        <v>1.75E-3</v>
      </c>
      <c r="L36" s="77">
        <f t="shared" si="5"/>
        <v>1.1130000000000001E-2</v>
      </c>
      <c r="M36" s="77">
        <f t="shared" si="5"/>
        <v>1.8655000000000001E-2</v>
      </c>
      <c r="N36" s="77">
        <f t="shared" si="5"/>
        <v>0</v>
      </c>
      <c r="O36" s="77">
        <f t="shared" si="5"/>
        <v>0</v>
      </c>
      <c r="P36" s="77">
        <f t="shared" si="5"/>
        <v>14.525000000000002</v>
      </c>
      <c r="Q36" s="77">
        <f t="shared" si="10"/>
        <v>62.212499999999991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35</v>
      </c>
      <c r="C37" s="77">
        <f t="shared" si="6"/>
        <v>125.99999999999999</v>
      </c>
      <c r="D37" s="77">
        <f t="shared" si="7"/>
        <v>54.605984999999997</v>
      </c>
      <c r="E37" s="77">
        <f t="shared" si="8"/>
        <v>11.598125000000001</v>
      </c>
      <c r="F37" s="77">
        <f t="shared" si="9"/>
        <v>12.302359999999998</v>
      </c>
      <c r="G37" s="77">
        <f t="shared" si="5"/>
        <v>6.93E-2</v>
      </c>
      <c r="H37" s="77">
        <f t="shared" si="5"/>
        <v>0.39200000000000002</v>
      </c>
      <c r="I37" s="77">
        <f t="shared" si="5"/>
        <v>1.7500000000000002E-2</v>
      </c>
      <c r="J37" s="77">
        <f t="shared" si="5"/>
        <v>5.5999999999999995E-4</v>
      </c>
      <c r="K37" s="77">
        <f t="shared" si="5"/>
        <v>1.75E-3</v>
      </c>
      <c r="L37" s="77">
        <f t="shared" si="5"/>
        <v>1.1130000000000001E-2</v>
      </c>
      <c r="M37" s="77">
        <f t="shared" si="5"/>
        <v>1.8655000000000001E-2</v>
      </c>
      <c r="N37" s="77">
        <f t="shared" si="5"/>
        <v>0</v>
      </c>
      <c r="O37" s="77">
        <f t="shared" si="5"/>
        <v>0</v>
      </c>
      <c r="P37" s="77">
        <f t="shared" si="5"/>
        <v>14.525000000000002</v>
      </c>
      <c r="Q37" s="77">
        <f t="shared" si="10"/>
        <v>62.212499999999991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35</v>
      </c>
      <c r="C38" s="77">
        <f t="shared" si="6"/>
        <v>125.99999999999999</v>
      </c>
      <c r="D38" s="77">
        <f t="shared" si="7"/>
        <v>54.605984999999997</v>
      </c>
      <c r="E38" s="77">
        <f t="shared" si="8"/>
        <v>11.598125000000001</v>
      </c>
      <c r="F38" s="77">
        <f t="shared" si="9"/>
        <v>12.302359999999998</v>
      </c>
      <c r="G38" s="77">
        <f t="shared" si="5"/>
        <v>6.93E-2</v>
      </c>
      <c r="H38" s="77">
        <f t="shared" si="5"/>
        <v>0.39200000000000002</v>
      </c>
      <c r="I38" s="77">
        <f t="shared" si="5"/>
        <v>1.7500000000000002E-2</v>
      </c>
      <c r="J38" s="77">
        <f t="shared" si="5"/>
        <v>5.5999999999999995E-4</v>
      </c>
      <c r="K38" s="77">
        <f t="shared" si="5"/>
        <v>1.75E-3</v>
      </c>
      <c r="L38" s="77">
        <f t="shared" si="5"/>
        <v>1.1130000000000001E-2</v>
      </c>
      <c r="M38" s="77">
        <f t="shared" si="5"/>
        <v>1.8655000000000001E-2</v>
      </c>
      <c r="N38" s="77">
        <f t="shared" si="5"/>
        <v>0</v>
      </c>
      <c r="O38" s="77">
        <f t="shared" si="5"/>
        <v>0</v>
      </c>
      <c r="P38" s="77">
        <f t="shared" si="5"/>
        <v>14.525000000000002</v>
      </c>
      <c r="Q38" s="77">
        <f t="shared" si="10"/>
        <v>62.212499999999991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35</v>
      </c>
      <c r="C39" s="77">
        <f t="shared" si="6"/>
        <v>125.99999999999999</v>
      </c>
      <c r="D39" s="77">
        <f t="shared" si="7"/>
        <v>54.605984999999997</v>
      </c>
      <c r="E39" s="77">
        <f t="shared" si="8"/>
        <v>11.598125000000001</v>
      </c>
      <c r="F39" s="77">
        <f t="shared" si="9"/>
        <v>12.302359999999998</v>
      </c>
      <c r="G39" s="77">
        <f t="shared" si="5"/>
        <v>6.93E-2</v>
      </c>
      <c r="H39" s="77">
        <f t="shared" si="5"/>
        <v>0.39200000000000002</v>
      </c>
      <c r="I39" s="77">
        <f t="shared" si="5"/>
        <v>1.7500000000000002E-2</v>
      </c>
      <c r="J39" s="77">
        <f t="shared" si="5"/>
        <v>5.5999999999999995E-4</v>
      </c>
      <c r="K39" s="77">
        <f t="shared" si="5"/>
        <v>1.75E-3</v>
      </c>
      <c r="L39" s="77">
        <f t="shared" si="5"/>
        <v>1.1130000000000001E-2</v>
      </c>
      <c r="M39" s="77">
        <f t="shared" si="5"/>
        <v>1.8655000000000001E-2</v>
      </c>
      <c r="N39" s="77">
        <f t="shared" si="5"/>
        <v>0</v>
      </c>
      <c r="O39" s="77">
        <f t="shared" si="5"/>
        <v>0</v>
      </c>
      <c r="P39" s="77">
        <f t="shared" si="5"/>
        <v>14.525000000000002</v>
      </c>
      <c r="Q39" s="77">
        <f t="shared" si="10"/>
        <v>62.212499999999991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35</v>
      </c>
      <c r="C40" s="77">
        <f t="shared" si="6"/>
        <v>125.99999999999999</v>
      </c>
      <c r="D40" s="77">
        <f t="shared" si="7"/>
        <v>54.605984999999997</v>
      </c>
      <c r="E40" s="77">
        <f t="shared" si="8"/>
        <v>11.598125000000001</v>
      </c>
      <c r="F40" s="77">
        <f t="shared" si="9"/>
        <v>12.302359999999998</v>
      </c>
      <c r="G40" s="77">
        <f t="shared" si="5"/>
        <v>6.93E-2</v>
      </c>
      <c r="H40" s="77">
        <f t="shared" si="5"/>
        <v>0.39200000000000002</v>
      </c>
      <c r="I40" s="77">
        <f t="shared" si="5"/>
        <v>1.7500000000000002E-2</v>
      </c>
      <c r="J40" s="77">
        <f t="shared" si="5"/>
        <v>5.5999999999999995E-4</v>
      </c>
      <c r="K40" s="77">
        <f t="shared" si="5"/>
        <v>1.75E-3</v>
      </c>
      <c r="L40" s="77">
        <f t="shared" si="5"/>
        <v>1.1130000000000001E-2</v>
      </c>
      <c r="M40" s="77">
        <f t="shared" si="5"/>
        <v>1.8655000000000001E-2</v>
      </c>
      <c r="N40" s="77">
        <f t="shared" si="5"/>
        <v>0</v>
      </c>
      <c r="O40" s="77">
        <f t="shared" si="5"/>
        <v>0</v>
      </c>
      <c r="P40" s="77">
        <f t="shared" si="5"/>
        <v>14.525000000000002</v>
      </c>
      <c r="Q40" s="77">
        <f t="shared" si="10"/>
        <v>62.212499999999991</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28</v>
      </c>
      <c r="C41" s="77">
        <f t="shared" si="6"/>
        <v>100.79999999999998</v>
      </c>
      <c r="D41" s="77">
        <f t="shared" si="7"/>
        <v>43.684788000000005</v>
      </c>
      <c r="E41" s="77">
        <f t="shared" si="8"/>
        <v>9.2785000000000011</v>
      </c>
      <c r="F41" s="77">
        <f t="shared" si="9"/>
        <v>9.8418879999999991</v>
      </c>
      <c r="G41" s="77">
        <f t="shared" si="5"/>
        <v>5.5440000000000003E-2</v>
      </c>
      <c r="H41" s="77">
        <f t="shared" si="5"/>
        <v>0.31359999999999999</v>
      </c>
      <c r="I41" s="77">
        <f t="shared" si="5"/>
        <v>1.4E-2</v>
      </c>
      <c r="J41" s="77">
        <f t="shared" si="5"/>
        <v>4.4799999999999999E-4</v>
      </c>
      <c r="K41" s="77">
        <f t="shared" si="5"/>
        <v>1.4E-3</v>
      </c>
      <c r="L41" s="77">
        <f t="shared" si="5"/>
        <v>8.9040000000000005E-3</v>
      </c>
      <c r="M41" s="77">
        <f t="shared" si="5"/>
        <v>1.4924000000000002E-2</v>
      </c>
      <c r="N41" s="77">
        <f t="shared" si="5"/>
        <v>0</v>
      </c>
      <c r="O41" s="77">
        <f t="shared" si="5"/>
        <v>0</v>
      </c>
      <c r="P41" s="77">
        <f t="shared" si="5"/>
        <v>11.620000000000001</v>
      </c>
      <c r="Q41" s="77">
        <f t="shared" si="10"/>
        <v>49.769999999999996</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28</v>
      </c>
      <c r="C42" s="77">
        <f t="shared" si="6"/>
        <v>100.79999999999998</v>
      </c>
      <c r="D42" s="77">
        <f t="shared" si="7"/>
        <v>43.684788000000005</v>
      </c>
      <c r="E42" s="77">
        <f t="shared" si="8"/>
        <v>9.2785000000000011</v>
      </c>
      <c r="F42" s="77">
        <f t="shared" si="9"/>
        <v>9.8418879999999991</v>
      </c>
      <c r="G42" s="77">
        <f t="shared" si="5"/>
        <v>5.5440000000000003E-2</v>
      </c>
      <c r="H42" s="77">
        <f t="shared" si="5"/>
        <v>0.31359999999999999</v>
      </c>
      <c r="I42" s="77">
        <f t="shared" si="5"/>
        <v>1.4E-2</v>
      </c>
      <c r="J42" s="77">
        <f t="shared" si="5"/>
        <v>4.4799999999999999E-4</v>
      </c>
      <c r="K42" s="77">
        <f t="shared" si="5"/>
        <v>1.4E-3</v>
      </c>
      <c r="L42" s="77">
        <f t="shared" si="5"/>
        <v>8.9040000000000005E-3</v>
      </c>
      <c r="M42" s="77">
        <f t="shared" si="5"/>
        <v>1.4924000000000002E-2</v>
      </c>
      <c r="N42" s="77">
        <f t="shared" si="5"/>
        <v>0</v>
      </c>
      <c r="O42" s="77">
        <f t="shared" si="5"/>
        <v>0</v>
      </c>
      <c r="P42" s="77">
        <f t="shared" si="5"/>
        <v>11.620000000000001</v>
      </c>
      <c r="Q42" s="77">
        <f t="shared" si="10"/>
        <v>49.769999999999996</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28</v>
      </c>
      <c r="C43" s="77">
        <f t="shared" si="6"/>
        <v>100.79999999999998</v>
      </c>
      <c r="D43" s="77">
        <f t="shared" si="7"/>
        <v>43.684788000000005</v>
      </c>
      <c r="E43" s="77">
        <f t="shared" si="8"/>
        <v>9.2785000000000011</v>
      </c>
      <c r="F43" s="77">
        <f t="shared" si="9"/>
        <v>9.8418879999999991</v>
      </c>
      <c r="G43" s="77">
        <f t="shared" si="5"/>
        <v>5.5440000000000003E-2</v>
      </c>
      <c r="H43" s="77">
        <f t="shared" si="5"/>
        <v>0.31359999999999999</v>
      </c>
      <c r="I43" s="77">
        <f t="shared" si="5"/>
        <v>1.4E-2</v>
      </c>
      <c r="J43" s="77">
        <f t="shared" si="5"/>
        <v>4.4799999999999999E-4</v>
      </c>
      <c r="K43" s="77">
        <f t="shared" si="5"/>
        <v>1.4E-3</v>
      </c>
      <c r="L43" s="77">
        <f t="shared" si="5"/>
        <v>8.9040000000000005E-3</v>
      </c>
      <c r="M43" s="77">
        <f t="shared" si="5"/>
        <v>1.4924000000000002E-2</v>
      </c>
      <c r="N43" s="77">
        <f t="shared" si="5"/>
        <v>0</v>
      </c>
      <c r="O43" s="77">
        <f t="shared" si="5"/>
        <v>0</v>
      </c>
      <c r="P43" s="77">
        <f t="shared" si="5"/>
        <v>11.620000000000001</v>
      </c>
      <c r="Q43" s="77">
        <f t="shared" si="10"/>
        <v>49.769999999999996</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35</v>
      </c>
      <c r="C44" s="77">
        <f t="shared" si="6"/>
        <v>125.99999999999999</v>
      </c>
      <c r="D44" s="77">
        <f t="shared" si="7"/>
        <v>54.605984999999997</v>
      </c>
      <c r="E44" s="77">
        <f t="shared" si="8"/>
        <v>11.598125000000001</v>
      </c>
      <c r="F44" s="77">
        <f t="shared" si="9"/>
        <v>12.302359999999998</v>
      </c>
      <c r="G44" s="77">
        <f t="shared" si="5"/>
        <v>6.93E-2</v>
      </c>
      <c r="H44" s="77">
        <f t="shared" si="5"/>
        <v>0.39200000000000002</v>
      </c>
      <c r="I44" s="77">
        <f t="shared" si="5"/>
        <v>1.7500000000000002E-2</v>
      </c>
      <c r="J44" s="77">
        <f t="shared" si="5"/>
        <v>5.5999999999999995E-4</v>
      </c>
      <c r="K44" s="77">
        <f t="shared" si="5"/>
        <v>1.75E-3</v>
      </c>
      <c r="L44" s="77">
        <f t="shared" si="5"/>
        <v>1.1130000000000001E-2</v>
      </c>
      <c r="M44" s="77">
        <f t="shared" si="5"/>
        <v>1.8655000000000001E-2</v>
      </c>
      <c r="N44" s="77">
        <f t="shared" si="5"/>
        <v>0</v>
      </c>
      <c r="O44" s="77">
        <f t="shared" si="5"/>
        <v>0</v>
      </c>
      <c r="P44" s="77">
        <f t="shared" si="5"/>
        <v>14.525000000000002</v>
      </c>
      <c r="Q44" s="77">
        <f t="shared" si="10"/>
        <v>62.212499999999991</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35</v>
      </c>
      <c r="C45" s="77">
        <f t="shared" si="6"/>
        <v>125.99999999999999</v>
      </c>
      <c r="D45" s="77">
        <f t="shared" si="7"/>
        <v>54.605984999999997</v>
      </c>
      <c r="E45" s="77">
        <f t="shared" si="8"/>
        <v>11.598125000000001</v>
      </c>
      <c r="F45" s="77">
        <f t="shared" si="9"/>
        <v>12.302359999999998</v>
      </c>
      <c r="G45" s="77">
        <f t="shared" si="5"/>
        <v>6.93E-2</v>
      </c>
      <c r="H45" s="77">
        <f t="shared" si="5"/>
        <v>0.39200000000000002</v>
      </c>
      <c r="I45" s="77">
        <f t="shared" si="5"/>
        <v>1.7500000000000002E-2</v>
      </c>
      <c r="J45" s="77">
        <f t="shared" si="5"/>
        <v>5.5999999999999995E-4</v>
      </c>
      <c r="K45" s="77">
        <f t="shared" si="5"/>
        <v>1.75E-3</v>
      </c>
      <c r="L45" s="77">
        <f t="shared" si="5"/>
        <v>1.1130000000000001E-2</v>
      </c>
      <c r="M45" s="77">
        <f t="shared" si="5"/>
        <v>1.8655000000000001E-2</v>
      </c>
      <c r="N45" s="77">
        <f t="shared" si="5"/>
        <v>0</v>
      </c>
      <c r="O45" s="77">
        <f t="shared" si="5"/>
        <v>0</v>
      </c>
      <c r="P45" s="77">
        <f t="shared" si="5"/>
        <v>14.525000000000002</v>
      </c>
      <c r="Q45" s="77">
        <f t="shared" si="10"/>
        <v>62.212499999999991</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35</v>
      </c>
      <c r="C46" s="77">
        <f t="shared" si="6"/>
        <v>125.99999999999999</v>
      </c>
      <c r="D46" s="77">
        <f t="shared" si="7"/>
        <v>54.605984999999997</v>
      </c>
      <c r="E46" s="77">
        <f t="shared" si="8"/>
        <v>11.598125000000001</v>
      </c>
      <c r="F46" s="77">
        <f t="shared" si="9"/>
        <v>12.302359999999998</v>
      </c>
      <c r="G46" s="77">
        <f t="shared" si="5"/>
        <v>6.93E-2</v>
      </c>
      <c r="H46" s="77">
        <f t="shared" si="5"/>
        <v>0.39200000000000002</v>
      </c>
      <c r="I46" s="77">
        <f t="shared" si="5"/>
        <v>1.7500000000000002E-2</v>
      </c>
      <c r="J46" s="77">
        <f t="shared" si="5"/>
        <v>5.5999999999999995E-4</v>
      </c>
      <c r="K46" s="77">
        <f t="shared" si="5"/>
        <v>1.75E-3</v>
      </c>
      <c r="L46" s="77">
        <f t="shared" si="5"/>
        <v>1.1130000000000001E-2</v>
      </c>
      <c r="M46" s="77">
        <f t="shared" si="5"/>
        <v>1.8655000000000001E-2</v>
      </c>
      <c r="N46" s="77">
        <f t="shared" si="5"/>
        <v>0</v>
      </c>
      <c r="O46" s="77">
        <f t="shared" si="5"/>
        <v>0</v>
      </c>
      <c r="P46" s="77">
        <f t="shared" si="5"/>
        <v>14.525000000000002</v>
      </c>
      <c r="Q46" s="77">
        <f t="shared" si="10"/>
        <v>62.212499999999991</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35</v>
      </c>
      <c r="C47" s="77">
        <f t="shared" si="6"/>
        <v>125.99999999999999</v>
      </c>
      <c r="D47" s="77">
        <f t="shared" si="7"/>
        <v>54.605984999999997</v>
      </c>
      <c r="E47" s="77">
        <f t="shared" si="8"/>
        <v>11.598125000000001</v>
      </c>
      <c r="F47" s="77">
        <f t="shared" si="9"/>
        <v>12.302359999999998</v>
      </c>
      <c r="G47" s="77">
        <f t="shared" ref="G47:P50" si="12">IF(G$27="%w/w SAR",((G$28*10)*$B47),IF(G$27="%w/w DM",(((G$28*10)*($B$28/100))*$B47),IF(G$27="kg/t SAR",(G$28*$B47),IF(G$27="kg/t DM",((G$28*($B$28/100))*$B47),IF(G$27="mg/kg SAR",((G$28*0.001)*$B47),IF(G$27="mg/kg DM",(((G$28*0.001)*($B$28/100))*$B47),0))))))</f>
        <v>6.93E-2</v>
      </c>
      <c r="H47" s="77">
        <f t="shared" si="12"/>
        <v>0.39200000000000002</v>
      </c>
      <c r="I47" s="77">
        <f t="shared" si="12"/>
        <v>1.7500000000000002E-2</v>
      </c>
      <c r="J47" s="77">
        <f t="shared" si="12"/>
        <v>5.5999999999999995E-4</v>
      </c>
      <c r="K47" s="77">
        <f t="shared" si="12"/>
        <v>1.75E-3</v>
      </c>
      <c r="L47" s="77">
        <f t="shared" si="12"/>
        <v>1.1130000000000001E-2</v>
      </c>
      <c r="M47" s="77">
        <f t="shared" si="12"/>
        <v>1.8655000000000001E-2</v>
      </c>
      <c r="N47" s="77">
        <f t="shared" si="12"/>
        <v>0</v>
      </c>
      <c r="O47" s="77">
        <f t="shared" si="12"/>
        <v>0</v>
      </c>
      <c r="P47" s="77">
        <f t="shared" si="12"/>
        <v>14.525000000000002</v>
      </c>
      <c r="Q47" s="77">
        <f t="shared" si="10"/>
        <v>62.212499999999991</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35</v>
      </c>
      <c r="C48" s="77">
        <f t="shared" si="6"/>
        <v>125.99999999999999</v>
      </c>
      <c r="D48" s="77">
        <f t="shared" si="7"/>
        <v>54.605984999999997</v>
      </c>
      <c r="E48" s="77">
        <f t="shared" si="8"/>
        <v>11.598125000000001</v>
      </c>
      <c r="F48" s="77">
        <f t="shared" si="9"/>
        <v>12.302359999999998</v>
      </c>
      <c r="G48" s="77">
        <f t="shared" si="12"/>
        <v>6.93E-2</v>
      </c>
      <c r="H48" s="77">
        <f t="shared" si="12"/>
        <v>0.39200000000000002</v>
      </c>
      <c r="I48" s="77">
        <f t="shared" si="12"/>
        <v>1.7500000000000002E-2</v>
      </c>
      <c r="J48" s="77">
        <f t="shared" si="12"/>
        <v>5.5999999999999995E-4</v>
      </c>
      <c r="K48" s="77">
        <f t="shared" si="12"/>
        <v>1.75E-3</v>
      </c>
      <c r="L48" s="77">
        <f t="shared" si="12"/>
        <v>1.1130000000000001E-2</v>
      </c>
      <c r="M48" s="77">
        <f t="shared" si="12"/>
        <v>1.8655000000000001E-2</v>
      </c>
      <c r="N48" s="77">
        <f t="shared" si="12"/>
        <v>0</v>
      </c>
      <c r="O48" s="77">
        <f t="shared" si="12"/>
        <v>0</v>
      </c>
      <c r="P48" s="77">
        <f t="shared" si="12"/>
        <v>14.525000000000002</v>
      </c>
      <c r="Q48" s="77">
        <f t="shared" si="10"/>
        <v>62.212499999999991</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35</v>
      </c>
      <c r="C49" s="77">
        <f t="shared" si="6"/>
        <v>125.99999999999999</v>
      </c>
      <c r="D49" s="77">
        <f t="shared" si="7"/>
        <v>54.605984999999997</v>
      </c>
      <c r="E49" s="77">
        <f t="shared" si="8"/>
        <v>11.598125000000001</v>
      </c>
      <c r="F49" s="77">
        <f t="shared" si="9"/>
        <v>12.302359999999998</v>
      </c>
      <c r="G49" s="77">
        <f t="shared" si="12"/>
        <v>6.93E-2</v>
      </c>
      <c r="H49" s="77">
        <f t="shared" si="12"/>
        <v>0.39200000000000002</v>
      </c>
      <c r="I49" s="77">
        <f t="shared" si="12"/>
        <v>1.7500000000000002E-2</v>
      </c>
      <c r="J49" s="77">
        <f t="shared" si="12"/>
        <v>5.5999999999999995E-4</v>
      </c>
      <c r="K49" s="77">
        <f t="shared" si="12"/>
        <v>1.75E-3</v>
      </c>
      <c r="L49" s="77">
        <f t="shared" si="12"/>
        <v>1.1130000000000001E-2</v>
      </c>
      <c r="M49" s="77">
        <f t="shared" si="12"/>
        <v>1.8655000000000001E-2</v>
      </c>
      <c r="N49" s="77">
        <f t="shared" si="12"/>
        <v>0</v>
      </c>
      <c r="O49" s="77">
        <f t="shared" si="12"/>
        <v>0</v>
      </c>
      <c r="P49" s="77">
        <f t="shared" si="12"/>
        <v>14.525000000000002</v>
      </c>
      <c r="Q49" s="77">
        <f t="shared" si="10"/>
        <v>62.212499999999991</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35</v>
      </c>
      <c r="C50" s="98">
        <f t="shared" si="6"/>
        <v>125.99999999999999</v>
      </c>
      <c r="D50" s="98">
        <f t="shared" si="7"/>
        <v>54.605984999999997</v>
      </c>
      <c r="E50" s="98">
        <f t="shared" si="8"/>
        <v>11.598125000000001</v>
      </c>
      <c r="F50" s="98">
        <f t="shared" si="9"/>
        <v>12.302359999999998</v>
      </c>
      <c r="G50" s="98">
        <f t="shared" si="12"/>
        <v>6.93E-2</v>
      </c>
      <c r="H50" s="98">
        <f t="shared" si="12"/>
        <v>0.39200000000000002</v>
      </c>
      <c r="I50" s="98">
        <f t="shared" si="12"/>
        <v>1.7500000000000002E-2</v>
      </c>
      <c r="J50" s="98">
        <f t="shared" si="12"/>
        <v>5.5999999999999995E-4</v>
      </c>
      <c r="K50" s="98">
        <f t="shared" si="12"/>
        <v>1.75E-3</v>
      </c>
      <c r="L50" s="98">
        <f t="shared" si="12"/>
        <v>1.1130000000000001E-2</v>
      </c>
      <c r="M50" s="98">
        <f t="shared" si="12"/>
        <v>1.8655000000000001E-2</v>
      </c>
      <c r="N50" s="98">
        <f t="shared" si="12"/>
        <v>0</v>
      </c>
      <c r="O50" s="98">
        <f t="shared" si="12"/>
        <v>0</v>
      </c>
      <c r="P50" s="98">
        <f t="shared" si="12"/>
        <v>14.525000000000002</v>
      </c>
      <c r="Q50" s="98">
        <f t="shared" si="10"/>
        <v>62.212499999999991</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Arable</v>
      </c>
      <c r="K58" s="13" t="str">
        <f>L16&amp;" I "&amp;(VLOOKUP(L14,Table245811[],6,FALSE))</f>
        <v>Medium/Clay I Arable</v>
      </c>
      <c r="L58" s="13" t="str">
        <f>M16&amp;" I "&amp;(VLOOKUP(M14,Table245811[],6,FALSE))</f>
        <v>Medium/Clay I Arable</v>
      </c>
      <c r="M58" s="13" t="str">
        <f>N16&amp;" I "&amp;(VLOOKUP(N14,Table245811[],6,FALSE))</f>
        <v>Medium/Clay I Arable</v>
      </c>
      <c r="N58" s="13" t="str">
        <f>O16&amp;" I "&amp;(VLOOKUP(O14,Table245811[],6,FALSE))</f>
        <v>Medium/Clay I Arable</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6.7</v>
      </c>
      <c r="H59" s="76">
        <f>VLOOKUP(I$14,Table245811[],5,FALSE)</f>
        <v>6.7</v>
      </c>
      <c r="I59" s="76">
        <f>VLOOKUP(J$14,Table245811[],5,FALSE)</f>
        <v>6.7</v>
      </c>
      <c r="J59" s="76">
        <f>VLOOKUP(K$14,Table245811[],5,FALSE)</f>
        <v>6.7</v>
      </c>
      <c r="K59" s="76">
        <f>VLOOKUP(L$14,Table245811[],5,FALSE)</f>
        <v>6.7</v>
      </c>
      <c r="L59" s="76">
        <f>VLOOKUP(M$14,Table245811[],5,FALSE)</f>
        <v>6.7</v>
      </c>
      <c r="M59" s="76">
        <f>VLOOKUP(N$14,Table245811[],5,FALSE)</f>
        <v>6.7</v>
      </c>
      <c r="N59" s="76">
        <f>VLOOKUP(O$14,Table245811[],5,FALSE)</f>
        <v>6.7</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35</v>
      </c>
      <c r="C62" s="77">
        <f>B32</f>
        <v>35</v>
      </c>
      <c r="D62" s="77">
        <f>B33</f>
        <v>35</v>
      </c>
      <c r="E62" s="77">
        <f>B34</f>
        <v>0</v>
      </c>
      <c r="F62" s="77">
        <f>B35</f>
        <v>35</v>
      </c>
      <c r="G62" s="77">
        <f>B36</f>
        <v>35</v>
      </c>
      <c r="H62" s="77">
        <f>B37</f>
        <v>35</v>
      </c>
      <c r="I62" s="77">
        <f>B38</f>
        <v>35</v>
      </c>
      <c r="J62" s="77">
        <f>B39</f>
        <v>35</v>
      </c>
      <c r="K62" s="77">
        <f>B40</f>
        <v>35</v>
      </c>
      <c r="L62" s="77">
        <f>B41</f>
        <v>28</v>
      </c>
      <c r="M62" s="77">
        <f>B42</f>
        <v>28</v>
      </c>
      <c r="N62" s="77">
        <f>B43</f>
        <v>28</v>
      </c>
      <c r="O62" s="77">
        <f>B44</f>
        <v>35</v>
      </c>
      <c r="P62" s="77">
        <f>B45</f>
        <v>35</v>
      </c>
      <c r="Q62" s="77">
        <f>B46</f>
        <v>35</v>
      </c>
      <c r="R62" s="77">
        <f>B47</f>
        <v>35</v>
      </c>
      <c r="S62" s="77">
        <f>B48</f>
        <v>35</v>
      </c>
      <c r="T62" s="77">
        <f>B49</f>
        <v>35</v>
      </c>
      <c r="U62" s="77">
        <f>B50</f>
        <v>35</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8" zoomScale="90" zoomScaleNormal="90" workbookViewId="0">
      <selection activeCell="K43" sqref="K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7.66</v>
      </c>
      <c r="J1" s="127" t="s">
        <v>153</v>
      </c>
      <c r="K1" s="127"/>
      <c r="L1" s="97">
        <v>397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178</v>
      </c>
      <c r="G2" s="125" t="s">
        <v>110</v>
      </c>
      <c r="H2" s="126"/>
      <c r="I2" s="118">
        <v>768</v>
      </c>
      <c r="J2" s="127" t="s">
        <v>158</v>
      </c>
      <c r="K2" s="127"/>
      <c r="L2" s="97">
        <v>1.32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76</v>
      </c>
      <c r="G3" s="127" t="s">
        <v>159</v>
      </c>
      <c r="H3" s="127"/>
      <c r="I3" s="118">
        <v>7562</v>
      </c>
      <c r="J3" s="123" t="s">
        <v>154</v>
      </c>
      <c r="K3" s="124"/>
      <c r="L3" s="97">
        <f>(L1/(L2*10000))*100</f>
        <v>3.0075757575757573</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-56</v>
      </c>
      <c r="I19" s="16">
        <f t="shared" si="1"/>
        <v>-56</v>
      </c>
      <c r="J19" s="16">
        <f t="shared" si="1"/>
        <v>-56</v>
      </c>
      <c r="K19" s="16">
        <f t="shared" si="1"/>
        <v>-56</v>
      </c>
      <c r="L19" s="16">
        <f t="shared" si="1"/>
        <v>-56</v>
      </c>
      <c r="M19" s="16">
        <f t="shared" si="1"/>
        <v>-46.75</v>
      </c>
      <c r="N19" s="16">
        <f t="shared" si="1"/>
        <v>-46.75</v>
      </c>
      <c r="O19" s="16">
        <f t="shared" si="1"/>
        <v>-46.75</v>
      </c>
      <c r="P19" s="16">
        <f t="shared" si="1"/>
        <v>-9.35</v>
      </c>
      <c r="Q19" s="16">
        <f t="shared" si="1"/>
        <v>-9.35</v>
      </c>
      <c r="R19" s="16">
        <f t="shared" si="1"/>
        <v>-9.35</v>
      </c>
      <c r="S19" s="16">
        <f t="shared" si="1"/>
        <v>-9.35</v>
      </c>
      <c r="T19" s="16">
        <f t="shared" si="1"/>
        <v>-9.35</v>
      </c>
      <c r="U19" s="16">
        <f t="shared" si="1"/>
        <v>-9.35</v>
      </c>
      <c r="V19" s="25">
        <f t="shared" si="1"/>
        <v>-9.35</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-176</v>
      </c>
      <c r="I23" s="16">
        <f t="shared" si="3"/>
        <v>-176</v>
      </c>
      <c r="J23" s="16">
        <f t="shared" si="3"/>
        <v>-176</v>
      </c>
      <c r="K23" s="16">
        <f t="shared" si="3"/>
        <v>-176</v>
      </c>
      <c r="L23" s="16">
        <f t="shared" si="3"/>
        <v>-176</v>
      </c>
      <c r="M23" s="16">
        <f t="shared" si="3"/>
        <v>-66</v>
      </c>
      <c r="N23" s="16">
        <f t="shared" si="3"/>
        <v>-66</v>
      </c>
      <c r="O23" s="16">
        <f t="shared" si="3"/>
        <v>-66</v>
      </c>
      <c r="P23" s="16">
        <f t="shared" si="3"/>
        <v>-33</v>
      </c>
      <c r="Q23" s="16">
        <f t="shared" si="3"/>
        <v>-33</v>
      </c>
      <c r="R23" s="16">
        <f t="shared" si="3"/>
        <v>-33</v>
      </c>
      <c r="S23" s="16">
        <f t="shared" si="3"/>
        <v>-33</v>
      </c>
      <c r="T23" s="16">
        <f t="shared" si="3"/>
        <v>-33</v>
      </c>
      <c r="U23" s="16">
        <f t="shared" si="3"/>
        <v>-33</v>
      </c>
      <c r="V23" s="16">
        <f t="shared" si="3"/>
        <v>-33</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82</v>
      </c>
      <c r="C28" s="15">
        <v>0.06</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0</v>
      </c>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0</v>
      </c>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0</v>
      </c>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Arable</v>
      </c>
      <c r="K58" s="13" t="str">
        <f>L16&amp;" I "&amp;(VLOOKUP(L14,Table24581112[],6,FALSE))</f>
        <v>Medium/Clay I Arable</v>
      </c>
      <c r="L58" s="13" t="str">
        <f>M16&amp;" I "&amp;(VLOOKUP(M14,Table24581112[],6,FALSE))</f>
        <v>Medium/Clay I Arable</v>
      </c>
      <c r="M58" s="13" t="str">
        <f>N16&amp;" I "&amp;(VLOOKUP(N14,Table24581112[],6,FALSE))</f>
        <v>Medium/Clay I Arable</v>
      </c>
      <c r="N58" s="13" t="str">
        <f>O16&amp;" I "&amp;(VLOOKUP(O14,Table24581112[],6,FALSE))</f>
        <v>Medium/Clay I Arable</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6.7</v>
      </c>
      <c r="H59" s="76">
        <f>VLOOKUP(I$14,Table24581112[],5,FALSE)</f>
        <v>6.7</v>
      </c>
      <c r="I59" s="76">
        <f>VLOOKUP(J$14,Table24581112[],5,FALSE)</f>
        <v>6.7</v>
      </c>
      <c r="J59" s="76">
        <f>VLOOKUP(K$14,Table24581112[],5,FALSE)</f>
        <v>6.7</v>
      </c>
      <c r="K59" s="76">
        <f>VLOOKUP(L$14,Table24581112[],5,FALSE)</f>
        <v>6.7</v>
      </c>
      <c r="L59" s="76">
        <f>VLOOKUP(M$14,Table24581112[],5,FALSE)</f>
        <v>6.7</v>
      </c>
      <c r="M59" s="76">
        <f>VLOOKUP(N$14,Table24581112[],5,FALSE)</f>
        <v>6.7</v>
      </c>
      <c r="N59" s="76">
        <f>VLOOKUP(O$14,Table24581112[],5,FALSE)</f>
        <v>6.7</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9"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Beechdean!C1:D1</f>
        <v>PAN-017507</v>
      </c>
      <c r="D1" s="141"/>
      <c r="E1" s="93" t="s">
        <v>45</v>
      </c>
      <c r="F1" s="39">
        <f>Beechdean!F1</f>
        <v>51.8</v>
      </c>
      <c r="G1" s="123" t="s">
        <v>43</v>
      </c>
      <c r="H1" s="124"/>
      <c r="I1" s="118">
        <v>6.84</v>
      </c>
      <c r="J1" s="127" t="s">
        <v>153</v>
      </c>
      <c r="K1" s="127"/>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179</v>
      </c>
      <c r="G2" s="125" t="s">
        <v>110</v>
      </c>
      <c r="H2" s="126"/>
      <c r="I2" s="118">
        <v>887</v>
      </c>
      <c r="J2" s="127" t="s">
        <v>158</v>
      </c>
      <c r="K2" s="127"/>
      <c r="L2" s="97">
        <v>8.11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c r="J3" s="123" t="s">
        <v>154</v>
      </c>
      <c r="K3" s="124"/>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52.275808900000001</v>
      </c>
      <c r="D18" s="16">
        <f>$D32</f>
        <v>52.275808900000001</v>
      </c>
      <c r="E18" s="16">
        <f>$D33</f>
        <v>52.275808900000001</v>
      </c>
      <c r="F18" s="16">
        <f>$D34</f>
        <v>0</v>
      </c>
      <c r="G18" s="16">
        <f>$D35</f>
        <v>52.275808900000001</v>
      </c>
      <c r="H18" s="16">
        <f>$D36</f>
        <v>52.275808900000001</v>
      </c>
      <c r="I18" s="16">
        <f>$D37</f>
        <v>52.275808900000001</v>
      </c>
      <c r="J18" s="16">
        <f>$D38</f>
        <v>52.275808900000001</v>
      </c>
      <c r="K18" s="16">
        <f>$D39</f>
        <v>52.275808900000001</v>
      </c>
      <c r="L18" s="16">
        <f>$D40</f>
        <v>52.275808900000001</v>
      </c>
      <c r="M18" s="16">
        <f>$D41</f>
        <v>44.807836200000004</v>
      </c>
      <c r="N18" s="16">
        <f>$D42</f>
        <v>44.807836200000004</v>
      </c>
      <c r="O18" s="16">
        <f>$D43</f>
        <v>44.807836200000004</v>
      </c>
      <c r="P18" s="16">
        <f>$D44</f>
        <v>52.275808900000001</v>
      </c>
      <c r="Q18" s="16">
        <f>$D45</f>
        <v>52.275808900000001</v>
      </c>
      <c r="R18" s="16">
        <f>$D46</f>
        <v>52.275808900000001</v>
      </c>
      <c r="S18" s="16">
        <f>$D47</f>
        <v>52.275808900000001</v>
      </c>
      <c r="T18" s="16">
        <f>$D48</f>
        <v>52.275808900000001</v>
      </c>
      <c r="U18" s="16">
        <f>$D49</f>
        <v>52.275808900000001</v>
      </c>
      <c r="V18" s="25">
        <f>$D50</f>
        <v>52.275808900000001</v>
      </c>
      <c r="AD18" s="52" t="s">
        <v>147</v>
      </c>
      <c r="AE18" s="30">
        <v>16</v>
      </c>
      <c r="AI18" s="48" t="s">
        <v>106</v>
      </c>
      <c r="AJ18" s="49">
        <v>5.9</v>
      </c>
      <c r="AK18" s="50">
        <v>18</v>
      </c>
      <c r="AL18" s="51">
        <v>16</v>
      </c>
      <c r="AM18" s="11">
        <v>6.2</v>
      </c>
      <c r="AN18" s="11" t="s">
        <v>112</v>
      </c>
    </row>
    <row r="19" spans="1:40" x14ac:dyDescent="0.2">
      <c r="A19" s="131" t="s">
        <v>90</v>
      </c>
      <c r="B19" s="132"/>
      <c r="C19" s="16">
        <f>C18-C17</f>
        <v>-12.324191099999993</v>
      </c>
      <c r="D19" s="16">
        <f t="shared" ref="D19:V19" si="1">D18-D17</f>
        <v>-12.324191099999993</v>
      </c>
      <c r="E19" s="16">
        <f t="shared" si="1"/>
        <v>-12.324191099999993</v>
      </c>
      <c r="F19" s="16">
        <f t="shared" si="1"/>
        <v>-64.599999999999994</v>
      </c>
      <c r="G19" s="16">
        <f t="shared" si="1"/>
        <v>-12.324191099999993</v>
      </c>
      <c r="H19" s="16">
        <f t="shared" si="1"/>
        <v>-3.7241910999999988</v>
      </c>
      <c r="I19" s="16">
        <f t="shared" si="1"/>
        <v>-3.7241910999999988</v>
      </c>
      <c r="J19" s="16">
        <f t="shared" si="1"/>
        <v>-3.7241910999999988</v>
      </c>
      <c r="K19" s="16">
        <f t="shared" si="1"/>
        <v>-3.7241910999999988</v>
      </c>
      <c r="L19" s="16">
        <f t="shared" si="1"/>
        <v>-3.7241910999999988</v>
      </c>
      <c r="M19" s="16">
        <f t="shared" si="1"/>
        <v>-1.9421637999999959</v>
      </c>
      <c r="N19" s="16">
        <f t="shared" si="1"/>
        <v>-1.9421637999999959</v>
      </c>
      <c r="O19" s="16">
        <f t="shared" si="1"/>
        <v>-1.9421637999999959</v>
      </c>
      <c r="P19" s="16">
        <f t="shared" si="1"/>
        <v>42.9258089</v>
      </c>
      <c r="Q19" s="16">
        <f t="shared" si="1"/>
        <v>42.9258089</v>
      </c>
      <c r="R19" s="16">
        <f t="shared" si="1"/>
        <v>42.9258089</v>
      </c>
      <c r="S19" s="16">
        <f t="shared" si="1"/>
        <v>42.9258089</v>
      </c>
      <c r="T19" s="16">
        <f t="shared" si="1"/>
        <v>42.9258089</v>
      </c>
      <c r="U19" s="16">
        <f t="shared" si="1"/>
        <v>42.9258089</v>
      </c>
      <c r="V19" s="25">
        <f t="shared" si="1"/>
        <v>42.9258089</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10.775290750000002</v>
      </c>
      <c r="D22" s="16">
        <f>$E32</f>
        <v>10.775290750000002</v>
      </c>
      <c r="E22" s="16">
        <f>$E33</f>
        <v>10.775290750000002</v>
      </c>
      <c r="F22" s="16">
        <f>$E34</f>
        <v>0</v>
      </c>
      <c r="G22" s="16">
        <f>$E35</f>
        <v>10.775290750000002</v>
      </c>
      <c r="H22" s="16">
        <f>$E36</f>
        <v>10.775290750000002</v>
      </c>
      <c r="I22" s="16">
        <f>$E37</f>
        <v>10.775290750000002</v>
      </c>
      <c r="J22" s="16">
        <f>$E38</f>
        <v>10.775290750000002</v>
      </c>
      <c r="K22" s="16">
        <f>$E39</f>
        <v>10.775290750000002</v>
      </c>
      <c r="L22" s="16">
        <f>$E40</f>
        <v>10.775290750000002</v>
      </c>
      <c r="M22" s="16">
        <f>$E41</f>
        <v>9.2359635000000022</v>
      </c>
      <c r="N22" s="16">
        <f>$E42</f>
        <v>9.2359635000000022</v>
      </c>
      <c r="O22" s="16">
        <f>$E43</f>
        <v>9.2359635000000022</v>
      </c>
      <c r="P22" s="16">
        <f>$E44</f>
        <v>10.775290750000002</v>
      </c>
      <c r="Q22" s="16">
        <f>$E45</f>
        <v>10.775290750000002</v>
      </c>
      <c r="R22" s="16">
        <f>$E46</f>
        <v>10.775290750000002</v>
      </c>
      <c r="S22" s="16">
        <f>$E47</f>
        <v>10.775290750000002</v>
      </c>
      <c r="T22" s="16">
        <f>$E48</f>
        <v>10.775290750000002</v>
      </c>
      <c r="U22" s="16">
        <f>$E49</f>
        <v>10.775290750000002</v>
      </c>
      <c r="V22" s="16">
        <f>$E50</f>
        <v>10.775290750000002</v>
      </c>
      <c r="AI22" s="63" t="s">
        <v>102</v>
      </c>
      <c r="AJ22" s="64">
        <v>1.2</v>
      </c>
      <c r="AK22" s="65">
        <v>5</v>
      </c>
      <c r="AL22" s="29">
        <v>20</v>
      </c>
      <c r="AM22" s="11">
        <v>6.7</v>
      </c>
      <c r="AN22" s="11" t="s">
        <v>135</v>
      </c>
    </row>
    <row r="23" spans="1:40" x14ac:dyDescent="0.2">
      <c r="A23" s="131" t="s">
        <v>92</v>
      </c>
      <c r="B23" s="132"/>
      <c r="C23" s="16">
        <f>C22-C21</f>
        <v>-217.22470924999999</v>
      </c>
      <c r="D23" s="16">
        <f t="shared" ref="D23:V23" si="3">D22-D21</f>
        <v>-217.22470924999999</v>
      </c>
      <c r="E23" s="16">
        <f t="shared" si="3"/>
        <v>-217.22470924999999</v>
      </c>
      <c r="F23" s="16">
        <f t="shared" si="3"/>
        <v>-228</v>
      </c>
      <c r="G23" s="16">
        <f t="shared" si="3"/>
        <v>-217.22470924999999</v>
      </c>
      <c r="H23" s="16">
        <f t="shared" si="3"/>
        <v>-165.22470924999999</v>
      </c>
      <c r="I23" s="16">
        <f t="shared" si="3"/>
        <v>-165.22470924999999</v>
      </c>
      <c r="J23" s="16">
        <f t="shared" si="3"/>
        <v>-165.22470924999999</v>
      </c>
      <c r="K23" s="16">
        <f t="shared" si="3"/>
        <v>-165.22470924999999</v>
      </c>
      <c r="L23" s="16">
        <f t="shared" si="3"/>
        <v>-165.22470924999999</v>
      </c>
      <c r="M23" s="16">
        <f t="shared" si="3"/>
        <v>-56.764036499999996</v>
      </c>
      <c r="N23" s="16">
        <f t="shared" si="3"/>
        <v>-56.764036499999996</v>
      </c>
      <c r="O23" s="16">
        <f t="shared" si="3"/>
        <v>-56.764036499999996</v>
      </c>
      <c r="P23" s="16">
        <f t="shared" si="3"/>
        <v>-22.224709249999997</v>
      </c>
      <c r="Q23" s="16">
        <f t="shared" si="3"/>
        <v>-22.224709249999997</v>
      </c>
      <c r="R23" s="16">
        <f t="shared" si="3"/>
        <v>-22.224709249999997</v>
      </c>
      <c r="S23" s="16">
        <f t="shared" si="3"/>
        <v>-22.224709249999997</v>
      </c>
      <c r="T23" s="16">
        <f t="shared" si="3"/>
        <v>-22.224709249999997</v>
      </c>
      <c r="U23" s="16">
        <f t="shared" si="3"/>
        <v>-22.224709249999997</v>
      </c>
      <c r="V23" s="16">
        <f t="shared" si="3"/>
        <v>-22.224709249999997</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2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14</v>
      </c>
      <c r="C31" s="77">
        <f>IF(C$27="%w/w SAR",((C$28*10)*$B31),IF(C$27="%w/w DM",(((C$28*10)*($B$28/100))*$B31),IF(C$27="kg/t SAR",(C$28*$B31),IF(C$27="kg/t DM",((C$28*($B$28/100))*$B31),IF(C$27="mg/kg SAR",((C$28*0.001)*$B31),IF(C$27="mg/kg DM",(((C$28*0.001)*($B$28/100))*$B31),0))))))</f>
        <v>100.02874</v>
      </c>
      <c r="D31" s="77">
        <f>(IF(D$27="%w/w SAR",((D$28*10)*$B31),IF(D$27="%w/w DM",(((D$28*10)*($B$28/100))*$B31),IF(D$27="kg/t SAR",(D$28*$B31),IF(D$27="kg/t DM",((D$28*($B$28/100))*$B31),IF(D$27="mg/kg SAR",((D$28*0.001)*$B31),IF(D$27="mg/kg DM",(((D$28*0.001)*($B$28/100))*$B31),"0")))))))*2.291</f>
        <v>52.275808900000001</v>
      </c>
      <c r="E31" s="77">
        <f>(IF(E$27="%w/w SAR",((E$28*10)*$B31),IF(E$27="%w/w DM",(((E$28*10)*($B$28/100))*$B31),IF(E$27="kg/t SAR",(E$28*$B31),IF(E$27="kg/t DM",((E$28*($B$28/100))*$B31),IF(E$27="mg/kg SAR",((E$28*0.001)*$B31),IF(E$27="mg/kg DM",(((E$28*0.001)*($B$28/100))*$B31),"0")))))))*1.205</f>
        <v>10.775290750000002</v>
      </c>
      <c r="F31" s="77">
        <f>(IF(F$27="%w/w SAR",((F$28*10)*$B31),IF(F$27="%w/w DM",(((F$28*10)*($B$28/100))*$B31),IF(F$27="kg/t SAR",(F$28*$B31),IF(F$27="kg/t DM",((F$28*($B$28/100))*$B31),IF(F$27="mg/kg SAR",((F$28*0.001)*$B31),IF(F$27="mg/kg DM",(((F$28*0.001)*($B$28/100))*$B31),"0")))))))*1.658</f>
        <v>5.2964909480000006</v>
      </c>
      <c r="G31" s="77">
        <f t="shared" ref="G31:P46" si="5">IF(G$27="%w/w SAR",((G$28*10)*$B31),IF(G$27="%w/w DM",(((G$28*10)*($B$28/100))*$B31),IF(G$27="kg/t SAR",(G$28*$B31),IF(G$27="kg/t DM",((G$28*($B$28/100))*$B31),IF(G$27="mg/kg SAR",((G$28*0.001)*$B31),IF(G$27="mg/kg DM",(((G$28*0.001)*($B$28/100))*$B31),0))))))</f>
        <v>3.6631980000000008E-2</v>
      </c>
      <c r="H31" s="77">
        <f t="shared" si="5"/>
        <v>0.41565580000000008</v>
      </c>
      <c r="I31" s="77">
        <f t="shared" si="5"/>
        <v>5.217282000000001E-3</v>
      </c>
      <c r="J31" s="77">
        <f t="shared" si="5"/>
        <v>1.2334000000000002E-4</v>
      </c>
      <c r="K31" s="77">
        <f t="shared" si="5"/>
        <v>1.2334000000000002E-4</v>
      </c>
      <c r="L31" s="77">
        <f t="shared" si="5"/>
        <v>2.6024740000000005E-2</v>
      </c>
      <c r="M31" s="77">
        <f t="shared" si="5"/>
        <v>8.0911040000000004E-2</v>
      </c>
      <c r="N31" s="77">
        <f t="shared" si="5"/>
        <v>0</v>
      </c>
      <c r="O31" s="77">
        <f t="shared" si="5"/>
        <v>0</v>
      </c>
      <c r="P31" s="77">
        <f t="shared" si="5"/>
        <v>12.827360000000002</v>
      </c>
      <c r="Q31" s="77">
        <f>(IF(Q$27="%w/w SAR",((Q$28*10)*$B31),IF(Q$27="%w/w DM",(((Q$28*10)*($B$28/100))*$B31),IF(Q$27="kg/t SAR",(Q$28*$B31),IF(Q$27="kg/t DM",((Q$28*($B$28/100))*$B31),IF(Q$27="mg/kg SAR",((Q$28*0.001)*$B31),IF(Q$27="mg/kg DM",(((Q$28*0.001)*($B$28/100))*$B31),0)))))))*2.5</f>
        <v>52.111150000000002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14</v>
      </c>
      <c r="C32" s="77">
        <f t="shared" ref="C32:C50" si="6">IF(C$27="%w/w SAR",((C$28*10)*$B32),IF(C$27="%w/w DM",(((C$28*10)*($B$28/100))*$B32),IF(C$27="kg/t SAR",(C$28*$B32),IF(C$27="kg/t DM",((C$28*($B$28/100))*$B32),IF(C$27="mg/kg SAR",((C$28*0.001)*$B32),IF(C$27="mg/kg DM",(((C$28*0.001)*($B$28/100))*$B32),0))))))</f>
        <v>100.02874</v>
      </c>
      <c r="D32" s="77">
        <f t="shared" ref="D32:D50" si="7">(IF(D$27="%w/w SAR",((D$28*10)*$B32),IF(D$27="%w/w DM",(((D$28*10)*($B$28/100))*$B32),IF(D$27="kg/t SAR",(D$28*$B32),IF(D$27="kg/t DM",((D$28*($B$28/100))*$B32),IF(D$27="mg/kg SAR",((D$28*0.001)*$B32),IF(D$27="mg/kg DM",(((D$28*0.001)*($B$28/100))*$B32),"0")))))))*2.291</f>
        <v>52.275808900000001</v>
      </c>
      <c r="E32" s="77">
        <f t="shared" ref="E32:E50" si="8">(IF(E$27="%w/w SAR",((E$28*10)*$B32),IF(E$27="%w/w DM",(((E$28*10)*($B$28/100))*$B32),IF(E$27="kg/t SAR",(E$28*$B32),IF(E$27="kg/t DM",((E$28*($B$28/100))*$B32),IF(E$27="mg/kg SAR",((E$28*0.001)*$B32),IF(E$27="mg/kg DM",(((E$28*0.001)*($B$28/100))*$B32),"0")))))))*1.205</f>
        <v>10.775290750000002</v>
      </c>
      <c r="F32" s="77">
        <f t="shared" ref="F32:F50" si="9">(IF(F$27="%w/w SAR",((F$28*10)*$B32),IF(F$27="%w/w DM",(((F$28*10)*($B$28/100))*$B32),IF(F$27="kg/t SAR",(F$28*$B32),IF(F$27="kg/t DM",((F$28*($B$28/100))*$B32),IF(F$27="mg/kg SAR",((F$28*0.001)*$B32),IF(F$27="mg/kg DM",(((F$28*0.001)*($B$28/100))*$B32),"0")))))))*1.658</f>
        <v>5.2964909480000006</v>
      </c>
      <c r="G32" s="77">
        <f t="shared" si="5"/>
        <v>3.6631980000000008E-2</v>
      </c>
      <c r="H32" s="77">
        <f t="shared" si="5"/>
        <v>0.41565580000000008</v>
      </c>
      <c r="I32" s="77">
        <f t="shared" si="5"/>
        <v>5.217282000000001E-3</v>
      </c>
      <c r="J32" s="77">
        <f t="shared" si="5"/>
        <v>1.2334000000000002E-4</v>
      </c>
      <c r="K32" s="77">
        <f t="shared" si="5"/>
        <v>1.2334000000000002E-4</v>
      </c>
      <c r="L32" s="77">
        <f t="shared" si="5"/>
        <v>2.6024740000000005E-2</v>
      </c>
      <c r="M32" s="77">
        <f t="shared" si="5"/>
        <v>8.0911040000000004E-2</v>
      </c>
      <c r="N32" s="77">
        <f t="shared" si="5"/>
        <v>0</v>
      </c>
      <c r="O32" s="77">
        <f t="shared" si="5"/>
        <v>0</v>
      </c>
      <c r="P32" s="77">
        <f t="shared" si="5"/>
        <v>12.827360000000002</v>
      </c>
      <c r="Q32" s="77">
        <f t="shared" ref="Q32:Q50" si="10">(IF(Q$27="%w/w SAR",((Q$28*10)*$B32),IF(Q$27="%w/w DM",(((Q$28*10)*($B$28/100))*$B32),IF(Q$27="kg/t SAR",(Q$28*$B32),IF(Q$27="kg/t DM",((Q$28*($B$28/100))*$B32),IF(Q$27="mg/kg SAR",((Q$28*0.001)*$B32),IF(Q$27="mg/kg DM",(((Q$28*0.001)*($B$28/100))*$B32),0)))))))*2.5</f>
        <v>52.111150000000002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14</v>
      </c>
      <c r="C33" s="77">
        <f t="shared" si="6"/>
        <v>100.02874</v>
      </c>
      <c r="D33" s="77">
        <f t="shared" si="7"/>
        <v>52.275808900000001</v>
      </c>
      <c r="E33" s="77">
        <f t="shared" si="8"/>
        <v>10.775290750000002</v>
      </c>
      <c r="F33" s="77">
        <f t="shared" si="9"/>
        <v>5.2964909480000006</v>
      </c>
      <c r="G33" s="77">
        <f t="shared" si="5"/>
        <v>3.6631980000000008E-2</v>
      </c>
      <c r="H33" s="77">
        <f t="shared" si="5"/>
        <v>0.41565580000000008</v>
      </c>
      <c r="I33" s="77">
        <f t="shared" si="5"/>
        <v>5.217282000000001E-3</v>
      </c>
      <c r="J33" s="77">
        <f t="shared" si="5"/>
        <v>1.2334000000000002E-4</v>
      </c>
      <c r="K33" s="77">
        <f t="shared" si="5"/>
        <v>1.2334000000000002E-4</v>
      </c>
      <c r="L33" s="77">
        <f t="shared" si="5"/>
        <v>2.6024740000000005E-2</v>
      </c>
      <c r="M33" s="77">
        <f t="shared" si="5"/>
        <v>8.0911040000000004E-2</v>
      </c>
      <c r="N33" s="77">
        <f t="shared" si="5"/>
        <v>0</v>
      </c>
      <c r="O33" s="77">
        <f t="shared" si="5"/>
        <v>0</v>
      </c>
      <c r="P33" s="77">
        <f t="shared" si="5"/>
        <v>12.827360000000002</v>
      </c>
      <c r="Q33" s="77">
        <f t="shared" si="10"/>
        <v>52.111150000000002</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14</v>
      </c>
      <c r="C35" s="77">
        <f t="shared" si="6"/>
        <v>100.02874</v>
      </c>
      <c r="D35" s="77">
        <f t="shared" si="7"/>
        <v>52.275808900000001</v>
      </c>
      <c r="E35" s="77">
        <f t="shared" si="8"/>
        <v>10.775290750000002</v>
      </c>
      <c r="F35" s="77">
        <f t="shared" si="9"/>
        <v>5.2964909480000006</v>
      </c>
      <c r="G35" s="77">
        <f t="shared" si="5"/>
        <v>3.6631980000000008E-2</v>
      </c>
      <c r="H35" s="77">
        <f t="shared" si="5"/>
        <v>0.41565580000000008</v>
      </c>
      <c r="I35" s="77">
        <f t="shared" si="5"/>
        <v>5.217282000000001E-3</v>
      </c>
      <c r="J35" s="77">
        <f t="shared" si="5"/>
        <v>1.2334000000000002E-4</v>
      </c>
      <c r="K35" s="77">
        <f t="shared" si="5"/>
        <v>1.2334000000000002E-4</v>
      </c>
      <c r="L35" s="77">
        <f t="shared" si="5"/>
        <v>2.6024740000000005E-2</v>
      </c>
      <c r="M35" s="77">
        <f t="shared" si="5"/>
        <v>8.0911040000000004E-2</v>
      </c>
      <c r="N35" s="77">
        <f t="shared" si="5"/>
        <v>0</v>
      </c>
      <c r="O35" s="77">
        <f t="shared" si="5"/>
        <v>0</v>
      </c>
      <c r="P35" s="77">
        <f t="shared" si="5"/>
        <v>12.827360000000002</v>
      </c>
      <c r="Q35" s="77">
        <f t="shared" si="10"/>
        <v>52.111150000000002</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14</v>
      </c>
      <c r="C36" s="77">
        <f t="shared" si="6"/>
        <v>100.02874</v>
      </c>
      <c r="D36" s="77">
        <f t="shared" si="7"/>
        <v>52.275808900000001</v>
      </c>
      <c r="E36" s="77">
        <f t="shared" si="8"/>
        <v>10.775290750000002</v>
      </c>
      <c r="F36" s="77">
        <f t="shared" si="9"/>
        <v>5.2964909480000006</v>
      </c>
      <c r="G36" s="77">
        <f t="shared" si="5"/>
        <v>3.6631980000000008E-2</v>
      </c>
      <c r="H36" s="77">
        <f t="shared" si="5"/>
        <v>0.41565580000000008</v>
      </c>
      <c r="I36" s="77">
        <f t="shared" si="5"/>
        <v>5.217282000000001E-3</v>
      </c>
      <c r="J36" s="77">
        <f t="shared" si="5"/>
        <v>1.2334000000000002E-4</v>
      </c>
      <c r="K36" s="77">
        <f t="shared" si="5"/>
        <v>1.2334000000000002E-4</v>
      </c>
      <c r="L36" s="77">
        <f t="shared" si="5"/>
        <v>2.6024740000000005E-2</v>
      </c>
      <c r="M36" s="77">
        <f t="shared" si="5"/>
        <v>8.0911040000000004E-2</v>
      </c>
      <c r="N36" s="77">
        <f t="shared" si="5"/>
        <v>0</v>
      </c>
      <c r="O36" s="77">
        <f t="shared" si="5"/>
        <v>0</v>
      </c>
      <c r="P36" s="77">
        <f t="shared" si="5"/>
        <v>12.827360000000002</v>
      </c>
      <c r="Q36" s="77">
        <f t="shared" si="10"/>
        <v>52.111150000000002</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14</v>
      </c>
      <c r="C37" s="77">
        <f t="shared" si="6"/>
        <v>100.02874</v>
      </c>
      <c r="D37" s="77">
        <f t="shared" si="7"/>
        <v>52.275808900000001</v>
      </c>
      <c r="E37" s="77">
        <f t="shared" si="8"/>
        <v>10.775290750000002</v>
      </c>
      <c r="F37" s="77">
        <f t="shared" si="9"/>
        <v>5.2964909480000006</v>
      </c>
      <c r="G37" s="77">
        <f t="shared" si="5"/>
        <v>3.6631980000000008E-2</v>
      </c>
      <c r="H37" s="77">
        <f t="shared" si="5"/>
        <v>0.41565580000000008</v>
      </c>
      <c r="I37" s="77">
        <f t="shared" si="5"/>
        <v>5.217282000000001E-3</v>
      </c>
      <c r="J37" s="77">
        <f t="shared" si="5"/>
        <v>1.2334000000000002E-4</v>
      </c>
      <c r="K37" s="77">
        <f t="shared" si="5"/>
        <v>1.2334000000000002E-4</v>
      </c>
      <c r="L37" s="77">
        <f t="shared" si="5"/>
        <v>2.6024740000000005E-2</v>
      </c>
      <c r="M37" s="77">
        <f t="shared" si="5"/>
        <v>8.0911040000000004E-2</v>
      </c>
      <c r="N37" s="77">
        <f t="shared" si="5"/>
        <v>0</v>
      </c>
      <c r="O37" s="77">
        <f t="shared" si="5"/>
        <v>0</v>
      </c>
      <c r="P37" s="77">
        <f t="shared" si="5"/>
        <v>12.827360000000002</v>
      </c>
      <c r="Q37" s="77">
        <f t="shared" si="10"/>
        <v>52.111150000000002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14</v>
      </c>
      <c r="C38" s="77">
        <f t="shared" si="6"/>
        <v>100.02874</v>
      </c>
      <c r="D38" s="77">
        <f t="shared" si="7"/>
        <v>52.275808900000001</v>
      </c>
      <c r="E38" s="77">
        <f t="shared" si="8"/>
        <v>10.775290750000002</v>
      </c>
      <c r="F38" s="77">
        <f t="shared" si="9"/>
        <v>5.2964909480000006</v>
      </c>
      <c r="G38" s="77">
        <f t="shared" si="5"/>
        <v>3.6631980000000008E-2</v>
      </c>
      <c r="H38" s="77">
        <f t="shared" si="5"/>
        <v>0.41565580000000008</v>
      </c>
      <c r="I38" s="77">
        <f t="shared" si="5"/>
        <v>5.217282000000001E-3</v>
      </c>
      <c r="J38" s="77">
        <f t="shared" si="5"/>
        <v>1.2334000000000002E-4</v>
      </c>
      <c r="K38" s="77">
        <f t="shared" si="5"/>
        <v>1.2334000000000002E-4</v>
      </c>
      <c r="L38" s="77">
        <f t="shared" si="5"/>
        <v>2.6024740000000005E-2</v>
      </c>
      <c r="M38" s="77">
        <f t="shared" si="5"/>
        <v>8.0911040000000004E-2</v>
      </c>
      <c r="N38" s="77">
        <f t="shared" si="5"/>
        <v>0</v>
      </c>
      <c r="O38" s="77">
        <f t="shared" si="5"/>
        <v>0</v>
      </c>
      <c r="P38" s="77">
        <f t="shared" si="5"/>
        <v>12.827360000000002</v>
      </c>
      <c r="Q38" s="77">
        <f t="shared" si="10"/>
        <v>52.111150000000002</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14</v>
      </c>
      <c r="C39" s="77">
        <f t="shared" si="6"/>
        <v>100.02874</v>
      </c>
      <c r="D39" s="77">
        <f t="shared" si="7"/>
        <v>52.275808900000001</v>
      </c>
      <c r="E39" s="77">
        <f t="shared" si="8"/>
        <v>10.775290750000002</v>
      </c>
      <c r="F39" s="77">
        <f t="shared" si="9"/>
        <v>5.2964909480000006</v>
      </c>
      <c r="G39" s="77">
        <f t="shared" si="5"/>
        <v>3.6631980000000008E-2</v>
      </c>
      <c r="H39" s="77">
        <f t="shared" si="5"/>
        <v>0.41565580000000008</v>
      </c>
      <c r="I39" s="77">
        <f t="shared" si="5"/>
        <v>5.217282000000001E-3</v>
      </c>
      <c r="J39" s="77">
        <f t="shared" si="5"/>
        <v>1.2334000000000002E-4</v>
      </c>
      <c r="K39" s="77">
        <f t="shared" si="5"/>
        <v>1.2334000000000002E-4</v>
      </c>
      <c r="L39" s="77">
        <f t="shared" si="5"/>
        <v>2.6024740000000005E-2</v>
      </c>
      <c r="M39" s="77">
        <f t="shared" si="5"/>
        <v>8.0911040000000004E-2</v>
      </c>
      <c r="N39" s="77">
        <f t="shared" si="5"/>
        <v>0</v>
      </c>
      <c r="O39" s="77">
        <f t="shared" si="5"/>
        <v>0</v>
      </c>
      <c r="P39" s="77">
        <f t="shared" si="5"/>
        <v>12.827360000000002</v>
      </c>
      <c r="Q39" s="77">
        <f t="shared" si="10"/>
        <v>52.111150000000002</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14</v>
      </c>
      <c r="C40" s="77">
        <f t="shared" si="6"/>
        <v>100.02874</v>
      </c>
      <c r="D40" s="77">
        <f t="shared" si="7"/>
        <v>52.275808900000001</v>
      </c>
      <c r="E40" s="77">
        <f t="shared" si="8"/>
        <v>10.775290750000002</v>
      </c>
      <c r="F40" s="77">
        <f t="shared" si="9"/>
        <v>5.2964909480000006</v>
      </c>
      <c r="G40" s="77">
        <f t="shared" si="5"/>
        <v>3.6631980000000008E-2</v>
      </c>
      <c r="H40" s="77">
        <f t="shared" si="5"/>
        <v>0.41565580000000008</v>
      </c>
      <c r="I40" s="77">
        <f t="shared" si="5"/>
        <v>5.217282000000001E-3</v>
      </c>
      <c r="J40" s="77">
        <f t="shared" si="5"/>
        <v>1.2334000000000002E-4</v>
      </c>
      <c r="K40" s="77">
        <f t="shared" si="5"/>
        <v>1.2334000000000002E-4</v>
      </c>
      <c r="L40" s="77">
        <f t="shared" si="5"/>
        <v>2.6024740000000005E-2</v>
      </c>
      <c r="M40" s="77">
        <f t="shared" si="5"/>
        <v>8.0911040000000004E-2</v>
      </c>
      <c r="N40" s="77">
        <f t="shared" si="5"/>
        <v>0</v>
      </c>
      <c r="O40" s="77">
        <f t="shared" si="5"/>
        <v>0</v>
      </c>
      <c r="P40" s="77">
        <f t="shared" si="5"/>
        <v>12.827360000000002</v>
      </c>
      <c r="Q40" s="77">
        <f t="shared" si="10"/>
        <v>52.111150000000002</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12</v>
      </c>
      <c r="C41" s="77">
        <f t="shared" si="6"/>
        <v>85.738920000000007</v>
      </c>
      <c r="D41" s="77">
        <f t="shared" si="7"/>
        <v>44.807836200000004</v>
      </c>
      <c r="E41" s="77">
        <f t="shared" si="8"/>
        <v>9.2359635000000022</v>
      </c>
      <c r="F41" s="77">
        <f t="shared" si="9"/>
        <v>4.539849384</v>
      </c>
      <c r="G41" s="77">
        <f t="shared" si="5"/>
        <v>3.1398840000000004E-2</v>
      </c>
      <c r="H41" s="77">
        <f t="shared" si="5"/>
        <v>0.35627640000000005</v>
      </c>
      <c r="I41" s="77">
        <f t="shared" si="5"/>
        <v>4.4719560000000009E-3</v>
      </c>
      <c r="J41" s="77">
        <f t="shared" si="5"/>
        <v>1.0572000000000002E-4</v>
      </c>
      <c r="K41" s="77">
        <f t="shared" si="5"/>
        <v>1.0572000000000002E-4</v>
      </c>
      <c r="L41" s="77">
        <f t="shared" si="5"/>
        <v>2.2306920000000004E-2</v>
      </c>
      <c r="M41" s="77">
        <f t="shared" si="5"/>
        <v>6.9352319999999995E-2</v>
      </c>
      <c r="N41" s="77">
        <f t="shared" si="5"/>
        <v>0</v>
      </c>
      <c r="O41" s="77">
        <f t="shared" si="5"/>
        <v>0</v>
      </c>
      <c r="P41" s="77">
        <f t="shared" si="5"/>
        <v>10.994880000000002</v>
      </c>
      <c r="Q41" s="77">
        <f t="shared" si="10"/>
        <v>44.666700000000006</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12</v>
      </c>
      <c r="C42" s="77">
        <f t="shared" si="6"/>
        <v>85.738920000000007</v>
      </c>
      <c r="D42" s="77">
        <f t="shared" si="7"/>
        <v>44.807836200000004</v>
      </c>
      <c r="E42" s="77">
        <f t="shared" si="8"/>
        <v>9.2359635000000022</v>
      </c>
      <c r="F42" s="77">
        <f t="shared" si="9"/>
        <v>4.539849384</v>
      </c>
      <c r="G42" s="77">
        <f t="shared" si="5"/>
        <v>3.1398840000000004E-2</v>
      </c>
      <c r="H42" s="77">
        <f t="shared" si="5"/>
        <v>0.35627640000000005</v>
      </c>
      <c r="I42" s="77">
        <f t="shared" si="5"/>
        <v>4.4719560000000009E-3</v>
      </c>
      <c r="J42" s="77">
        <f t="shared" si="5"/>
        <v>1.0572000000000002E-4</v>
      </c>
      <c r="K42" s="77">
        <f t="shared" si="5"/>
        <v>1.0572000000000002E-4</v>
      </c>
      <c r="L42" s="77">
        <f t="shared" si="5"/>
        <v>2.2306920000000004E-2</v>
      </c>
      <c r="M42" s="77">
        <f t="shared" si="5"/>
        <v>6.9352319999999995E-2</v>
      </c>
      <c r="N42" s="77">
        <f t="shared" si="5"/>
        <v>0</v>
      </c>
      <c r="O42" s="77">
        <f t="shared" si="5"/>
        <v>0</v>
      </c>
      <c r="P42" s="77">
        <f t="shared" si="5"/>
        <v>10.994880000000002</v>
      </c>
      <c r="Q42" s="77">
        <f t="shared" si="10"/>
        <v>44.666700000000006</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12</v>
      </c>
      <c r="C43" s="77">
        <f t="shared" si="6"/>
        <v>85.738920000000007</v>
      </c>
      <c r="D43" s="77">
        <f t="shared" si="7"/>
        <v>44.807836200000004</v>
      </c>
      <c r="E43" s="77">
        <f t="shared" si="8"/>
        <v>9.2359635000000022</v>
      </c>
      <c r="F43" s="77">
        <f t="shared" si="9"/>
        <v>4.539849384</v>
      </c>
      <c r="G43" s="77">
        <f t="shared" si="5"/>
        <v>3.1398840000000004E-2</v>
      </c>
      <c r="H43" s="77">
        <f t="shared" si="5"/>
        <v>0.35627640000000005</v>
      </c>
      <c r="I43" s="77">
        <f t="shared" si="5"/>
        <v>4.4719560000000009E-3</v>
      </c>
      <c r="J43" s="77">
        <f t="shared" si="5"/>
        <v>1.0572000000000002E-4</v>
      </c>
      <c r="K43" s="77">
        <f t="shared" si="5"/>
        <v>1.0572000000000002E-4</v>
      </c>
      <c r="L43" s="77">
        <f t="shared" si="5"/>
        <v>2.2306920000000004E-2</v>
      </c>
      <c r="M43" s="77">
        <f t="shared" si="5"/>
        <v>6.9352319999999995E-2</v>
      </c>
      <c r="N43" s="77">
        <f t="shared" si="5"/>
        <v>0</v>
      </c>
      <c r="O43" s="77">
        <f t="shared" si="5"/>
        <v>0</v>
      </c>
      <c r="P43" s="77">
        <f t="shared" si="5"/>
        <v>10.994880000000002</v>
      </c>
      <c r="Q43" s="77">
        <f t="shared" si="10"/>
        <v>44.666700000000006</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14</v>
      </c>
      <c r="C44" s="77">
        <f t="shared" si="6"/>
        <v>100.02874</v>
      </c>
      <c r="D44" s="77">
        <f t="shared" si="7"/>
        <v>52.275808900000001</v>
      </c>
      <c r="E44" s="77">
        <f t="shared" si="8"/>
        <v>10.775290750000002</v>
      </c>
      <c r="F44" s="77">
        <f t="shared" si="9"/>
        <v>5.2964909480000006</v>
      </c>
      <c r="G44" s="77">
        <f t="shared" si="5"/>
        <v>3.6631980000000008E-2</v>
      </c>
      <c r="H44" s="77">
        <f t="shared" si="5"/>
        <v>0.41565580000000008</v>
      </c>
      <c r="I44" s="77">
        <f t="shared" si="5"/>
        <v>5.217282000000001E-3</v>
      </c>
      <c r="J44" s="77">
        <f t="shared" si="5"/>
        <v>1.2334000000000002E-4</v>
      </c>
      <c r="K44" s="77">
        <f t="shared" si="5"/>
        <v>1.2334000000000002E-4</v>
      </c>
      <c r="L44" s="77">
        <f t="shared" si="5"/>
        <v>2.6024740000000005E-2</v>
      </c>
      <c r="M44" s="77">
        <f t="shared" si="5"/>
        <v>8.0911040000000004E-2</v>
      </c>
      <c r="N44" s="77">
        <f t="shared" si="5"/>
        <v>0</v>
      </c>
      <c r="O44" s="77">
        <f t="shared" si="5"/>
        <v>0</v>
      </c>
      <c r="P44" s="77">
        <f t="shared" si="5"/>
        <v>12.827360000000002</v>
      </c>
      <c r="Q44" s="77">
        <f t="shared" si="10"/>
        <v>52.111150000000002</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14</v>
      </c>
      <c r="C45" s="77">
        <f t="shared" si="6"/>
        <v>100.02874</v>
      </c>
      <c r="D45" s="77">
        <f t="shared" si="7"/>
        <v>52.275808900000001</v>
      </c>
      <c r="E45" s="77">
        <f t="shared" si="8"/>
        <v>10.775290750000002</v>
      </c>
      <c r="F45" s="77">
        <f t="shared" si="9"/>
        <v>5.2964909480000006</v>
      </c>
      <c r="G45" s="77">
        <f t="shared" si="5"/>
        <v>3.6631980000000008E-2</v>
      </c>
      <c r="H45" s="77">
        <f t="shared" si="5"/>
        <v>0.41565580000000008</v>
      </c>
      <c r="I45" s="77">
        <f t="shared" si="5"/>
        <v>5.217282000000001E-3</v>
      </c>
      <c r="J45" s="77">
        <f t="shared" si="5"/>
        <v>1.2334000000000002E-4</v>
      </c>
      <c r="K45" s="77">
        <f t="shared" si="5"/>
        <v>1.2334000000000002E-4</v>
      </c>
      <c r="L45" s="77">
        <f t="shared" si="5"/>
        <v>2.6024740000000005E-2</v>
      </c>
      <c r="M45" s="77">
        <f t="shared" si="5"/>
        <v>8.0911040000000004E-2</v>
      </c>
      <c r="N45" s="77">
        <f t="shared" si="5"/>
        <v>0</v>
      </c>
      <c r="O45" s="77">
        <f t="shared" si="5"/>
        <v>0</v>
      </c>
      <c r="P45" s="77">
        <f t="shared" si="5"/>
        <v>12.827360000000002</v>
      </c>
      <c r="Q45" s="77">
        <f t="shared" si="10"/>
        <v>52.111150000000002</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14</v>
      </c>
      <c r="C46" s="77">
        <f t="shared" si="6"/>
        <v>100.02874</v>
      </c>
      <c r="D46" s="77">
        <f t="shared" si="7"/>
        <v>52.275808900000001</v>
      </c>
      <c r="E46" s="77">
        <f t="shared" si="8"/>
        <v>10.775290750000002</v>
      </c>
      <c r="F46" s="77">
        <f t="shared" si="9"/>
        <v>5.2964909480000006</v>
      </c>
      <c r="G46" s="77">
        <f t="shared" si="5"/>
        <v>3.6631980000000008E-2</v>
      </c>
      <c r="H46" s="77">
        <f t="shared" si="5"/>
        <v>0.41565580000000008</v>
      </c>
      <c r="I46" s="77">
        <f t="shared" si="5"/>
        <v>5.217282000000001E-3</v>
      </c>
      <c r="J46" s="77">
        <f t="shared" si="5"/>
        <v>1.2334000000000002E-4</v>
      </c>
      <c r="K46" s="77">
        <f t="shared" si="5"/>
        <v>1.2334000000000002E-4</v>
      </c>
      <c r="L46" s="77">
        <f t="shared" si="5"/>
        <v>2.6024740000000005E-2</v>
      </c>
      <c r="M46" s="77">
        <f t="shared" si="5"/>
        <v>8.0911040000000004E-2</v>
      </c>
      <c r="N46" s="77">
        <f t="shared" si="5"/>
        <v>0</v>
      </c>
      <c r="O46" s="77">
        <f t="shared" si="5"/>
        <v>0</v>
      </c>
      <c r="P46" s="77">
        <f t="shared" si="5"/>
        <v>12.827360000000002</v>
      </c>
      <c r="Q46" s="77">
        <f t="shared" si="10"/>
        <v>52.111150000000002</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14</v>
      </c>
      <c r="C47" s="77">
        <f t="shared" si="6"/>
        <v>100.02874</v>
      </c>
      <c r="D47" s="77">
        <f t="shared" si="7"/>
        <v>52.275808900000001</v>
      </c>
      <c r="E47" s="77">
        <f t="shared" si="8"/>
        <v>10.775290750000002</v>
      </c>
      <c r="F47" s="77">
        <f t="shared" si="9"/>
        <v>5.2964909480000006</v>
      </c>
      <c r="G47" s="77">
        <f t="shared" ref="G47:P50" si="12">IF(G$27="%w/w SAR",((G$28*10)*$B47),IF(G$27="%w/w DM",(((G$28*10)*($B$28/100))*$B47),IF(G$27="kg/t SAR",(G$28*$B47),IF(G$27="kg/t DM",((G$28*($B$28/100))*$B47),IF(G$27="mg/kg SAR",((G$28*0.001)*$B47),IF(G$27="mg/kg DM",(((G$28*0.001)*($B$28/100))*$B47),0))))))</f>
        <v>3.6631980000000008E-2</v>
      </c>
      <c r="H47" s="77">
        <f t="shared" si="12"/>
        <v>0.41565580000000008</v>
      </c>
      <c r="I47" s="77">
        <f t="shared" si="12"/>
        <v>5.217282000000001E-3</v>
      </c>
      <c r="J47" s="77">
        <f t="shared" si="12"/>
        <v>1.2334000000000002E-4</v>
      </c>
      <c r="K47" s="77">
        <f t="shared" si="12"/>
        <v>1.2334000000000002E-4</v>
      </c>
      <c r="L47" s="77">
        <f t="shared" si="12"/>
        <v>2.6024740000000005E-2</v>
      </c>
      <c r="M47" s="77">
        <f t="shared" si="12"/>
        <v>8.0911040000000004E-2</v>
      </c>
      <c r="N47" s="77">
        <f t="shared" si="12"/>
        <v>0</v>
      </c>
      <c r="O47" s="77">
        <f t="shared" si="12"/>
        <v>0</v>
      </c>
      <c r="P47" s="77">
        <f t="shared" si="12"/>
        <v>12.827360000000002</v>
      </c>
      <c r="Q47" s="77">
        <f t="shared" si="10"/>
        <v>52.111150000000002</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14</v>
      </c>
      <c r="C48" s="77">
        <f t="shared" si="6"/>
        <v>100.02874</v>
      </c>
      <c r="D48" s="77">
        <f t="shared" si="7"/>
        <v>52.275808900000001</v>
      </c>
      <c r="E48" s="77">
        <f t="shared" si="8"/>
        <v>10.775290750000002</v>
      </c>
      <c r="F48" s="77">
        <f t="shared" si="9"/>
        <v>5.2964909480000006</v>
      </c>
      <c r="G48" s="77">
        <f t="shared" si="12"/>
        <v>3.6631980000000008E-2</v>
      </c>
      <c r="H48" s="77">
        <f t="shared" si="12"/>
        <v>0.41565580000000008</v>
      </c>
      <c r="I48" s="77">
        <f t="shared" si="12"/>
        <v>5.217282000000001E-3</v>
      </c>
      <c r="J48" s="77">
        <f t="shared" si="12"/>
        <v>1.2334000000000002E-4</v>
      </c>
      <c r="K48" s="77">
        <f t="shared" si="12"/>
        <v>1.2334000000000002E-4</v>
      </c>
      <c r="L48" s="77">
        <f t="shared" si="12"/>
        <v>2.6024740000000005E-2</v>
      </c>
      <c r="M48" s="77">
        <f t="shared" si="12"/>
        <v>8.0911040000000004E-2</v>
      </c>
      <c r="N48" s="77">
        <f t="shared" si="12"/>
        <v>0</v>
      </c>
      <c r="O48" s="77">
        <f t="shared" si="12"/>
        <v>0</v>
      </c>
      <c r="P48" s="77">
        <f t="shared" si="12"/>
        <v>12.827360000000002</v>
      </c>
      <c r="Q48" s="77">
        <f t="shared" si="10"/>
        <v>52.111150000000002</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14</v>
      </c>
      <c r="C49" s="77">
        <f t="shared" si="6"/>
        <v>100.02874</v>
      </c>
      <c r="D49" s="77">
        <f t="shared" si="7"/>
        <v>52.275808900000001</v>
      </c>
      <c r="E49" s="77">
        <f t="shared" si="8"/>
        <v>10.775290750000002</v>
      </c>
      <c r="F49" s="77">
        <f t="shared" si="9"/>
        <v>5.2964909480000006</v>
      </c>
      <c r="G49" s="77">
        <f t="shared" si="12"/>
        <v>3.6631980000000008E-2</v>
      </c>
      <c r="H49" s="77">
        <f t="shared" si="12"/>
        <v>0.41565580000000008</v>
      </c>
      <c r="I49" s="77">
        <f t="shared" si="12"/>
        <v>5.217282000000001E-3</v>
      </c>
      <c r="J49" s="77">
        <f t="shared" si="12"/>
        <v>1.2334000000000002E-4</v>
      </c>
      <c r="K49" s="77">
        <f t="shared" si="12"/>
        <v>1.2334000000000002E-4</v>
      </c>
      <c r="L49" s="77">
        <f t="shared" si="12"/>
        <v>2.6024740000000005E-2</v>
      </c>
      <c r="M49" s="77">
        <f t="shared" si="12"/>
        <v>8.0911040000000004E-2</v>
      </c>
      <c r="N49" s="77">
        <f t="shared" si="12"/>
        <v>0</v>
      </c>
      <c r="O49" s="77">
        <f t="shared" si="12"/>
        <v>0</v>
      </c>
      <c r="P49" s="77">
        <f t="shared" si="12"/>
        <v>12.827360000000002</v>
      </c>
      <c r="Q49" s="77">
        <f t="shared" si="10"/>
        <v>52.111150000000002</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14</v>
      </c>
      <c r="C50" s="98">
        <f t="shared" si="6"/>
        <v>100.02874</v>
      </c>
      <c r="D50" s="98">
        <f t="shared" si="7"/>
        <v>52.275808900000001</v>
      </c>
      <c r="E50" s="98">
        <f t="shared" si="8"/>
        <v>10.775290750000002</v>
      </c>
      <c r="F50" s="98">
        <f t="shared" si="9"/>
        <v>5.2964909480000006</v>
      </c>
      <c r="G50" s="98">
        <f t="shared" si="12"/>
        <v>3.6631980000000008E-2</v>
      </c>
      <c r="H50" s="98">
        <f t="shared" si="12"/>
        <v>0.41565580000000008</v>
      </c>
      <c r="I50" s="98">
        <f t="shared" si="12"/>
        <v>5.217282000000001E-3</v>
      </c>
      <c r="J50" s="98">
        <f t="shared" si="12"/>
        <v>1.2334000000000002E-4</v>
      </c>
      <c r="K50" s="98">
        <f t="shared" si="12"/>
        <v>1.2334000000000002E-4</v>
      </c>
      <c r="L50" s="98">
        <f t="shared" si="12"/>
        <v>2.6024740000000005E-2</v>
      </c>
      <c r="M50" s="98">
        <f t="shared" si="12"/>
        <v>8.0911040000000004E-2</v>
      </c>
      <c r="N50" s="98">
        <f t="shared" si="12"/>
        <v>0</v>
      </c>
      <c r="O50" s="98">
        <f t="shared" si="12"/>
        <v>0</v>
      </c>
      <c r="P50" s="98">
        <f t="shared" si="12"/>
        <v>12.827360000000002</v>
      </c>
      <c r="Q50" s="98">
        <f t="shared" si="10"/>
        <v>52.111150000000002</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Arable</v>
      </c>
      <c r="K58" s="13" t="str">
        <f>L16&amp;" I "&amp;(VLOOKUP(L14,Table24581114[],6,FALSE))</f>
        <v>Medium/Clay I Arable</v>
      </c>
      <c r="L58" s="13" t="str">
        <f>M16&amp;" I "&amp;(VLOOKUP(M14,Table24581114[],6,FALSE))</f>
        <v>Medium/Clay I Arable</v>
      </c>
      <c r="M58" s="13" t="str">
        <f>N16&amp;" I "&amp;(VLOOKUP(N14,Table24581114[],6,FALSE))</f>
        <v>Medium/Clay I Arable</v>
      </c>
      <c r="N58" s="13" t="str">
        <f>O16&amp;" I "&amp;(VLOOKUP(O14,Table24581114[],6,FALSE))</f>
        <v>Medium/Clay I Arable</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6.7</v>
      </c>
      <c r="H59" s="76">
        <f>VLOOKUP(I$14,Table24581114[],5,FALSE)</f>
        <v>6.7</v>
      </c>
      <c r="I59" s="76">
        <f>VLOOKUP(J$14,Table24581114[],5,FALSE)</f>
        <v>6.7</v>
      </c>
      <c r="J59" s="76">
        <f>VLOOKUP(K$14,Table24581114[],5,FALSE)</f>
        <v>6.7</v>
      </c>
      <c r="K59" s="76">
        <f>VLOOKUP(L$14,Table24581114[],5,FALSE)</f>
        <v>6.7</v>
      </c>
      <c r="L59" s="76">
        <f>VLOOKUP(M$14,Table24581114[],5,FALSE)</f>
        <v>6.7</v>
      </c>
      <c r="M59" s="76">
        <f>VLOOKUP(N$14,Table24581114[],5,FALSE)</f>
        <v>6.7</v>
      </c>
      <c r="N59" s="76">
        <f>VLOOKUP(O$14,Table24581114[],5,FALSE)</f>
        <v>6.7</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14</v>
      </c>
      <c r="C62" s="77">
        <f>B32</f>
        <v>14</v>
      </c>
      <c r="D62" s="77">
        <f>B33</f>
        <v>14</v>
      </c>
      <c r="E62" s="77">
        <f>B34</f>
        <v>0</v>
      </c>
      <c r="F62" s="77">
        <f>B35</f>
        <v>14</v>
      </c>
      <c r="G62" s="77">
        <f>B36</f>
        <v>14</v>
      </c>
      <c r="H62" s="77">
        <f>B37</f>
        <v>14</v>
      </c>
      <c r="I62" s="77">
        <f>B38</f>
        <v>14</v>
      </c>
      <c r="J62" s="77">
        <f>B39</f>
        <v>14</v>
      </c>
      <c r="K62" s="77">
        <f>B40</f>
        <v>14</v>
      </c>
      <c r="L62" s="77">
        <f>B41</f>
        <v>12</v>
      </c>
      <c r="M62" s="77">
        <f>B42</f>
        <v>12</v>
      </c>
      <c r="N62" s="77">
        <f>B43</f>
        <v>12</v>
      </c>
      <c r="O62" s="77">
        <f>B44</f>
        <v>14</v>
      </c>
      <c r="P62" s="77">
        <f>B45</f>
        <v>14</v>
      </c>
      <c r="Q62" s="77">
        <f>B46</f>
        <v>14</v>
      </c>
      <c r="R62" s="77">
        <f>B47</f>
        <v>14</v>
      </c>
      <c r="S62" s="77">
        <f>B48</f>
        <v>14</v>
      </c>
      <c r="T62" s="77">
        <f>B49</f>
        <v>14</v>
      </c>
      <c r="U62" s="77">
        <f>B50</f>
        <v>14</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42" sqref="A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5.33</v>
      </c>
      <c r="J1" s="127" t="s">
        <v>153</v>
      </c>
      <c r="K1" s="127"/>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179</v>
      </c>
      <c r="G2" s="125" t="s">
        <v>110</v>
      </c>
      <c r="H2" s="126"/>
      <c r="I2" s="118">
        <v>890</v>
      </c>
      <c r="J2" s="127" t="s">
        <v>158</v>
      </c>
      <c r="K2" s="127"/>
      <c r="L2" s="97">
        <v>0.04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c r="J3" s="123" t="s">
        <v>154</v>
      </c>
      <c r="K3" s="124"/>
      <c r="L3" s="97">
        <f>(L1/(L2*10000))*100</f>
        <v>60.5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54.525799999999997</v>
      </c>
      <c r="D18" s="16">
        <f>$D32</f>
        <v>54.525799999999997</v>
      </c>
      <c r="E18" s="16">
        <f>$D33</f>
        <v>54.525799999999997</v>
      </c>
      <c r="F18" s="16">
        <f>$D34</f>
        <v>0</v>
      </c>
      <c r="G18" s="16">
        <f>$D35</f>
        <v>54.525799999999997</v>
      </c>
      <c r="H18" s="16">
        <f>$D36</f>
        <v>54.525799999999997</v>
      </c>
      <c r="I18" s="16">
        <f>$D37</f>
        <v>54.525799999999997</v>
      </c>
      <c r="J18" s="16">
        <f>$D38</f>
        <v>54.525799999999997</v>
      </c>
      <c r="K18" s="16">
        <f>$D39</f>
        <v>54.525799999999997</v>
      </c>
      <c r="L18" s="16">
        <f>$D40</f>
        <v>54.525799999999997</v>
      </c>
      <c r="M18" s="16">
        <f>$D41</f>
        <v>44.903600000000004</v>
      </c>
      <c r="N18" s="16">
        <f>$D42</f>
        <v>44.903600000000004</v>
      </c>
      <c r="O18" s="16">
        <f>$D43</f>
        <v>44.903600000000004</v>
      </c>
      <c r="P18" s="16">
        <f>$D44</f>
        <v>54.525799999999997</v>
      </c>
      <c r="Q18" s="16">
        <f>$D45</f>
        <v>54.525799999999997</v>
      </c>
      <c r="R18" s="16">
        <f>$D46</f>
        <v>54.525799999999997</v>
      </c>
      <c r="S18" s="16">
        <f>$D47</f>
        <v>54.525799999999997</v>
      </c>
      <c r="T18" s="16">
        <f>$D48</f>
        <v>54.525799999999997</v>
      </c>
      <c r="U18" s="16">
        <f>$D49</f>
        <v>54.525799999999997</v>
      </c>
      <c r="V18" s="25">
        <f>$D50</f>
        <v>54.525799999999997</v>
      </c>
      <c r="AD18" s="52" t="s">
        <v>147</v>
      </c>
      <c r="AE18" s="30">
        <v>16</v>
      </c>
      <c r="AI18" s="48" t="s">
        <v>106</v>
      </c>
      <c r="AJ18" s="49">
        <v>5.9</v>
      </c>
      <c r="AK18" s="50">
        <v>18</v>
      </c>
      <c r="AL18" s="51">
        <v>16</v>
      </c>
      <c r="AM18" s="11">
        <v>6.2</v>
      </c>
      <c r="AN18" s="11" t="s">
        <v>112</v>
      </c>
    </row>
    <row r="19" spans="1:40" x14ac:dyDescent="0.2">
      <c r="A19" s="131" t="s">
        <v>90</v>
      </c>
      <c r="B19" s="132"/>
      <c r="C19" s="16">
        <f>C18-C17</f>
        <v>-10.074199999999998</v>
      </c>
      <c r="D19" s="16">
        <f t="shared" ref="D19:V19" si="1">D18-D17</f>
        <v>-10.074199999999998</v>
      </c>
      <c r="E19" s="16">
        <f t="shared" si="1"/>
        <v>-10.074199999999998</v>
      </c>
      <c r="F19" s="16">
        <f t="shared" si="1"/>
        <v>-64.599999999999994</v>
      </c>
      <c r="G19" s="16">
        <f t="shared" si="1"/>
        <v>-10.074199999999998</v>
      </c>
      <c r="H19" s="16">
        <f t="shared" si="1"/>
        <v>-1.4742000000000033</v>
      </c>
      <c r="I19" s="16">
        <f t="shared" si="1"/>
        <v>-1.4742000000000033</v>
      </c>
      <c r="J19" s="16">
        <f t="shared" si="1"/>
        <v>-1.4742000000000033</v>
      </c>
      <c r="K19" s="16">
        <f t="shared" si="1"/>
        <v>-1.4742000000000033</v>
      </c>
      <c r="L19" s="16">
        <f t="shared" si="1"/>
        <v>-1.4742000000000033</v>
      </c>
      <c r="M19" s="16">
        <f t="shared" si="1"/>
        <v>-1.8463999999999956</v>
      </c>
      <c r="N19" s="16">
        <f t="shared" si="1"/>
        <v>-1.8463999999999956</v>
      </c>
      <c r="O19" s="16">
        <f t="shared" si="1"/>
        <v>-1.8463999999999956</v>
      </c>
      <c r="P19" s="16">
        <f t="shared" si="1"/>
        <v>45.175799999999995</v>
      </c>
      <c r="Q19" s="16">
        <f t="shared" si="1"/>
        <v>45.175799999999995</v>
      </c>
      <c r="R19" s="16">
        <f t="shared" si="1"/>
        <v>45.175799999999995</v>
      </c>
      <c r="S19" s="16">
        <f t="shared" si="1"/>
        <v>45.175799999999995</v>
      </c>
      <c r="T19" s="16">
        <f t="shared" si="1"/>
        <v>45.175799999999995</v>
      </c>
      <c r="U19" s="16">
        <f t="shared" si="1"/>
        <v>45.175799999999995</v>
      </c>
      <c r="V19" s="25">
        <f t="shared" si="1"/>
        <v>45.175799999999995</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57.767700000000012</v>
      </c>
      <c r="D22" s="16">
        <f>$E32</f>
        <v>57.767700000000012</v>
      </c>
      <c r="E22" s="16">
        <f>$E33</f>
        <v>57.767700000000012</v>
      </c>
      <c r="F22" s="16">
        <f>$E34</f>
        <v>0</v>
      </c>
      <c r="G22" s="16">
        <f>$E35</f>
        <v>57.767700000000012</v>
      </c>
      <c r="H22" s="16">
        <f>$E36</f>
        <v>57.767700000000012</v>
      </c>
      <c r="I22" s="16">
        <f>$E37</f>
        <v>57.767700000000012</v>
      </c>
      <c r="J22" s="16">
        <f>$E38</f>
        <v>57.767700000000012</v>
      </c>
      <c r="K22" s="16">
        <f>$E39</f>
        <v>57.767700000000012</v>
      </c>
      <c r="L22" s="16">
        <f>$E40</f>
        <v>57.767700000000012</v>
      </c>
      <c r="M22" s="16">
        <f>$E41</f>
        <v>47.573400000000007</v>
      </c>
      <c r="N22" s="16">
        <f>$E42</f>
        <v>47.573400000000007</v>
      </c>
      <c r="O22" s="16">
        <f>$E43</f>
        <v>47.573400000000007</v>
      </c>
      <c r="P22" s="16">
        <f>$E44</f>
        <v>57.767700000000012</v>
      </c>
      <c r="Q22" s="16">
        <f>$E45</f>
        <v>57.767700000000012</v>
      </c>
      <c r="R22" s="16">
        <f>$E46</f>
        <v>57.767700000000012</v>
      </c>
      <c r="S22" s="16">
        <f>$E47</f>
        <v>57.767700000000012</v>
      </c>
      <c r="T22" s="16">
        <f>$E48</f>
        <v>57.767700000000012</v>
      </c>
      <c r="U22" s="16">
        <f>$E49</f>
        <v>57.767700000000012</v>
      </c>
      <c r="V22" s="16">
        <f>$E50</f>
        <v>57.767700000000012</v>
      </c>
      <c r="AI22" s="63" t="s">
        <v>102</v>
      </c>
      <c r="AJ22" s="64">
        <v>1.2</v>
      </c>
      <c r="AK22" s="65">
        <v>5</v>
      </c>
      <c r="AL22" s="29">
        <v>20</v>
      </c>
      <c r="AM22" s="11">
        <v>6.7</v>
      </c>
      <c r="AN22" s="11" t="s">
        <v>135</v>
      </c>
    </row>
    <row r="23" spans="1:40" x14ac:dyDescent="0.2">
      <c r="A23" s="131" t="s">
        <v>92</v>
      </c>
      <c r="B23" s="132"/>
      <c r="C23" s="16">
        <f>C22-C21</f>
        <v>-170.23229999999998</v>
      </c>
      <c r="D23" s="16">
        <f t="shared" ref="D23:V23" si="3">D22-D21</f>
        <v>-170.23229999999998</v>
      </c>
      <c r="E23" s="16">
        <f t="shared" si="3"/>
        <v>-170.23229999999998</v>
      </c>
      <c r="F23" s="16">
        <f t="shared" si="3"/>
        <v>-228</v>
      </c>
      <c r="G23" s="16">
        <f t="shared" si="3"/>
        <v>-170.23229999999998</v>
      </c>
      <c r="H23" s="16">
        <f t="shared" si="3"/>
        <v>-118.23229999999998</v>
      </c>
      <c r="I23" s="16">
        <f t="shared" si="3"/>
        <v>-118.23229999999998</v>
      </c>
      <c r="J23" s="16">
        <f t="shared" si="3"/>
        <v>-118.23229999999998</v>
      </c>
      <c r="K23" s="16">
        <f t="shared" si="3"/>
        <v>-118.23229999999998</v>
      </c>
      <c r="L23" s="16">
        <f t="shared" si="3"/>
        <v>-118.23229999999998</v>
      </c>
      <c r="M23" s="16">
        <f t="shared" si="3"/>
        <v>-18.426599999999993</v>
      </c>
      <c r="N23" s="16">
        <f t="shared" si="3"/>
        <v>-18.426599999999993</v>
      </c>
      <c r="O23" s="16">
        <f t="shared" si="3"/>
        <v>-18.426599999999993</v>
      </c>
      <c r="P23" s="16">
        <f t="shared" si="3"/>
        <v>24.767700000000012</v>
      </c>
      <c r="Q23" s="16">
        <f t="shared" si="3"/>
        <v>24.767700000000012</v>
      </c>
      <c r="R23" s="16">
        <f t="shared" si="3"/>
        <v>24.767700000000012</v>
      </c>
      <c r="S23" s="16">
        <f t="shared" si="3"/>
        <v>24.767700000000012</v>
      </c>
      <c r="T23" s="16">
        <f t="shared" si="3"/>
        <v>24.767700000000012</v>
      </c>
      <c r="U23" s="16">
        <f t="shared" si="3"/>
        <v>24.767700000000012</v>
      </c>
      <c r="V23" s="16">
        <f t="shared" si="3"/>
        <v>24.767700000000012</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INCREASE</v>
      </c>
      <c r="Q24" s="26" t="str">
        <f t="shared" si="4"/>
        <v>INCREASE</v>
      </c>
      <c r="R24" s="26" t="str">
        <f t="shared" si="4"/>
        <v>INCREASE</v>
      </c>
      <c r="S24" s="26" t="str">
        <f t="shared" si="4"/>
        <v>INCREASE</v>
      </c>
      <c r="T24" s="26" t="str">
        <f t="shared" si="4"/>
        <v>INCREASE</v>
      </c>
      <c r="U24" s="26" t="str">
        <f t="shared" si="4"/>
        <v>INCREASE</v>
      </c>
      <c r="V24" s="26" t="str">
        <f t="shared" si="4"/>
        <v>INCREASE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170</v>
      </c>
      <c r="C31" s="77">
        <f>IF(C$27="%w/w SAR",((C$28*10)*$B31),IF(C$27="%w/w DM",(((C$28*10)*($B$28/100))*$B31),IF(C$27="kg/t SAR",(C$28*$B31),IF(C$27="kg/t DM",((C$28*($B$28/100))*$B31),IF(C$27="mg/kg SAR",((C$28*0.001)*$B31),IF(C$27="mg/kg DM",(((C$28*0.001)*($B$28/100))*$B31),0))))))</f>
        <v>68</v>
      </c>
      <c r="D31" s="77">
        <f>(IF(D$27="%w/w SAR",((D$28*10)*$B31),IF(D$27="%w/w DM",(((D$28*10)*($B$28/100))*$B31),IF(D$27="kg/t SAR",(D$28*$B31),IF(D$27="kg/t DM",((D$28*($B$28/100))*$B31),IF(D$27="mg/kg SAR",((D$28*0.001)*$B31),IF(D$27="mg/kg DM",(((D$28*0.001)*($B$28/100))*$B31),"0")))))))*2.291</f>
        <v>54.525799999999997</v>
      </c>
      <c r="E31" s="77">
        <f>(IF(E$27="%w/w SAR",((E$28*10)*$B31),IF(E$27="%w/w DM",(((E$28*10)*($B$28/100))*$B31),IF(E$27="kg/t SAR",(E$28*$B31),IF(E$27="kg/t DM",((E$28*($B$28/100))*$B31),IF(E$27="mg/kg SAR",((E$28*0.001)*$B31),IF(E$27="mg/kg DM",(((E$28*0.001)*($B$28/100))*$B31),"0")))))))*1.205</f>
        <v>57.767700000000012</v>
      </c>
      <c r="F31" s="77">
        <f>(IF(F$27="%w/w SAR",((F$28*10)*$B31),IF(F$27="%w/w DM",(((F$28*10)*($B$28/100))*$B31),IF(F$27="kg/t SAR",(F$28*$B31),IF(F$27="kg/t DM",((F$28*($B$28/100))*$B31),IF(F$27="mg/kg SAR",((F$28*0.001)*$B31),IF(F$27="mg/kg DM",(((F$28*0.001)*($B$28/100))*$B31),"0")))))))*1.658</f>
        <v>9.6959839999999993</v>
      </c>
      <c r="G31" s="77">
        <f t="shared" ref="G31:P46" si="5">IF(G$27="%w/w SAR",((G$28*10)*$B31),IF(G$27="%w/w DM",(((G$28*10)*($B$28/100))*$B31),IF(G$27="kg/t SAR",(G$28*$B31),IF(G$27="kg/t DM",((G$28*($B$28/100))*$B31),IF(G$27="mg/kg SAR",((G$28*0.001)*$B31),IF(G$27="mg/kg DM",(((G$28*0.001)*($B$28/100))*$B31),0))))))</f>
        <v>0.27710000000000001</v>
      </c>
      <c r="H31" s="77">
        <f t="shared" si="5"/>
        <v>8.5000000000000006E-2</v>
      </c>
      <c r="I31" s="77">
        <f t="shared" si="5"/>
        <v>8.5000000000000006E-2</v>
      </c>
      <c r="J31" s="77">
        <f t="shared" si="5"/>
        <v>1.7000000000000001E-3</v>
      </c>
      <c r="K31" s="77">
        <f t="shared" si="5"/>
        <v>8.5000000000000006E-3</v>
      </c>
      <c r="L31" s="77">
        <f t="shared" si="5"/>
        <v>3.4000000000000002E-2</v>
      </c>
      <c r="M31" s="77">
        <f t="shared" si="5"/>
        <v>3.4000000000000002E-2</v>
      </c>
      <c r="N31" s="77">
        <f t="shared" si="5"/>
        <v>0</v>
      </c>
      <c r="O31" s="77">
        <f t="shared" si="5"/>
        <v>0</v>
      </c>
      <c r="P31" s="77">
        <f t="shared" si="5"/>
        <v>150.96</v>
      </c>
      <c r="Q31" s="77">
        <f>(IF(Q$27="%w/w SAR",((Q$28*10)*$B31),IF(Q$27="%w/w DM",(((Q$28*10)*($B$28/100))*$B31),IF(Q$27="kg/t SAR",(Q$28*$B31),IF(Q$27="kg/t DM",((Q$28*($B$28/100))*$B31),IF(Q$27="mg/kg SAR",((Q$28*0.001)*$B31),IF(Q$27="mg/kg DM",(((Q$28*0.001)*($B$28/100))*$B31),0)))))))*2.5</f>
        <v>18.912499999999998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170</v>
      </c>
      <c r="C32" s="77">
        <f t="shared" ref="C32:C50" si="6">IF(C$27="%w/w SAR",((C$28*10)*$B32),IF(C$27="%w/w DM",(((C$28*10)*($B$28/100))*$B32),IF(C$27="kg/t SAR",(C$28*$B32),IF(C$27="kg/t DM",((C$28*($B$28/100))*$B32),IF(C$27="mg/kg SAR",((C$28*0.001)*$B32),IF(C$27="mg/kg DM",(((C$28*0.001)*($B$28/100))*$B32),0))))))</f>
        <v>68</v>
      </c>
      <c r="D32" s="77">
        <f t="shared" ref="D32:D50" si="7">(IF(D$27="%w/w SAR",((D$28*10)*$B32),IF(D$27="%w/w DM",(((D$28*10)*($B$28/100))*$B32),IF(D$27="kg/t SAR",(D$28*$B32),IF(D$27="kg/t DM",((D$28*($B$28/100))*$B32),IF(D$27="mg/kg SAR",((D$28*0.001)*$B32),IF(D$27="mg/kg DM",(((D$28*0.001)*($B$28/100))*$B32),"0")))))))*2.291</f>
        <v>54.525799999999997</v>
      </c>
      <c r="E32" s="77">
        <f t="shared" ref="E32:E50" si="8">(IF(E$27="%w/w SAR",((E$28*10)*$B32),IF(E$27="%w/w DM",(((E$28*10)*($B$28/100))*$B32),IF(E$27="kg/t SAR",(E$28*$B32),IF(E$27="kg/t DM",((E$28*($B$28/100))*$B32),IF(E$27="mg/kg SAR",((E$28*0.001)*$B32),IF(E$27="mg/kg DM",(((E$28*0.001)*($B$28/100))*$B32),"0")))))))*1.205</f>
        <v>57.767700000000012</v>
      </c>
      <c r="F32" s="77">
        <f t="shared" ref="F32:F50" si="9">(IF(F$27="%w/w SAR",((F$28*10)*$B32),IF(F$27="%w/w DM",(((F$28*10)*($B$28/100))*$B32),IF(F$27="kg/t SAR",(F$28*$B32),IF(F$27="kg/t DM",((F$28*($B$28/100))*$B32),IF(F$27="mg/kg SAR",((F$28*0.001)*$B32),IF(F$27="mg/kg DM",(((F$28*0.001)*($B$28/100))*$B32),"0")))))))*1.658</f>
        <v>9.6959839999999993</v>
      </c>
      <c r="G32" s="77">
        <f t="shared" si="5"/>
        <v>0.27710000000000001</v>
      </c>
      <c r="H32" s="77">
        <f t="shared" si="5"/>
        <v>8.5000000000000006E-2</v>
      </c>
      <c r="I32" s="77">
        <f t="shared" si="5"/>
        <v>8.5000000000000006E-2</v>
      </c>
      <c r="J32" s="77">
        <f t="shared" si="5"/>
        <v>1.7000000000000001E-3</v>
      </c>
      <c r="K32" s="77">
        <f t="shared" si="5"/>
        <v>8.5000000000000006E-3</v>
      </c>
      <c r="L32" s="77">
        <f t="shared" si="5"/>
        <v>3.4000000000000002E-2</v>
      </c>
      <c r="M32" s="77">
        <f t="shared" si="5"/>
        <v>3.4000000000000002E-2</v>
      </c>
      <c r="N32" s="77">
        <f t="shared" si="5"/>
        <v>0</v>
      </c>
      <c r="O32" s="77">
        <f t="shared" si="5"/>
        <v>0</v>
      </c>
      <c r="P32" s="77">
        <f t="shared" si="5"/>
        <v>150.96</v>
      </c>
      <c r="Q32" s="77">
        <f t="shared" ref="Q32:Q50" si="10">(IF(Q$27="%w/w SAR",((Q$28*10)*$B32),IF(Q$27="%w/w DM",(((Q$28*10)*($B$28/100))*$B32),IF(Q$27="kg/t SAR",(Q$28*$B32),IF(Q$27="kg/t DM",((Q$28*($B$28/100))*$B32),IF(Q$27="mg/kg SAR",((Q$28*0.001)*$B32),IF(Q$27="mg/kg DM",(((Q$28*0.001)*($B$28/100))*$B32),0)))))))*2.5</f>
        <v>18.912499999999998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170</v>
      </c>
      <c r="C33" s="77">
        <f t="shared" si="6"/>
        <v>68</v>
      </c>
      <c r="D33" s="77">
        <f t="shared" si="7"/>
        <v>54.525799999999997</v>
      </c>
      <c r="E33" s="77">
        <f t="shared" si="8"/>
        <v>57.767700000000012</v>
      </c>
      <c r="F33" s="77">
        <f t="shared" si="9"/>
        <v>9.6959839999999993</v>
      </c>
      <c r="G33" s="77">
        <f t="shared" si="5"/>
        <v>0.27710000000000001</v>
      </c>
      <c r="H33" s="77">
        <f t="shared" si="5"/>
        <v>8.5000000000000006E-2</v>
      </c>
      <c r="I33" s="77">
        <f t="shared" si="5"/>
        <v>8.5000000000000006E-2</v>
      </c>
      <c r="J33" s="77">
        <f t="shared" si="5"/>
        <v>1.7000000000000001E-3</v>
      </c>
      <c r="K33" s="77">
        <f t="shared" si="5"/>
        <v>8.5000000000000006E-3</v>
      </c>
      <c r="L33" s="77">
        <f t="shared" si="5"/>
        <v>3.4000000000000002E-2</v>
      </c>
      <c r="M33" s="77">
        <f t="shared" si="5"/>
        <v>3.4000000000000002E-2</v>
      </c>
      <c r="N33" s="77">
        <f t="shared" si="5"/>
        <v>0</v>
      </c>
      <c r="O33" s="77">
        <f t="shared" si="5"/>
        <v>0</v>
      </c>
      <c r="P33" s="77">
        <f t="shared" si="5"/>
        <v>150.96</v>
      </c>
      <c r="Q33" s="77">
        <f t="shared" si="10"/>
        <v>18.912499999999998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170</v>
      </c>
      <c r="C35" s="77">
        <f t="shared" si="6"/>
        <v>68</v>
      </c>
      <c r="D35" s="77">
        <f t="shared" si="7"/>
        <v>54.525799999999997</v>
      </c>
      <c r="E35" s="77">
        <f t="shared" si="8"/>
        <v>57.767700000000012</v>
      </c>
      <c r="F35" s="77">
        <f t="shared" si="9"/>
        <v>9.6959839999999993</v>
      </c>
      <c r="G35" s="77">
        <f t="shared" si="5"/>
        <v>0.27710000000000001</v>
      </c>
      <c r="H35" s="77">
        <f t="shared" si="5"/>
        <v>8.5000000000000006E-2</v>
      </c>
      <c r="I35" s="77">
        <f t="shared" si="5"/>
        <v>8.5000000000000006E-2</v>
      </c>
      <c r="J35" s="77">
        <f t="shared" si="5"/>
        <v>1.7000000000000001E-3</v>
      </c>
      <c r="K35" s="77">
        <f t="shared" si="5"/>
        <v>8.5000000000000006E-3</v>
      </c>
      <c r="L35" s="77">
        <f t="shared" si="5"/>
        <v>3.4000000000000002E-2</v>
      </c>
      <c r="M35" s="77">
        <f t="shared" si="5"/>
        <v>3.4000000000000002E-2</v>
      </c>
      <c r="N35" s="77">
        <f t="shared" si="5"/>
        <v>0</v>
      </c>
      <c r="O35" s="77">
        <f t="shared" si="5"/>
        <v>0</v>
      </c>
      <c r="P35" s="77">
        <f t="shared" si="5"/>
        <v>150.96</v>
      </c>
      <c r="Q35" s="77">
        <f t="shared" si="10"/>
        <v>18.912499999999998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170</v>
      </c>
      <c r="C36" s="77">
        <f t="shared" si="6"/>
        <v>68</v>
      </c>
      <c r="D36" s="77">
        <f t="shared" si="7"/>
        <v>54.525799999999997</v>
      </c>
      <c r="E36" s="77">
        <f t="shared" si="8"/>
        <v>57.767700000000012</v>
      </c>
      <c r="F36" s="77">
        <f t="shared" si="9"/>
        <v>9.6959839999999993</v>
      </c>
      <c r="G36" s="77">
        <f t="shared" si="5"/>
        <v>0.27710000000000001</v>
      </c>
      <c r="H36" s="77">
        <f t="shared" si="5"/>
        <v>8.5000000000000006E-2</v>
      </c>
      <c r="I36" s="77">
        <f t="shared" si="5"/>
        <v>8.5000000000000006E-2</v>
      </c>
      <c r="J36" s="77">
        <f t="shared" si="5"/>
        <v>1.7000000000000001E-3</v>
      </c>
      <c r="K36" s="77">
        <f t="shared" si="5"/>
        <v>8.5000000000000006E-3</v>
      </c>
      <c r="L36" s="77">
        <f t="shared" si="5"/>
        <v>3.4000000000000002E-2</v>
      </c>
      <c r="M36" s="77">
        <f t="shared" si="5"/>
        <v>3.4000000000000002E-2</v>
      </c>
      <c r="N36" s="77">
        <f t="shared" si="5"/>
        <v>0</v>
      </c>
      <c r="O36" s="77">
        <f t="shared" si="5"/>
        <v>0</v>
      </c>
      <c r="P36" s="77">
        <f t="shared" si="5"/>
        <v>150.96</v>
      </c>
      <c r="Q36" s="77">
        <f t="shared" si="10"/>
        <v>18.912499999999998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170</v>
      </c>
      <c r="C37" s="77">
        <f t="shared" si="6"/>
        <v>68</v>
      </c>
      <c r="D37" s="77">
        <f t="shared" si="7"/>
        <v>54.525799999999997</v>
      </c>
      <c r="E37" s="77">
        <f t="shared" si="8"/>
        <v>57.767700000000012</v>
      </c>
      <c r="F37" s="77">
        <f t="shared" si="9"/>
        <v>9.6959839999999993</v>
      </c>
      <c r="G37" s="77">
        <f t="shared" si="5"/>
        <v>0.27710000000000001</v>
      </c>
      <c r="H37" s="77">
        <f t="shared" si="5"/>
        <v>8.5000000000000006E-2</v>
      </c>
      <c r="I37" s="77">
        <f t="shared" si="5"/>
        <v>8.5000000000000006E-2</v>
      </c>
      <c r="J37" s="77">
        <f t="shared" si="5"/>
        <v>1.7000000000000001E-3</v>
      </c>
      <c r="K37" s="77">
        <f t="shared" si="5"/>
        <v>8.5000000000000006E-3</v>
      </c>
      <c r="L37" s="77">
        <f t="shared" si="5"/>
        <v>3.4000000000000002E-2</v>
      </c>
      <c r="M37" s="77">
        <f t="shared" si="5"/>
        <v>3.4000000000000002E-2</v>
      </c>
      <c r="N37" s="77">
        <f t="shared" si="5"/>
        <v>0</v>
      </c>
      <c r="O37" s="77">
        <f t="shared" si="5"/>
        <v>0</v>
      </c>
      <c r="P37" s="77">
        <f t="shared" si="5"/>
        <v>150.96</v>
      </c>
      <c r="Q37" s="77">
        <f t="shared" si="10"/>
        <v>18.912499999999998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170</v>
      </c>
      <c r="C38" s="77">
        <f t="shared" si="6"/>
        <v>68</v>
      </c>
      <c r="D38" s="77">
        <f t="shared" si="7"/>
        <v>54.525799999999997</v>
      </c>
      <c r="E38" s="77">
        <f t="shared" si="8"/>
        <v>57.767700000000012</v>
      </c>
      <c r="F38" s="77">
        <f t="shared" si="9"/>
        <v>9.6959839999999993</v>
      </c>
      <c r="G38" s="77">
        <f t="shared" si="5"/>
        <v>0.27710000000000001</v>
      </c>
      <c r="H38" s="77">
        <f t="shared" si="5"/>
        <v>8.5000000000000006E-2</v>
      </c>
      <c r="I38" s="77">
        <f t="shared" si="5"/>
        <v>8.5000000000000006E-2</v>
      </c>
      <c r="J38" s="77">
        <f t="shared" si="5"/>
        <v>1.7000000000000001E-3</v>
      </c>
      <c r="K38" s="77">
        <f t="shared" si="5"/>
        <v>8.5000000000000006E-3</v>
      </c>
      <c r="L38" s="77">
        <f t="shared" si="5"/>
        <v>3.4000000000000002E-2</v>
      </c>
      <c r="M38" s="77">
        <f t="shared" si="5"/>
        <v>3.4000000000000002E-2</v>
      </c>
      <c r="N38" s="77">
        <f t="shared" si="5"/>
        <v>0</v>
      </c>
      <c r="O38" s="77">
        <f t="shared" si="5"/>
        <v>0</v>
      </c>
      <c r="P38" s="77">
        <f t="shared" si="5"/>
        <v>150.96</v>
      </c>
      <c r="Q38" s="77">
        <f t="shared" si="10"/>
        <v>18.912499999999998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170</v>
      </c>
      <c r="C39" s="77">
        <f t="shared" si="6"/>
        <v>68</v>
      </c>
      <c r="D39" s="77">
        <f t="shared" si="7"/>
        <v>54.525799999999997</v>
      </c>
      <c r="E39" s="77">
        <f t="shared" si="8"/>
        <v>57.767700000000012</v>
      </c>
      <c r="F39" s="77">
        <f t="shared" si="9"/>
        <v>9.6959839999999993</v>
      </c>
      <c r="G39" s="77">
        <f t="shared" si="5"/>
        <v>0.27710000000000001</v>
      </c>
      <c r="H39" s="77">
        <f t="shared" si="5"/>
        <v>8.5000000000000006E-2</v>
      </c>
      <c r="I39" s="77">
        <f t="shared" si="5"/>
        <v>8.5000000000000006E-2</v>
      </c>
      <c r="J39" s="77">
        <f t="shared" si="5"/>
        <v>1.7000000000000001E-3</v>
      </c>
      <c r="K39" s="77">
        <f t="shared" si="5"/>
        <v>8.5000000000000006E-3</v>
      </c>
      <c r="L39" s="77">
        <f t="shared" si="5"/>
        <v>3.4000000000000002E-2</v>
      </c>
      <c r="M39" s="77">
        <f t="shared" si="5"/>
        <v>3.4000000000000002E-2</v>
      </c>
      <c r="N39" s="77">
        <f t="shared" si="5"/>
        <v>0</v>
      </c>
      <c r="O39" s="77">
        <f t="shared" si="5"/>
        <v>0</v>
      </c>
      <c r="P39" s="77">
        <f t="shared" si="5"/>
        <v>150.96</v>
      </c>
      <c r="Q39" s="77">
        <f t="shared" si="10"/>
        <v>18.912499999999998</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170</v>
      </c>
      <c r="C40" s="77">
        <f t="shared" si="6"/>
        <v>68</v>
      </c>
      <c r="D40" s="77">
        <f t="shared" si="7"/>
        <v>54.525799999999997</v>
      </c>
      <c r="E40" s="77">
        <f t="shared" si="8"/>
        <v>57.767700000000012</v>
      </c>
      <c r="F40" s="77">
        <f t="shared" si="9"/>
        <v>9.6959839999999993</v>
      </c>
      <c r="G40" s="77">
        <f t="shared" si="5"/>
        <v>0.27710000000000001</v>
      </c>
      <c r="H40" s="77">
        <f t="shared" si="5"/>
        <v>8.5000000000000006E-2</v>
      </c>
      <c r="I40" s="77">
        <f t="shared" si="5"/>
        <v>8.5000000000000006E-2</v>
      </c>
      <c r="J40" s="77">
        <f t="shared" si="5"/>
        <v>1.7000000000000001E-3</v>
      </c>
      <c r="K40" s="77">
        <f t="shared" si="5"/>
        <v>8.5000000000000006E-3</v>
      </c>
      <c r="L40" s="77">
        <f t="shared" si="5"/>
        <v>3.4000000000000002E-2</v>
      </c>
      <c r="M40" s="77">
        <f t="shared" si="5"/>
        <v>3.4000000000000002E-2</v>
      </c>
      <c r="N40" s="77">
        <f t="shared" si="5"/>
        <v>0</v>
      </c>
      <c r="O40" s="77">
        <f t="shared" si="5"/>
        <v>0</v>
      </c>
      <c r="P40" s="77">
        <f t="shared" si="5"/>
        <v>150.96</v>
      </c>
      <c r="Q40" s="77">
        <f t="shared" si="10"/>
        <v>18.912499999999998</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140</v>
      </c>
      <c r="C41" s="77">
        <f t="shared" si="6"/>
        <v>56</v>
      </c>
      <c r="D41" s="77">
        <f t="shared" si="7"/>
        <v>44.903600000000004</v>
      </c>
      <c r="E41" s="77">
        <f t="shared" si="8"/>
        <v>47.573400000000007</v>
      </c>
      <c r="F41" s="77">
        <f t="shared" si="9"/>
        <v>7.9849279999999991</v>
      </c>
      <c r="G41" s="77">
        <f t="shared" si="5"/>
        <v>0.22819999999999999</v>
      </c>
      <c r="H41" s="77">
        <f t="shared" si="5"/>
        <v>7.0000000000000007E-2</v>
      </c>
      <c r="I41" s="77">
        <f t="shared" si="5"/>
        <v>7.0000000000000007E-2</v>
      </c>
      <c r="J41" s="77">
        <f t="shared" si="5"/>
        <v>1.4000000000000002E-3</v>
      </c>
      <c r="K41" s="77">
        <f t="shared" si="5"/>
        <v>7.0000000000000001E-3</v>
      </c>
      <c r="L41" s="77">
        <f t="shared" si="5"/>
        <v>2.8000000000000001E-2</v>
      </c>
      <c r="M41" s="77">
        <f t="shared" si="5"/>
        <v>2.8000000000000001E-2</v>
      </c>
      <c r="N41" s="77">
        <f t="shared" si="5"/>
        <v>0</v>
      </c>
      <c r="O41" s="77">
        <f t="shared" si="5"/>
        <v>0</v>
      </c>
      <c r="P41" s="77">
        <f t="shared" si="5"/>
        <v>124.32000000000001</v>
      </c>
      <c r="Q41" s="77">
        <f t="shared" si="10"/>
        <v>15.574999999999999</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140</v>
      </c>
      <c r="C42" s="77">
        <f t="shared" si="6"/>
        <v>56</v>
      </c>
      <c r="D42" s="77">
        <f t="shared" si="7"/>
        <v>44.903600000000004</v>
      </c>
      <c r="E42" s="77">
        <f t="shared" si="8"/>
        <v>47.573400000000007</v>
      </c>
      <c r="F42" s="77">
        <f t="shared" si="9"/>
        <v>7.9849279999999991</v>
      </c>
      <c r="G42" s="77">
        <f t="shared" si="5"/>
        <v>0.22819999999999999</v>
      </c>
      <c r="H42" s="77">
        <f t="shared" si="5"/>
        <v>7.0000000000000007E-2</v>
      </c>
      <c r="I42" s="77">
        <f t="shared" si="5"/>
        <v>7.0000000000000007E-2</v>
      </c>
      <c r="J42" s="77">
        <f t="shared" si="5"/>
        <v>1.4000000000000002E-3</v>
      </c>
      <c r="K42" s="77">
        <f t="shared" si="5"/>
        <v>7.0000000000000001E-3</v>
      </c>
      <c r="L42" s="77">
        <f t="shared" si="5"/>
        <v>2.8000000000000001E-2</v>
      </c>
      <c r="M42" s="77">
        <f t="shared" si="5"/>
        <v>2.8000000000000001E-2</v>
      </c>
      <c r="N42" s="77">
        <f t="shared" si="5"/>
        <v>0</v>
      </c>
      <c r="O42" s="77">
        <f t="shared" si="5"/>
        <v>0</v>
      </c>
      <c r="P42" s="77">
        <f t="shared" si="5"/>
        <v>124.32000000000001</v>
      </c>
      <c r="Q42" s="77">
        <f t="shared" si="10"/>
        <v>15.574999999999999</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140</v>
      </c>
      <c r="C43" s="77">
        <f t="shared" si="6"/>
        <v>56</v>
      </c>
      <c r="D43" s="77">
        <f t="shared" si="7"/>
        <v>44.903600000000004</v>
      </c>
      <c r="E43" s="77">
        <f t="shared" si="8"/>
        <v>47.573400000000007</v>
      </c>
      <c r="F43" s="77">
        <f t="shared" si="9"/>
        <v>7.9849279999999991</v>
      </c>
      <c r="G43" s="77">
        <f t="shared" si="5"/>
        <v>0.22819999999999999</v>
      </c>
      <c r="H43" s="77">
        <f t="shared" si="5"/>
        <v>7.0000000000000007E-2</v>
      </c>
      <c r="I43" s="77">
        <f t="shared" si="5"/>
        <v>7.0000000000000007E-2</v>
      </c>
      <c r="J43" s="77">
        <f t="shared" si="5"/>
        <v>1.4000000000000002E-3</v>
      </c>
      <c r="K43" s="77">
        <f t="shared" si="5"/>
        <v>7.0000000000000001E-3</v>
      </c>
      <c r="L43" s="77">
        <f t="shared" si="5"/>
        <v>2.8000000000000001E-2</v>
      </c>
      <c r="M43" s="77">
        <f t="shared" si="5"/>
        <v>2.8000000000000001E-2</v>
      </c>
      <c r="N43" s="77">
        <f t="shared" si="5"/>
        <v>0</v>
      </c>
      <c r="O43" s="77">
        <f t="shared" si="5"/>
        <v>0</v>
      </c>
      <c r="P43" s="77">
        <f t="shared" si="5"/>
        <v>124.32000000000001</v>
      </c>
      <c r="Q43" s="77">
        <f t="shared" si="10"/>
        <v>15.574999999999999</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170</v>
      </c>
      <c r="C44" s="77">
        <f t="shared" si="6"/>
        <v>68</v>
      </c>
      <c r="D44" s="77">
        <f t="shared" si="7"/>
        <v>54.525799999999997</v>
      </c>
      <c r="E44" s="77">
        <f t="shared" si="8"/>
        <v>57.767700000000012</v>
      </c>
      <c r="F44" s="77">
        <f t="shared" si="9"/>
        <v>9.6959839999999993</v>
      </c>
      <c r="G44" s="77">
        <f t="shared" si="5"/>
        <v>0.27710000000000001</v>
      </c>
      <c r="H44" s="77">
        <f t="shared" si="5"/>
        <v>8.5000000000000006E-2</v>
      </c>
      <c r="I44" s="77">
        <f t="shared" si="5"/>
        <v>8.5000000000000006E-2</v>
      </c>
      <c r="J44" s="77">
        <f t="shared" si="5"/>
        <v>1.7000000000000001E-3</v>
      </c>
      <c r="K44" s="77">
        <f t="shared" si="5"/>
        <v>8.5000000000000006E-3</v>
      </c>
      <c r="L44" s="77">
        <f t="shared" si="5"/>
        <v>3.4000000000000002E-2</v>
      </c>
      <c r="M44" s="77">
        <f t="shared" si="5"/>
        <v>3.4000000000000002E-2</v>
      </c>
      <c r="N44" s="77">
        <f t="shared" si="5"/>
        <v>0</v>
      </c>
      <c r="O44" s="77">
        <f t="shared" si="5"/>
        <v>0</v>
      </c>
      <c r="P44" s="77">
        <f t="shared" si="5"/>
        <v>150.96</v>
      </c>
      <c r="Q44" s="77">
        <f t="shared" si="10"/>
        <v>18.912499999999998</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170</v>
      </c>
      <c r="C45" s="77">
        <f t="shared" si="6"/>
        <v>68</v>
      </c>
      <c r="D45" s="77">
        <f t="shared" si="7"/>
        <v>54.525799999999997</v>
      </c>
      <c r="E45" s="77">
        <f t="shared" si="8"/>
        <v>57.767700000000012</v>
      </c>
      <c r="F45" s="77">
        <f t="shared" si="9"/>
        <v>9.6959839999999993</v>
      </c>
      <c r="G45" s="77">
        <f t="shared" si="5"/>
        <v>0.27710000000000001</v>
      </c>
      <c r="H45" s="77">
        <f t="shared" si="5"/>
        <v>8.5000000000000006E-2</v>
      </c>
      <c r="I45" s="77">
        <f t="shared" si="5"/>
        <v>8.5000000000000006E-2</v>
      </c>
      <c r="J45" s="77">
        <f t="shared" si="5"/>
        <v>1.7000000000000001E-3</v>
      </c>
      <c r="K45" s="77">
        <f t="shared" si="5"/>
        <v>8.5000000000000006E-3</v>
      </c>
      <c r="L45" s="77">
        <f t="shared" si="5"/>
        <v>3.4000000000000002E-2</v>
      </c>
      <c r="M45" s="77">
        <f t="shared" si="5"/>
        <v>3.4000000000000002E-2</v>
      </c>
      <c r="N45" s="77">
        <f t="shared" si="5"/>
        <v>0</v>
      </c>
      <c r="O45" s="77">
        <f t="shared" si="5"/>
        <v>0</v>
      </c>
      <c r="P45" s="77">
        <f t="shared" si="5"/>
        <v>150.96</v>
      </c>
      <c r="Q45" s="77">
        <f t="shared" si="10"/>
        <v>18.912499999999998</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170</v>
      </c>
      <c r="C46" s="77">
        <f t="shared" si="6"/>
        <v>68</v>
      </c>
      <c r="D46" s="77">
        <f t="shared" si="7"/>
        <v>54.525799999999997</v>
      </c>
      <c r="E46" s="77">
        <f t="shared" si="8"/>
        <v>57.767700000000012</v>
      </c>
      <c r="F46" s="77">
        <f t="shared" si="9"/>
        <v>9.6959839999999993</v>
      </c>
      <c r="G46" s="77">
        <f t="shared" si="5"/>
        <v>0.27710000000000001</v>
      </c>
      <c r="H46" s="77">
        <f t="shared" si="5"/>
        <v>8.5000000000000006E-2</v>
      </c>
      <c r="I46" s="77">
        <f t="shared" si="5"/>
        <v>8.5000000000000006E-2</v>
      </c>
      <c r="J46" s="77">
        <f t="shared" si="5"/>
        <v>1.7000000000000001E-3</v>
      </c>
      <c r="K46" s="77">
        <f t="shared" si="5"/>
        <v>8.5000000000000006E-3</v>
      </c>
      <c r="L46" s="77">
        <f t="shared" si="5"/>
        <v>3.4000000000000002E-2</v>
      </c>
      <c r="M46" s="77">
        <f t="shared" si="5"/>
        <v>3.4000000000000002E-2</v>
      </c>
      <c r="N46" s="77">
        <f t="shared" si="5"/>
        <v>0</v>
      </c>
      <c r="O46" s="77">
        <f t="shared" si="5"/>
        <v>0</v>
      </c>
      <c r="P46" s="77">
        <f t="shared" si="5"/>
        <v>150.96</v>
      </c>
      <c r="Q46" s="77">
        <f t="shared" si="10"/>
        <v>18.912499999999998</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170</v>
      </c>
      <c r="C47" s="77">
        <f t="shared" si="6"/>
        <v>68</v>
      </c>
      <c r="D47" s="77">
        <f t="shared" si="7"/>
        <v>54.525799999999997</v>
      </c>
      <c r="E47" s="77">
        <f t="shared" si="8"/>
        <v>57.767700000000012</v>
      </c>
      <c r="F47" s="77">
        <f t="shared" si="9"/>
        <v>9.6959839999999993</v>
      </c>
      <c r="G47" s="77">
        <f t="shared" ref="G47:P50" si="12">IF(G$27="%w/w SAR",((G$28*10)*$B47),IF(G$27="%w/w DM",(((G$28*10)*($B$28/100))*$B47),IF(G$27="kg/t SAR",(G$28*$B47),IF(G$27="kg/t DM",((G$28*($B$28/100))*$B47),IF(G$27="mg/kg SAR",((G$28*0.001)*$B47),IF(G$27="mg/kg DM",(((G$28*0.001)*($B$28/100))*$B47),0))))))</f>
        <v>0.27710000000000001</v>
      </c>
      <c r="H47" s="77">
        <f t="shared" si="12"/>
        <v>8.5000000000000006E-2</v>
      </c>
      <c r="I47" s="77">
        <f t="shared" si="12"/>
        <v>8.5000000000000006E-2</v>
      </c>
      <c r="J47" s="77">
        <f t="shared" si="12"/>
        <v>1.7000000000000001E-3</v>
      </c>
      <c r="K47" s="77">
        <f t="shared" si="12"/>
        <v>8.5000000000000006E-3</v>
      </c>
      <c r="L47" s="77">
        <f t="shared" si="12"/>
        <v>3.4000000000000002E-2</v>
      </c>
      <c r="M47" s="77">
        <f t="shared" si="12"/>
        <v>3.4000000000000002E-2</v>
      </c>
      <c r="N47" s="77">
        <f t="shared" si="12"/>
        <v>0</v>
      </c>
      <c r="O47" s="77">
        <f t="shared" si="12"/>
        <v>0</v>
      </c>
      <c r="P47" s="77">
        <f t="shared" si="12"/>
        <v>150.96</v>
      </c>
      <c r="Q47" s="77">
        <f t="shared" si="10"/>
        <v>18.912499999999998</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170</v>
      </c>
      <c r="C48" s="77">
        <f t="shared" si="6"/>
        <v>68</v>
      </c>
      <c r="D48" s="77">
        <f t="shared" si="7"/>
        <v>54.525799999999997</v>
      </c>
      <c r="E48" s="77">
        <f t="shared" si="8"/>
        <v>57.767700000000012</v>
      </c>
      <c r="F48" s="77">
        <f t="shared" si="9"/>
        <v>9.6959839999999993</v>
      </c>
      <c r="G48" s="77">
        <f t="shared" si="12"/>
        <v>0.27710000000000001</v>
      </c>
      <c r="H48" s="77">
        <f t="shared" si="12"/>
        <v>8.5000000000000006E-2</v>
      </c>
      <c r="I48" s="77">
        <f t="shared" si="12"/>
        <v>8.5000000000000006E-2</v>
      </c>
      <c r="J48" s="77">
        <f t="shared" si="12"/>
        <v>1.7000000000000001E-3</v>
      </c>
      <c r="K48" s="77">
        <f t="shared" si="12"/>
        <v>8.5000000000000006E-3</v>
      </c>
      <c r="L48" s="77">
        <f t="shared" si="12"/>
        <v>3.4000000000000002E-2</v>
      </c>
      <c r="M48" s="77">
        <f t="shared" si="12"/>
        <v>3.4000000000000002E-2</v>
      </c>
      <c r="N48" s="77">
        <f t="shared" si="12"/>
        <v>0</v>
      </c>
      <c r="O48" s="77">
        <f t="shared" si="12"/>
        <v>0</v>
      </c>
      <c r="P48" s="77">
        <f t="shared" si="12"/>
        <v>150.96</v>
      </c>
      <c r="Q48" s="77">
        <f t="shared" si="10"/>
        <v>18.912499999999998</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170</v>
      </c>
      <c r="C49" s="77">
        <f t="shared" si="6"/>
        <v>68</v>
      </c>
      <c r="D49" s="77">
        <f t="shared" si="7"/>
        <v>54.525799999999997</v>
      </c>
      <c r="E49" s="77">
        <f t="shared" si="8"/>
        <v>57.767700000000012</v>
      </c>
      <c r="F49" s="77">
        <f t="shared" si="9"/>
        <v>9.6959839999999993</v>
      </c>
      <c r="G49" s="77">
        <f t="shared" si="12"/>
        <v>0.27710000000000001</v>
      </c>
      <c r="H49" s="77">
        <f t="shared" si="12"/>
        <v>8.5000000000000006E-2</v>
      </c>
      <c r="I49" s="77">
        <f t="shared" si="12"/>
        <v>8.5000000000000006E-2</v>
      </c>
      <c r="J49" s="77">
        <f t="shared" si="12"/>
        <v>1.7000000000000001E-3</v>
      </c>
      <c r="K49" s="77">
        <f t="shared" si="12"/>
        <v>8.5000000000000006E-3</v>
      </c>
      <c r="L49" s="77">
        <f t="shared" si="12"/>
        <v>3.4000000000000002E-2</v>
      </c>
      <c r="M49" s="77">
        <f t="shared" si="12"/>
        <v>3.4000000000000002E-2</v>
      </c>
      <c r="N49" s="77">
        <f t="shared" si="12"/>
        <v>0</v>
      </c>
      <c r="O49" s="77">
        <f t="shared" si="12"/>
        <v>0</v>
      </c>
      <c r="P49" s="77">
        <f t="shared" si="12"/>
        <v>150.96</v>
      </c>
      <c r="Q49" s="77">
        <f t="shared" si="10"/>
        <v>18.912499999999998</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170</v>
      </c>
      <c r="C50" s="98">
        <f t="shared" si="6"/>
        <v>68</v>
      </c>
      <c r="D50" s="98">
        <f t="shared" si="7"/>
        <v>54.525799999999997</v>
      </c>
      <c r="E50" s="98">
        <f t="shared" si="8"/>
        <v>57.767700000000012</v>
      </c>
      <c r="F50" s="98">
        <f t="shared" si="9"/>
        <v>9.6959839999999993</v>
      </c>
      <c r="G50" s="98">
        <f t="shared" si="12"/>
        <v>0.27710000000000001</v>
      </c>
      <c r="H50" s="98">
        <f t="shared" si="12"/>
        <v>8.5000000000000006E-2</v>
      </c>
      <c r="I50" s="98">
        <f t="shared" si="12"/>
        <v>8.5000000000000006E-2</v>
      </c>
      <c r="J50" s="98">
        <f t="shared" si="12"/>
        <v>1.7000000000000001E-3</v>
      </c>
      <c r="K50" s="98">
        <f t="shared" si="12"/>
        <v>8.5000000000000006E-3</v>
      </c>
      <c r="L50" s="98">
        <f t="shared" si="12"/>
        <v>3.4000000000000002E-2</v>
      </c>
      <c r="M50" s="98">
        <f t="shared" si="12"/>
        <v>3.4000000000000002E-2</v>
      </c>
      <c r="N50" s="98">
        <f t="shared" si="12"/>
        <v>0</v>
      </c>
      <c r="O50" s="98">
        <f t="shared" si="12"/>
        <v>0</v>
      </c>
      <c r="P50" s="98">
        <f t="shared" si="12"/>
        <v>150.96</v>
      </c>
      <c r="Q50" s="98">
        <f t="shared" si="10"/>
        <v>18.912499999999998</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Arable</v>
      </c>
      <c r="K58" s="13" t="str">
        <f>L16&amp;" I "&amp;(VLOOKUP(L14,Table245810[],6,FALSE))</f>
        <v>Medium/Clay I Arable</v>
      </c>
      <c r="L58" s="13" t="str">
        <f>M16&amp;" I "&amp;(VLOOKUP(M14,Table245810[],6,FALSE))</f>
        <v>Medium/Clay I Arable</v>
      </c>
      <c r="M58" s="13" t="str">
        <f>N16&amp;" I "&amp;(VLOOKUP(N14,Table245810[],6,FALSE))</f>
        <v>Medium/Clay I Arable</v>
      </c>
      <c r="N58" s="13" t="str">
        <f>O16&amp;" I "&amp;(VLOOKUP(O14,Table245810[],6,FALSE))</f>
        <v>Medium/Clay I Arable</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6.7</v>
      </c>
      <c r="H59" s="76">
        <f>VLOOKUP(I$14,Table245810[],5,FALSE)</f>
        <v>6.7</v>
      </c>
      <c r="I59" s="76">
        <f>VLOOKUP(J$14,Table245810[],5,FALSE)</f>
        <v>6.7</v>
      </c>
      <c r="J59" s="76">
        <f>VLOOKUP(K$14,Table245810[],5,FALSE)</f>
        <v>6.7</v>
      </c>
      <c r="K59" s="76">
        <f>VLOOKUP(L$14,Table245810[],5,FALSE)</f>
        <v>6.7</v>
      </c>
      <c r="L59" s="76">
        <f>VLOOKUP(M$14,Table245810[],5,FALSE)</f>
        <v>6.7</v>
      </c>
      <c r="M59" s="76">
        <f>VLOOKUP(N$14,Table245810[],5,FALSE)</f>
        <v>6.7</v>
      </c>
      <c r="N59" s="76">
        <f>VLOOKUP(O$14,Table245810[],5,FALSE)</f>
        <v>6.7</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170</v>
      </c>
      <c r="C62" s="77">
        <f>B32</f>
        <v>170</v>
      </c>
      <c r="D62" s="77">
        <f>B33</f>
        <v>170</v>
      </c>
      <c r="E62" s="77">
        <f>B34</f>
        <v>0</v>
      </c>
      <c r="F62" s="77">
        <f>B35</f>
        <v>170</v>
      </c>
      <c r="G62" s="77">
        <f>B36</f>
        <v>170</v>
      </c>
      <c r="H62" s="77">
        <f>B37</f>
        <v>170</v>
      </c>
      <c r="I62" s="77">
        <f>B38</f>
        <v>170</v>
      </c>
      <c r="J62" s="77">
        <f>B39</f>
        <v>170</v>
      </c>
      <c r="K62" s="77">
        <f>B40</f>
        <v>170</v>
      </c>
      <c r="L62" s="77">
        <f>B41</f>
        <v>140</v>
      </c>
      <c r="M62" s="77">
        <f>B42</f>
        <v>140</v>
      </c>
      <c r="N62" s="77">
        <f>B43</f>
        <v>140</v>
      </c>
      <c r="O62" s="77">
        <f>B44</f>
        <v>170</v>
      </c>
      <c r="P62" s="77">
        <f>B45</f>
        <v>170</v>
      </c>
      <c r="Q62" s="77">
        <f>B46</f>
        <v>170</v>
      </c>
      <c r="R62" s="77">
        <f>B47</f>
        <v>170</v>
      </c>
      <c r="S62" s="77">
        <f>B48</f>
        <v>170</v>
      </c>
      <c r="T62" s="77">
        <f>B49</f>
        <v>170</v>
      </c>
      <c r="U62" s="77">
        <f>B50</f>
        <v>170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3" sqref="A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3.94</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177</v>
      </c>
      <c r="G2" s="125" t="s">
        <v>110</v>
      </c>
      <c r="H2" s="126"/>
      <c r="I2" s="118"/>
      <c r="J2" s="127" t="s">
        <v>158</v>
      </c>
      <c r="K2" s="127"/>
      <c r="L2" s="97">
        <v>0.19</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v>220</v>
      </c>
      <c r="J3" s="123" t="s">
        <v>154</v>
      </c>
      <c r="K3" s="124"/>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55.4422</v>
      </c>
      <c r="D18" s="16">
        <f>$D32</f>
        <v>55.4422</v>
      </c>
      <c r="E18" s="16">
        <f>$D33</f>
        <v>55.4422</v>
      </c>
      <c r="F18" s="16">
        <f>$D34</f>
        <v>0</v>
      </c>
      <c r="G18" s="16">
        <f>$D35</f>
        <v>55.4422</v>
      </c>
      <c r="H18" s="16">
        <f>$D36</f>
        <v>55.4422</v>
      </c>
      <c r="I18" s="16">
        <f>$D37</f>
        <v>55.4422</v>
      </c>
      <c r="J18" s="16">
        <f>$D38</f>
        <v>55.4422</v>
      </c>
      <c r="K18" s="16">
        <f>$D39</f>
        <v>55.4422</v>
      </c>
      <c r="L18" s="16">
        <f>$D40</f>
        <v>55.4422</v>
      </c>
      <c r="M18" s="16">
        <f>$D41</f>
        <v>44.353759999999994</v>
      </c>
      <c r="N18" s="16">
        <f>$D42</f>
        <v>44.353759999999994</v>
      </c>
      <c r="O18" s="16">
        <f>$D43</f>
        <v>44.353759999999994</v>
      </c>
      <c r="P18" s="16">
        <f>$D44</f>
        <v>55.4422</v>
      </c>
      <c r="Q18" s="16">
        <f>$D45</f>
        <v>55.4422</v>
      </c>
      <c r="R18" s="16">
        <f>$D46</f>
        <v>55.4422</v>
      </c>
      <c r="S18" s="16">
        <f>$D47</f>
        <v>55.4422</v>
      </c>
      <c r="T18" s="16">
        <f>$D48</f>
        <v>55.4422</v>
      </c>
      <c r="U18" s="16">
        <f>$D49</f>
        <v>55.4422</v>
      </c>
      <c r="V18" s="25">
        <f>$D50</f>
        <v>55.4422</v>
      </c>
      <c r="AD18" s="52" t="s">
        <v>147</v>
      </c>
      <c r="AE18" s="30">
        <v>16</v>
      </c>
      <c r="AI18" s="48" t="s">
        <v>106</v>
      </c>
      <c r="AJ18" s="49">
        <v>5.9</v>
      </c>
      <c r="AK18" s="50">
        <v>18</v>
      </c>
      <c r="AL18" s="51">
        <v>16</v>
      </c>
      <c r="AM18" s="11">
        <v>6.2</v>
      </c>
      <c r="AN18" s="11" t="s">
        <v>112</v>
      </c>
    </row>
    <row r="19" spans="1:40" x14ac:dyDescent="0.2">
      <c r="A19" s="131" t="s">
        <v>90</v>
      </c>
      <c r="B19" s="132"/>
      <c r="C19" s="16">
        <f>C18-C17</f>
        <v>-9.1577999999999946</v>
      </c>
      <c r="D19" s="16">
        <f t="shared" ref="D19:V19" si="1">D18-D17</f>
        <v>-9.1577999999999946</v>
      </c>
      <c r="E19" s="16">
        <f t="shared" si="1"/>
        <v>-9.1577999999999946</v>
      </c>
      <c r="F19" s="16">
        <f t="shared" si="1"/>
        <v>-64.599999999999994</v>
      </c>
      <c r="G19" s="16">
        <f t="shared" si="1"/>
        <v>-9.1577999999999946</v>
      </c>
      <c r="H19" s="16">
        <f t="shared" si="1"/>
        <v>-0.5578000000000003</v>
      </c>
      <c r="I19" s="16">
        <f t="shared" si="1"/>
        <v>-0.5578000000000003</v>
      </c>
      <c r="J19" s="16">
        <f t="shared" si="1"/>
        <v>-0.5578000000000003</v>
      </c>
      <c r="K19" s="16">
        <f t="shared" si="1"/>
        <v>-0.5578000000000003</v>
      </c>
      <c r="L19" s="16">
        <f t="shared" si="1"/>
        <v>-0.5578000000000003</v>
      </c>
      <c r="M19" s="16">
        <f t="shared" si="1"/>
        <v>-2.3962400000000059</v>
      </c>
      <c r="N19" s="16">
        <f t="shared" si="1"/>
        <v>-2.3962400000000059</v>
      </c>
      <c r="O19" s="16">
        <f t="shared" si="1"/>
        <v>-2.3962400000000059</v>
      </c>
      <c r="P19" s="16">
        <f t="shared" si="1"/>
        <v>46.092199999999998</v>
      </c>
      <c r="Q19" s="16">
        <f t="shared" si="1"/>
        <v>46.092199999999998</v>
      </c>
      <c r="R19" s="16">
        <f t="shared" si="1"/>
        <v>46.092199999999998</v>
      </c>
      <c r="S19" s="16">
        <f t="shared" si="1"/>
        <v>46.092199999999998</v>
      </c>
      <c r="T19" s="16">
        <f t="shared" si="1"/>
        <v>46.092199999999998</v>
      </c>
      <c r="U19" s="16">
        <f t="shared" si="1"/>
        <v>46.092199999999998</v>
      </c>
      <c r="V19" s="25">
        <f t="shared" si="1"/>
        <v>46.092199999999998</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18.436499999999999</v>
      </c>
      <c r="D22" s="16">
        <f>$E32</f>
        <v>18.436499999999999</v>
      </c>
      <c r="E22" s="16">
        <f>$E33</f>
        <v>18.436499999999999</v>
      </c>
      <c r="F22" s="16">
        <f>$E34</f>
        <v>0</v>
      </c>
      <c r="G22" s="16">
        <f>$E35</f>
        <v>18.436499999999999</v>
      </c>
      <c r="H22" s="16">
        <f>$E36</f>
        <v>18.436499999999999</v>
      </c>
      <c r="I22" s="16">
        <f>$E37</f>
        <v>18.436499999999999</v>
      </c>
      <c r="J22" s="16">
        <f>$E38</f>
        <v>18.436499999999999</v>
      </c>
      <c r="K22" s="16">
        <f>$E39</f>
        <v>18.436499999999999</v>
      </c>
      <c r="L22" s="16">
        <f>$E40</f>
        <v>18.436499999999999</v>
      </c>
      <c r="M22" s="16">
        <f>$E41</f>
        <v>14.749200000000002</v>
      </c>
      <c r="N22" s="16">
        <f>$E42</f>
        <v>14.749200000000002</v>
      </c>
      <c r="O22" s="16">
        <f>$E43</f>
        <v>14.749200000000002</v>
      </c>
      <c r="P22" s="16">
        <f>$E44</f>
        <v>18.436499999999999</v>
      </c>
      <c r="Q22" s="16">
        <f>$E45</f>
        <v>18.436499999999999</v>
      </c>
      <c r="R22" s="16">
        <f>$E46</f>
        <v>18.436499999999999</v>
      </c>
      <c r="S22" s="16">
        <f>$E47</f>
        <v>18.436499999999999</v>
      </c>
      <c r="T22" s="16">
        <f>$E48</f>
        <v>18.436499999999999</v>
      </c>
      <c r="U22" s="16">
        <f>$E49</f>
        <v>18.436499999999999</v>
      </c>
      <c r="V22" s="16">
        <f>$E50</f>
        <v>18.436499999999999</v>
      </c>
      <c r="AI22" s="63" t="s">
        <v>102</v>
      </c>
      <c r="AJ22" s="64">
        <v>1.2</v>
      </c>
      <c r="AK22" s="65">
        <v>5</v>
      </c>
      <c r="AL22" s="29">
        <v>20</v>
      </c>
      <c r="AM22" s="11">
        <v>6.7</v>
      </c>
      <c r="AN22" s="11" t="s">
        <v>135</v>
      </c>
    </row>
    <row r="23" spans="1:40" x14ac:dyDescent="0.2">
      <c r="A23" s="131" t="s">
        <v>92</v>
      </c>
      <c r="B23" s="132"/>
      <c r="C23" s="16">
        <f>C22-C21</f>
        <v>-209.5635</v>
      </c>
      <c r="D23" s="16">
        <f t="shared" ref="D23:V23" si="3">D22-D21</f>
        <v>-209.5635</v>
      </c>
      <c r="E23" s="16">
        <f t="shared" si="3"/>
        <v>-209.5635</v>
      </c>
      <c r="F23" s="16">
        <f t="shared" si="3"/>
        <v>-228</v>
      </c>
      <c r="G23" s="16">
        <f t="shared" si="3"/>
        <v>-209.5635</v>
      </c>
      <c r="H23" s="16">
        <f t="shared" si="3"/>
        <v>-157.5635</v>
      </c>
      <c r="I23" s="16">
        <f t="shared" si="3"/>
        <v>-157.5635</v>
      </c>
      <c r="J23" s="16">
        <f t="shared" si="3"/>
        <v>-157.5635</v>
      </c>
      <c r="K23" s="16">
        <f t="shared" si="3"/>
        <v>-157.5635</v>
      </c>
      <c r="L23" s="16">
        <f t="shared" si="3"/>
        <v>-157.5635</v>
      </c>
      <c r="M23" s="16">
        <f t="shared" si="3"/>
        <v>-51.250799999999998</v>
      </c>
      <c r="N23" s="16">
        <f t="shared" si="3"/>
        <v>-51.250799999999998</v>
      </c>
      <c r="O23" s="16">
        <f t="shared" si="3"/>
        <v>-51.250799999999998</v>
      </c>
      <c r="P23" s="16">
        <f t="shared" si="3"/>
        <v>-14.563500000000001</v>
      </c>
      <c r="Q23" s="16">
        <f t="shared" si="3"/>
        <v>-14.563500000000001</v>
      </c>
      <c r="R23" s="16">
        <f t="shared" si="3"/>
        <v>-14.563500000000001</v>
      </c>
      <c r="S23" s="16">
        <f t="shared" si="3"/>
        <v>-14.563500000000001</v>
      </c>
      <c r="T23" s="16">
        <f t="shared" si="3"/>
        <v>-14.563500000000001</v>
      </c>
      <c r="U23" s="16">
        <f t="shared" si="3"/>
        <v>-14.563500000000001</v>
      </c>
      <c r="V23" s="16">
        <f t="shared" si="3"/>
        <v>-14.563500000000001</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100</v>
      </c>
      <c r="C33" s="77">
        <f t="shared" si="6"/>
        <v>190</v>
      </c>
      <c r="D33" s="77">
        <f t="shared" si="7"/>
        <v>55.4422</v>
      </c>
      <c r="E33" s="77">
        <f t="shared" si="8"/>
        <v>18.436499999999999</v>
      </c>
      <c r="F33" s="77">
        <f t="shared" si="9"/>
        <v>4.6424000000000003</v>
      </c>
      <c r="G33" s="77">
        <f t="shared" si="5"/>
        <v>0.25</v>
      </c>
      <c r="H33" s="77">
        <f t="shared" si="5"/>
        <v>0.187</v>
      </c>
      <c r="I33" s="77">
        <f t="shared" si="5"/>
        <v>7.5299999999999992E-2</v>
      </c>
      <c r="J33" s="77">
        <f t="shared" si="5"/>
        <v>1E-3</v>
      </c>
      <c r="K33" s="77">
        <f t="shared" si="5"/>
        <v>5.0000000000000001E-3</v>
      </c>
      <c r="L33" s="77">
        <f t="shared" si="5"/>
        <v>0.02</v>
      </c>
      <c r="M33" s="77">
        <f t="shared" si="5"/>
        <v>3.2300000000000002E-2</v>
      </c>
      <c r="N33" s="77">
        <f t="shared" si="5"/>
        <v>0</v>
      </c>
      <c r="O33" s="77">
        <f t="shared" si="5"/>
        <v>0</v>
      </c>
      <c r="P33" s="77">
        <f t="shared" si="5"/>
        <v>16</v>
      </c>
      <c r="Q33" s="77">
        <f t="shared" si="10"/>
        <v>26.75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100</v>
      </c>
      <c r="C36" s="77">
        <f t="shared" si="6"/>
        <v>190</v>
      </c>
      <c r="D36" s="77">
        <f t="shared" si="7"/>
        <v>55.4422</v>
      </c>
      <c r="E36" s="77">
        <f t="shared" si="8"/>
        <v>18.436499999999999</v>
      </c>
      <c r="F36" s="77">
        <f t="shared" si="9"/>
        <v>4.6424000000000003</v>
      </c>
      <c r="G36" s="77">
        <f t="shared" si="5"/>
        <v>0.25</v>
      </c>
      <c r="H36" s="77">
        <f t="shared" si="5"/>
        <v>0.187</v>
      </c>
      <c r="I36" s="77">
        <f t="shared" si="5"/>
        <v>7.5299999999999992E-2</v>
      </c>
      <c r="J36" s="77">
        <f t="shared" si="5"/>
        <v>1E-3</v>
      </c>
      <c r="K36" s="77">
        <f t="shared" si="5"/>
        <v>5.0000000000000001E-3</v>
      </c>
      <c r="L36" s="77">
        <f t="shared" si="5"/>
        <v>0.02</v>
      </c>
      <c r="M36" s="77">
        <f t="shared" si="5"/>
        <v>3.2300000000000002E-2</v>
      </c>
      <c r="N36" s="77">
        <f t="shared" si="5"/>
        <v>0</v>
      </c>
      <c r="O36" s="77">
        <f t="shared" si="5"/>
        <v>0</v>
      </c>
      <c r="P36" s="77">
        <f t="shared" si="5"/>
        <v>16</v>
      </c>
      <c r="Q36" s="77">
        <f t="shared" si="10"/>
        <v>26.75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100</v>
      </c>
      <c r="C37" s="77">
        <f t="shared" si="6"/>
        <v>190</v>
      </c>
      <c r="D37" s="77">
        <f t="shared" si="7"/>
        <v>55.4422</v>
      </c>
      <c r="E37" s="77">
        <f t="shared" si="8"/>
        <v>18.436499999999999</v>
      </c>
      <c r="F37" s="77">
        <f t="shared" si="9"/>
        <v>4.6424000000000003</v>
      </c>
      <c r="G37" s="77">
        <f t="shared" si="5"/>
        <v>0.25</v>
      </c>
      <c r="H37" s="77">
        <f t="shared" si="5"/>
        <v>0.187</v>
      </c>
      <c r="I37" s="77">
        <f t="shared" si="5"/>
        <v>7.5299999999999992E-2</v>
      </c>
      <c r="J37" s="77">
        <f t="shared" si="5"/>
        <v>1E-3</v>
      </c>
      <c r="K37" s="77">
        <f t="shared" si="5"/>
        <v>5.0000000000000001E-3</v>
      </c>
      <c r="L37" s="77">
        <f t="shared" si="5"/>
        <v>0.02</v>
      </c>
      <c r="M37" s="77">
        <f t="shared" si="5"/>
        <v>3.2300000000000002E-2</v>
      </c>
      <c r="N37" s="77">
        <f t="shared" si="5"/>
        <v>0</v>
      </c>
      <c r="O37" s="77">
        <f t="shared" si="5"/>
        <v>0</v>
      </c>
      <c r="P37" s="77">
        <f t="shared" si="5"/>
        <v>16</v>
      </c>
      <c r="Q37" s="77">
        <f t="shared" si="10"/>
        <v>26.75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100</v>
      </c>
      <c r="C38" s="77">
        <f t="shared" si="6"/>
        <v>190</v>
      </c>
      <c r="D38" s="77">
        <f t="shared" si="7"/>
        <v>55.4422</v>
      </c>
      <c r="E38" s="77">
        <f t="shared" si="8"/>
        <v>18.436499999999999</v>
      </c>
      <c r="F38" s="77">
        <f t="shared" si="9"/>
        <v>4.6424000000000003</v>
      </c>
      <c r="G38" s="77">
        <f t="shared" si="5"/>
        <v>0.25</v>
      </c>
      <c r="H38" s="77">
        <f t="shared" si="5"/>
        <v>0.187</v>
      </c>
      <c r="I38" s="77">
        <f t="shared" si="5"/>
        <v>7.5299999999999992E-2</v>
      </c>
      <c r="J38" s="77">
        <f t="shared" si="5"/>
        <v>1E-3</v>
      </c>
      <c r="K38" s="77">
        <f t="shared" si="5"/>
        <v>5.0000000000000001E-3</v>
      </c>
      <c r="L38" s="77">
        <f t="shared" si="5"/>
        <v>0.02</v>
      </c>
      <c r="M38" s="77">
        <f t="shared" si="5"/>
        <v>3.2300000000000002E-2</v>
      </c>
      <c r="N38" s="77">
        <f t="shared" si="5"/>
        <v>0</v>
      </c>
      <c r="O38" s="77">
        <f t="shared" si="5"/>
        <v>0</v>
      </c>
      <c r="P38" s="77">
        <f t="shared" si="5"/>
        <v>16</v>
      </c>
      <c r="Q38" s="77">
        <f t="shared" si="10"/>
        <v>26.75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100</v>
      </c>
      <c r="C39" s="77">
        <f t="shared" si="6"/>
        <v>190</v>
      </c>
      <c r="D39" s="77">
        <f t="shared" si="7"/>
        <v>55.4422</v>
      </c>
      <c r="E39" s="77">
        <f t="shared" si="8"/>
        <v>18.436499999999999</v>
      </c>
      <c r="F39" s="77">
        <f t="shared" si="9"/>
        <v>4.6424000000000003</v>
      </c>
      <c r="G39" s="77">
        <f t="shared" si="5"/>
        <v>0.25</v>
      </c>
      <c r="H39" s="77">
        <f t="shared" si="5"/>
        <v>0.187</v>
      </c>
      <c r="I39" s="77">
        <f t="shared" si="5"/>
        <v>7.5299999999999992E-2</v>
      </c>
      <c r="J39" s="77">
        <f t="shared" si="5"/>
        <v>1E-3</v>
      </c>
      <c r="K39" s="77">
        <f t="shared" si="5"/>
        <v>5.0000000000000001E-3</v>
      </c>
      <c r="L39" s="77">
        <f t="shared" si="5"/>
        <v>0.02</v>
      </c>
      <c r="M39" s="77">
        <f t="shared" si="5"/>
        <v>3.2300000000000002E-2</v>
      </c>
      <c r="N39" s="77">
        <f t="shared" si="5"/>
        <v>0</v>
      </c>
      <c r="O39" s="77">
        <f t="shared" si="5"/>
        <v>0</v>
      </c>
      <c r="P39" s="77">
        <f t="shared" si="5"/>
        <v>16</v>
      </c>
      <c r="Q39" s="77">
        <f t="shared" si="10"/>
        <v>26.75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100</v>
      </c>
      <c r="C40" s="77">
        <f t="shared" si="6"/>
        <v>190</v>
      </c>
      <c r="D40" s="77">
        <f t="shared" si="7"/>
        <v>55.4422</v>
      </c>
      <c r="E40" s="77">
        <f t="shared" si="8"/>
        <v>18.436499999999999</v>
      </c>
      <c r="F40" s="77">
        <f t="shared" si="9"/>
        <v>4.6424000000000003</v>
      </c>
      <c r="G40" s="77">
        <f t="shared" si="5"/>
        <v>0.25</v>
      </c>
      <c r="H40" s="77">
        <f t="shared" si="5"/>
        <v>0.187</v>
      </c>
      <c r="I40" s="77">
        <f t="shared" si="5"/>
        <v>7.5299999999999992E-2</v>
      </c>
      <c r="J40" s="77">
        <f t="shared" si="5"/>
        <v>1E-3</v>
      </c>
      <c r="K40" s="77">
        <f t="shared" si="5"/>
        <v>5.0000000000000001E-3</v>
      </c>
      <c r="L40" s="77">
        <f t="shared" si="5"/>
        <v>0.02</v>
      </c>
      <c r="M40" s="77">
        <f t="shared" si="5"/>
        <v>3.2300000000000002E-2</v>
      </c>
      <c r="N40" s="77">
        <f t="shared" si="5"/>
        <v>0</v>
      </c>
      <c r="O40" s="77">
        <f t="shared" si="5"/>
        <v>0</v>
      </c>
      <c r="P40" s="77">
        <f t="shared" si="5"/>
        <v>16</v>
      </c>
      <c r="Q40" s="77">
        <f t="shared" si="10"/>
        <v>26.75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80</v>
      </c>
      <c r="C41" s="77">
        <f t="shared" si="6"/>
        <v>152</v>
      </c>
      <c r="D41" s="77">
        <f t="shared" si="7"/>
        <v>44.353759999999994</v>
      </c>
      <c r="E41" s="77">
        <f t="shared" si="8"/>
        <v>14.749200000000002</v>
      </c>
      <c r="F41" s="77">
        <f t="shared" si="9"/>
        <v>3.7139200000000003</v>
      </c>
      <c r="G41" s="77">
        <f t="shared" si="5"/>
        <v>0.2</v>
      </c>
      <c r="H41" s="77">
        <f t="shared" si="5"/>
        <v>0.14960000000000001</v>
      </c>
      <c r="I41" s="77">
        <f t="shared" si="5"/>
        <v>6.0240000000000002E-2</v>
      </c>
      <c r="J41" s="77">
        <f t="shared" si="5"/>
        <v>8.0000000000000004E-4</v>
      </c>
      <c r="K41" s="77">
        <f t="shared" si="5"/>
        <v>4.0000000000000001E-3</v>
      </c>
      <c r="L41" s="77">
        <f t="shared" si="5"/>
        <v>1.6E-2</v>
      </c>
      <c r="M41" s="77">
        <f t="shared" si="5"/>
        <v>2.5839999999999998E-2</v>
      </c>
      <c r="N41" s="77">
        <f t="shared" si="5"/>
        <v>0</v>
      </c>
      <c r="O41" s="77">
        <f t="shared" si="5"/>
        <v>0</v>
      </c>
      <c r="P41" s="77">
        <f t="shared" si="5"/>
        <v>12.8</v>
      </c>
      <c r="Q41" s="77">
        <f t="shared" si="10"/>
        <v>21.400000000000002</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80</v>
      </c>
      <c r="C42" s="77">
        <f t="shared" si="6"/>
        <v>152</v>
      </c>
      <c r="D42" s="77">
        <f t="shared" si="7"/>
        <v>44.353759999999994</v>
      </c>
      <c r="E42" s="77">
        <f t="shared" si="8"/>
        <v>14.749200000000002</v>
      </c>
      <c r="F42" s="77">
        <f t="shared" si="9"/>
        <v>3.7139200000000003</v>
      </c>
      <c r="G42" s="77">
        <f t="shared" si="5"/>
        <v>0.2</v>
      </c>
      <c r="H42" s="77">
        <f t="shared" si="5"/>
        <v>0.14960000000000001</v>
      </c>
      <c r="I42" s="77">
        <f t="shared" si="5"/>
        <v>6.0240000000000002E-2</v>
      </c>
      <c r="J42" s="77">
        <f t="shared" si="5"/>
        <v>8.0000000000000004E-4</v>
      </c>
      <c r="K42" s="77">
        <f t="shared" si="5"/>
        <v>4.0000000000000001E-3</v>
      </c>
      <c r="L42" s="77">
        <f t="shared" si="5"/>
        <v>1.6E-2</v>
      </c>
      <c r="M42" s="77">
        <f t="shared" si="5"/>
        <v>2.5839999999999998E-2</v>
      </c>
      <c r="N42" s="77">
        <f t="shared" si="5"/>
        <v>0</v>
      </c>
      <c r="O42" s="77">
        <f t="shared" si="5"/>
        <v>0</v>
      </c>
      <c r="P42" s="77">
        <f t="shared" si="5"/>
        <v>12.8</v>
      </c>
      <c r="Q42" s="77">
        <f t="shared" si="10"/>
        <v>21.400000000000002</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80</v>
      </c>
      <c r="C43" s="77">
        <f t="shared" si="6"/>
        <v>152</v>
      </c>
      <c r="D43" s="77">
        <f t="shared" si="7"/>
        <v>44.353759999999994</v>
      </c>
      <c r="E43" s="77">
        <f t="shared" si="8"/>
        <v>14.749200000000002</v>
      </c>
      <c r="F43" s="77">
        <f t="shared" si="9"/>
        <v>3.7139200000000003</v>
      </c>
      <c r="G43" s="77">
        <f t="shared" si="5"/>
        <v>0.2</v>
      </c>
      <c r="H43" s="77">
        <f t="shared" si="5"/>
        <v>0.14960000000000001</v>
      </c>
      <c r="I43" s="77">
        <f t="shared" si="5"/>
        <v>6.0240000000000002E-2</v>
      </c>
      <c r="J43" s="77">
        <f t="shared" si="5"/>
        <v>8.0000000000000004E-4</v>
      </c>
      <c r="K43" s="77">
        <f t="shared" si="5"/>
        <v>4.0000000000000001E-3</v>
      </c>
      <c r="L43" s="77">
        <f t="shared" si="5"/>
        <v>1.6E-2</v>
      </c>
      <c r="M43" s="77">
        <f t="shared" si="5"/>
        <v>2.5839999999999998E-2</v>
      </c>
      <c r="N43" s="77">
        <f t="shared" si="5"/>
        <v>0</v>
      </c>
      <c r="O43" s="77">
        <f t="shared" si="5"/>
        <v>0</v>
      </c>
      <c r="P43" s="77">
        <f t="shared" si="5"/>
        <v>12.8</v>
      </c>
      <c r="Q43" s="77">
        <f t="shared" si="10"/>
        <v>21.400000000000002</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100</v>
      </c>
      <c r="C44" s="77">
        <f t="shared" si="6"/>
        <v>190</v>
      </c>
      <c r="D44" s="77">
        <f t="shared" si="7"/>
        <v>55.4422</v>
      </c>
      <c r="E44" s="77">
        <f t="shared" si="8"/>
        <v>18.436499999999999</v>
      </c>
      <c r="F44" s="77">
        <f t="shared" si="9"/>
        <v>4.6424000000000003</v>
      </c>
      <c r="G44" s="77">
        <f t="shared" si="5"/>
        <v>0.25</v>
      </c>
      <c r="H44" s="77">
        <f t="shared" si="5"/>
        <v>0.187</v>
      </c>
      <c r="I44" s="77">
        <f t="shared" si="5"/>
        <v>7.5299999999999992E-2</v>
      </c>
      <c r="J44" s="77">
        <f t="shared" si="5"/>
        <v>1E-3</v>
      </c>
      <c r="K44" s="77">
        <f t="shared" si="5"/>
        <v>5.0000000000000001E-3</v>
      </c>
      <c r="L44" s="77">
        <f t="shared" si="5"/>
        <v>0.02</v>
      </c>
      <c r="M44" s="77">
        <f t="shared" si="5"/>
        <v>3.2300000000000002E-2</v>
      </c>
      <c r="N44" s="77">
        <f t="shared" si="5"/>
        <v>0</v>
      </c>
      <c r="O44" s="77">
        <f t="shared" si="5"/>
        <v>0</v>
      </c>
      <c r="P44" s="77">
        <f t="shared" si="5"/>
        <v>16</v>
      </c>
      <c r="Q44" s="77">
        <f t="shared" si="10"/>
        <v>26.75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100</v>
      </c>
      <c r="C45" s="77">
        <f t="shared" si="6"/>
        <v>190</v>
      </c>
      <c r="D45" s="77">
        <f t="shared" si="7"/>
        <v>55.4422</v>
      </c>
      <c r="E45" s="77">
        <f t="shared" si="8"/>
        <v>18.436499999999999</v>
      </c>
      <c r="F45" s="77">
        <f t="shared" si="9"/>
        <v>4.6424000000000003</v>
      </c>
      <c r="G45" s="77">
        <f t="shared" si="5"/>
        <v>0.25</v>
      </c>
      <c r="H45" s="77">
        <f t="shared" si="5"/>
        <v>0.187</v>
      </c>
      <c r="I45" s="77">
        <f t="shared" si="5"/>
        <v>7.5299999999999992E-2</v>
      </c>
      <c r="J45" s="77">
        <f t="shared" si="5"/>
        <v>1E-3</v>
      </c>
      <c r="K45" s="77">
        <f t="shared" si="5"/>
        <v>5.0000000000000001E-3</v>
      </c>
      <c r="L45" s="77">
        <f t="shared" si="5"/>
        <v>0.02</v>
      </c>
      <c r="M45" s="77">
        <f t="shared" si="5"/>
        <v>3.2300000000000002E-2</v>
      </c>
      <c r="N45" s="77">
        <f t="shared" si="5"/>
        <v>0</v>
      </c>
      <c r="O45" s="77">
        <f t="shared" si="5"/>
        <v>0</v>
      </c>
      <c r="P45" s="77">
        <f t="shared" si="5"/>
        <v>16</v>
      </c>
      <c r="Q45" s="77">
        <f t="shared" si="10"/>
        <v>26.75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100</v>
      </c>
      <c r="C46" s="77">
        <f t="shared" si="6"/>
        <v>190</v>
      </c>
      <c r="D46" s="77">
        <f t="shared" si="7"/>
        <v>55.4422</v>
      </c>
      <c r="E46" s="77">
        <f t="shared" si="8"/>
        <v>18.436499999999999</v>
      </c>
      <c r="F46" s="77">
        <f t="shared" si="9"/>
        <v>4.6424000000000003</v>
      </c>
      <c r="G46" s="77">
        <f t="shared" si="5"/>
        <v>0.25</v>
      </c>
      <c r="H46" s="77">
        <f t="shared" si="5"/>
        <v>0.187</v>
      </c>
      <c r="I46" s="77">
        <f t="shared" si="5"/>
        <v>7.5299999999999992E-2</v>
      </c>
      <c r="J46" s="77">
        <f t="shared" si="5"/>
        <v>1E-3</v>
      </c>
      <c r="K46" s="77">
        <f t="shared" si="5"/>
        <v>5.0000000000000001E-3</v>
      </c>
      <c r="L46" s="77">
        <f t="shared" si="5"/>
        <v>0.02</v>
      </c>
      <c r="M46" s="77">
        <f t="shared" si="5"/>
        <v>3.2300000000000002E-2</v>
      </c>
      <c r="N46" s="77">
        <f t="shared" si="5"/>
        <v>0</v>
      </c>
      <c r="O46" s="77">
        <f t="shared" si="5"/>
        <v>0</v>
      </c>
      <c r="P46" s="77">
        <f t="shared" si="5"/>
        <v>16</v>
      </c>
      <c r="Q46" s="77">
        <f t="shared" si="10"/>
        <v>26.75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100</v>
      </c>
      <c r="C47" s="77">
        <f t="shared" si="6"/>
        <v>190</v>
      </c>
      <c r="D47" s="77">
        <f t="shared" si="7"/>
        <v>55.4422</v>
      </c>
      <c r="E47" s="77">
        <f t="shared" si="8"/>
        <v>18.436499999999999</v>
      </c>
      <c r="F47" s="77">
        <f t="shared" si="9"/>
        <v>4.6424000000000003</v>
      </c>
      <c r="G47" s="77">
        <f t="shared" ref="G47:P50" si="12">IF(G$27="%w/w SAR",((G$28*10)*$B47),IF(G$27="%w/w DM",(((G$28*10)*($B$28/100))*$B47),IF(G$27="kg/t SAR",(G$28*$B47),IF(G$27="kg/t DM",((G$28*($B$28/100))*$B47),IF(G$27="mg/kg SAR",((G$28*0.001)*$B47),IF(G$27="mg/kg DM",(((G$28*0.001)*($B$28/100))*$B47),0))))))</f>
        <v>0.25</v>
      </c>
      <c r="H47" s="77">
        <f t="shared" si="12"/>
        <v>0.187</v>
      </c>
      <c r="I47" s="77">
        <f t="shared" si="12"/>
        <v>7.5299999999999992E-2</v>
      </c>
      <c r="J47" s="77">
        <f t="shared" si="12"/>
        <v>1E-3</v>
      </c>
      <c r="K47" s="77">
        <f t="shared" si="12"/>
        <v>5.0000000000000001E-3</v>
      </c>
      <c r="L47" s="77">
        <f t="shared" si="12"/>
        <v>0.02</v>
      </c>
      <c r="M47" s="77">
        <f t="shared" si="12"/>
        <v>3.2300000000000002E-2</v>
      </c>
      <c r="N47" s="77">
        <f t="shared" si="12"/>
        <v>0</v>
      </c>
      <c r="O47" s="77">
        <f t="shared" si="12"/>
        <v>0</v>
      </c>
      <c r="P47" s="77">
        <f t="shared" si="12"/>
        <v>16</v>
      </c>
      <c r="Q47" s="77">
        <f t="shared" si="10"/>
        <v>26.75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100</v>
      </c>
      <c r="C48" s="77">
        <f t="shared" si="6"/>
        <v>190</v>
      </c>
      <c r="D48" s="77">
        <f t="shared" si="7"/>
        <v>55.4422</v>
      </c>
      <c r="E48" s="77">
        <f t="shared" si="8"/>
        <v>18.436499999999999</v>
      </c>
      <c r="F48" s="77">
        <f t="shared" si="9"/>
        <v>4.6424000000000003</v>
      </c>
      <c r="G48" s="77">
        <f t="shared" si="12"/>
        <v>0.25</v>
      </c>
      <c r="H48" s="77">
        <f t="shared" si="12"/>
        <v>0.187</v>
      </c>
      <c r="I48" s="77">
        <f t="shared" si="12"/>
        <v>7.5299999999999992E-2</v>
      </c>
      <c r="J48" s="77">
        <f t="shared" si="12"/>
        <v>1E-3</v>
      </c>
      <c r="K48" s="77">
        <f t="shared" si="12"/>
        <v>5.0000000000000001E-3</v>
      </c>
      <c r="L48" s="77">
        <f t="shared" si="12"/>
        <v>0.02</v>
      </c>
      <c r="M48" s="77">
        <f t="shared" si="12"/>
        <v>3.2300000000000002E-2</v>
      </c>
      <c r="N48" s="77">
        <f t="shared" si="12"/>
        <v>0</v>
      </c>
      <c r="O48" s="77">
        <f t="shared" si="12"/>
        <v>0</v>
      </c>
      <c r="P48" s="77">
        <f t="shared" si="12"/>
        <v>16</v>
      </c>
      <c r="Q48" s="77">
        <f t="shared" si="10"/>
        <v>26.75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100</v>
      </c>
      <c r="C49" s="77">
        <f t="shared" si="6"/>
        <v>190</v>
      </c>
      <c r="D49" s="77">
        <f t="shared" si="7"/>
        <v>55.4422</v>
      </c>
      <c r="E49" s="77">
        <f t="shared" si="8"/>
        <v>18.436499999999999</v>
      </c>
      <c r="F49" s="77">
        <f t="shared" si="9"/>
        <v>4.6424000000000003</v>
      </c>
      <c r="G49" s="77">
        <f t="shared" si="12"/>
        <v>0.25</v>
      </c>
      <c r="H49" s="77">
        <f t="shared" si="12"/>
        <v>0.187</v>
      </c>
      <c r="I49" s="77">
        <f t="shared" si="12"/>
        <v>7.5299999999999992E-2</v>
      </c>
      <c r="J49" s="77">
        <f t="shared" si="12"/>
        <v>1E-3</v>
      </c>
      <c r="K49" s="77">
        <f t="shared" si="12"/>
        <v>5.0000000000000001E-3</v>
      </c>
      <c r="L49" s="77">
        <f t="shared" si="12"/>
        <v>0.02</v>
      </c>
      <c r="M49" s="77">
        <f t="shared" si="12"/>
        <v>3.2300000000000002E-2</v>
      </c>
      <c r="N49" s="77">
        <f t="shared" si="12"/>
        <v>0</v>
      </c>
      <c r="O49" s="77">
        <f t="shared" si="12"/>
        <v>0</v>
      </c>
      <c r="P49" s="77">
        <f t="shared" si="12"/>
        <v>16</v>
      </c>
      <c r="Q49" s="77">
        <f t="shared" si="10"/>
        <v>26.75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100</v>
      </c>
      <c r="C50" s="98">
        <f t="shared" si="6"/>
        <v>190</v>
      </c>
      <c r="D50" s="98">
        <f t="shared" si="7"/>
        <v>55.4422</v>
      </c>
      <c r="E50" s="98">
        <f t="shared" si="8"/>
        <v>18.436499999999999</v>
      </c>
      <c r="F50" s="98">
        <f t="shared" si="9"/>
        <v>4.6424000000000003</v>
      </c>
      <c r="G50" s="98">
        <f t="shared" si="12"/>
        <v>0.25</v>
      </c>
      <c r="H50" s="98">
        <f t="shared" si="12"/>
        <v>0.187</v>
      </c>
      <c r="I50" s="98">
        <f t="shared" si="12"/>
        <v>7.5299999999999992E-2</v>
      </c>
      <c r="J50" s="98">
        <f t="shared" si="12"/>
        <v>1E-3</v>
      </c>
      <c r="K50" s="98">
        <f t="shared" si="12"/>
        <v>5.0000000000000001E-3</v>
      </c>
      <c r="L50" s="98">
        <f t="shared" si="12"/>
        <v>0.02</v>
      </c>
      <c r="M50" s="98">
        <f t="shared" si="12"/>
        <v>3.2300000000000002E-2</v>
      </c>
      <c r="N50" s="98">
        <f t="shared" si="12"/>
        <v>0</v>
      </c>
      <c r="O50" s="98">
        <f t="shared" si="12"/>
        <v>0</v>
      </c>
      <c r="P50" s="98">
        <f t="shared" si="12"/>
        <v>16</v>
      </c>
      <c r="Q50" s="98">
        <f t="shared" si="10"/>
        <v>26.75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Arable</v>
      </c>
      <c r="K58" s="13" t="str">
        <f>L16&amp;" I "&amp;(VLOOKUP(L14,Table2458[],6,FALSE))</f>
        <v>Medium/Clay I Arable</v>
      </c>
      <c r="L58" s="13" t="str">
        <f>M16&amp;" I "&amp;(VLOOKUP(M14,Table2458[],6,FALSE))</f>
        <v>Medium/Clay I Arable</v>
      </c>
      <c r="M58" s="13" t="str">
        <f>N16&amp;" I "&amp;(VLOOKUP(N14,Table2458[],6,FALSE))</f>
        <v>Medium/Clay I Arable</v>
      </c>
      <c r="N58" s="13" t="str">
        <f>O16&amp;" I "&amp;(VLOOKUP(O14,Table2458[],6,FALSE))</f>
        <v>Medium/Clay I Arable</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6.7</v>
      </c>
      <c r="H59" s="76">
        <f>VLOOKUP(I$14,Table2458[],5,FALSE)</f>
        <v>6.7</v>
      </c>
      <c r="I59" s="76">
        <f>VLOOKUP(J$14,Table2458[],5,FALSE)</f>
        <v>6.7</v>
      </c>
      <c r="J59" s="76">
        <f>VLOOKUP(K$14,Table2458[],5,FALSE)</f>
        <v>6.7</v>
      </c>
      <c r="K59" s="76">
        <f>VLOOKUP(L$14,Table2458[],5,FALSE)</f>
        <v>6.7</v>
      </c>
      <c r="L59" s="76">
        <f>VLOOKUP(M$14,Table2458[],5,FALSE)</f>
        <v>6.7</v>
      </c>
      <c r="M59" s="76">
        <f>VLOOKUP(N$14,Table2458[],5,FALSE)</f>
        <v>6.7</v>
      </c>
      <c r="N59" s="76">
        <f>VLOOKUP(O$14,Table2458[],5,FALSE)</f>
        <v>6.7</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100</v>
      </c>
      <c r="C62" s="77">
        <f>B32</f>
        <v>100</v>
      </c>
      <c r="D62" s="77">
        <f>B33</f>
        <v>100</v>
      </c>
      <c r="E62" s="77">
        <f>B34</f>
        <v>0</v>
      </c>
      <c r="F62" s="77">
        <f>B35</f>
        <v>100</v>
      </c>
      <c r="G62" s="77">
        <f>B36</f>
        <v>100</v>
      </c>
      <c r="H62" s="77">
        <f>B37</f>
        <v>100</v>
      </c>
      <c r="I62" s="77">
        <f>B38</f>
        <v>100</v>
      </c>
      <c r="J62" s="77">
        <f>B39</f>
        <v>100</v>
      </c>
      <c r="K62" s="77">
        <f>B40</f>
        <v>100</v>
      </c>
      <c r="L62" s="77">
        <f>B41</f>
        <v>80</v>
      </c>
      <c r="M62" s="77">
        <f>B42</f>
        <v>80</v>
      </c>
      <c r="N62" s="77">
        <f>B43</f>
        <v>80</v>
      </c>
      <c r="O62" s="77">
        <f>B44</f>
        <v>100</v>
      </c>
      <c r="P62" s="77">
        <f>B45</f>
        <v>100</v>
      </c>
      <c r="Q62" s="77">
        <f>B46</f>
        <v>100</v>
      </c>
      <c r="R62" s="77">
        <f>B47</f>
        <v>100</v>
      </c>
      <c r="S62" s="77">
        <f>B48</f>
        <v>100</v>
      </c>
      <c r="T62" s="77">
        <f>B49</f>
        <v>100</v>
      </c>
      <c r="U62" s="77">
        <f>B50</f>
        <v>100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9" zoomScale="90" zoomScaleNormal="90" workbookViewId="0">
      <selection activeCell="A41" sqref="A4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4.17</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177</v>
      </c>
      <c r="G2" s="125" t="s">
        <v>110</v>
      </c>
      <c r="H2" s="126"/>
      <c r="I2" s="118">
        <v>200</v>
      </c>
      <c r="J2" s="127" t="s">
        <v>158</v>
      </c>
      <c r="K2" s="127"/>
      <c r="L2" s="97">
        <v>0.03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v>4080</v>
      </c>
      <c r="J3" s="123" t="s">
        <v>154</v>
      </c>
      <c r="K3" s="124"/>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180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35.224125000000001</v>
      </c>
      <c r="D18" s="16">
        <f>$D32</f>
        <v>35.224125000000001</v>
      </c>
      <c r="E18" s="16">
        <f>$D33</f>
        <v>35.224125000000001</v>
      </c>
      <c r="F18" s="16">
        <f>$D34</f>
        <v>0</v>
      </c>
      <c r="G18" s="16">
        <f>$D35</f>
        <v>35.224125000000001</v>
      </c>
      <c r="H18" s="16">
        <f>$D36</f>
        <v>35.224125000000001</v>
      </c>
      <c r="I18" s="16">
        <f>$D37</f>
        <v>35.224125000000001</v>
      </c>
      <c r="J18" s="16">
        <f>$D38</f>
        <v>35.224125000000001</v>
      </c>
      <c r="K18" s="16">
        <f>$D39</f>
        <v>35.224125000000001</v>
      </c>
      <c r="L18" s="16">
        <f>$D40</f>
        <v>35.224125000000001</v>
      </c>
      <c r="M18" s="16">
        <f>$D41</f>
        <v>35.224125000000001</v>
      </c>
      <c r="N18" s="16">
        <f>$D42</f>
        <v>35.224125000000001</v>
      </c>
      <c r="O18" s="16">
        <f>$D43</f>
        <v>35.224125000000001</v>
      </c>
      <c r="P18" s="16">
        <f>$D44</f>
        <v>35.224125000000001</v>
      </c>
      <c r="Q18" s="16">
        <f>$D45</f>
        <v>35.224125000000001</v>
      </c>
      <c r="R18" s="16">
        <f>$D46</f>
        <v>35.224125000000001</v>
      </c>
      <c r="S18" s="16">
        <f>$D47</f>
        <v>35.224125000000001</v>
      </c>
      <c r="T18" s="16">
        <f>$D48</f>
        <v>35.224125000000001</v>
      </c>
      <c r="U18" s="16">
        <f>$D49</f>
        <v>35.224125000000001</v>
      </c>
      <c r="V18" s="25">
        <f>$D50</f>
        <v>35.224125000000001</v>
      </c>
      <c r="AD18" s="52" t="s">
        <v>147</v>
      </c>
      <c r="AE18" s="30">
        <v>16</v>
      </c>
      <c r="AI18" s="48" t="s">
        <v>106</v>
      </c>
      <c r="AJ18" s="49">
        <v>5.9</v>
      </c>
      <c r="AK18" s="50">
        <v>18</v>
      </c>
      <c r="AL18" s="51">
        <v>16</v>
      </c>
      <c r="AM18" s="11">
        <v>6.2</v>
      </c>
      <c r="AN18" s="11" t="s">
        <v>112</v>
      </c>
    </row>
    <row r="19" spans="1:40" x14ac:dyDescent="0.2">
      <c r="A19" s="131" t="s">
        <v>90</v>
      </c>
      <c r="B19" s="132"/>
      <c r="C19" s="16">
        <f>C18-C17</f>
        <v>-29.375874999999994</v>
      </c>
      <c r="D19" s="16">
        <f t="shared" ref="D19:V19" si="1">D18-D17</f>
        <v>-29.375874999999994</v>
      </c>
      <c r="E19" s="16">
        <f t="shared" si="1"/>
        <v>-29.375874999999994</v>
      </c>
      <c r="F19" s="16">
        <f t="shared" si="1"/>
        <v>-64.599999999999994</v>
      </c>
      <c r="G19" s="16">
        <f t="shared" si="1"/>
        <v>-29.375874999999994</v>
      </c>
      <c r="H19" s="16">
        <f t="shared" si="1"/>
        <v>-20.775874999999999</v>
      </c>
      <c r="I19" s="16">
        <f t="shared" si="1"/>
        <v>-20.775874999999999</v>
      </c>
      <c r="J19" s="16">
        <f t="shared" si="1"/>
        <v>-20.775874999999999</v>
      </c>
      <c r="K19" s="16">
        <f t="shared" si="1"/>
        <v>-20.775874999999999</v>
      </c>
      <c r="L19" s="16">
        <f t="shared" si="1"/>
        <v>-20.775874999999999</v>
      </c>
      <c r="M19" s="16">
        <f t="shared" si="1"/>
        <v>-11.525874999999999</v>
      </c>
      <c r="N19" s="16">
        <f t="shared" si="1"/>
        <v>-11.525874999999999</v>
      </c>
      <c r="O19" s="16">
        <f t="shared" si="1"/>
        <v>-11.525874999999999</v>
      </c>
      <c r="P19" s="16">
        <f t="shared" si="1"/>
        <v>25.874124999999999</v>
      </c>
      <c r="Q19" s="16">
        <f t="shared" si="1"/>
        <v>25.874124999999999</v>
      </c>
      <c r="R19" s="16">
        <f t="shared" si="1"/>
        <v>25.874124999999999</v>
      </c>
      <c r="S19" s="16">
        <f t="shared" si="1"/>
        <v>25.874124999999999</v>
      </c>
      <c r="T19" s="16">
        <f t="shared" si="1"/>
        <v>25.874124999999999</v>
      </c>
      <c r="U19" s="16">
        <f t="shared" si="1"/>
        <v>25.874124999999999</v>
      </c>
      <c r="V19" s="25">
        <f t="shared" si="1"/>
        <v>25.874124999999999</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22.533500000000004</v>
      </c>
      <c r="D22" s="16">
        <f>$E32</f>
        <v>22.533500000000004</v>
      </c>
      <c r="E22" s="16">
        <f>$E33</f>
        <v>22.533500000000004</v>
      </c>
      <c r="F22" s="16">
        <f>$E34</f>
        <v>0</v>
      </c>
      <c r="G22" s="16">
        <f>$E35</f>
        <v>22.533500000000004</v>
      </c>
      <c r="H22" s="16">
        <f>$E36</f>
        <v>22.533500000000004</v>
      </c>
      <c r="I22" s="16">
        <f>$E37</f>
        <v>22.533500000000004</v>
      </c>
      <c r="J22" s="16">
        <f>$E38</f>
        <v>22.533500000000004</v>
      </c>
      <c r="K22" s="16">
        <f>$E39</f>
        <v>22.533500000000004</v>
      </c>
      <c r="L22" s="16">
        <f>$E40</f>
        <v>22.533500000000004</v>
      </c>
      <c r="M22" s="16">
        <f>$E41</f>
        <v>22.533500000000004</v>
      </c>
      <c r="N22" s="16">
        <f>$E42</f>
        <v>22.533500000000004</v>
      </c>
      <c r="O22" s="16">
        <f>$E43</f>
        <v>22.533500000000004</v>
      </c>
      <c r="P22" s="16">
        <f>$E44</f>
        <v>22.533500000000004</v>
      </c>
      <c r="Q22" s="16">
        <f>$E45</f>
        <v>22.533500000000004</v>
      </c>
      <c r="R22" s="16">
        <f>$E46</f>
        <v>22.533500000000004</v>
      </c>
      <c r="S22" s="16">
        <f>$E47</f>
        <v>22.533500000000004</v>
      </c>
      <c r="T22" s="16">
        <f>$E48</f>
        <v>22.533500000000004</v>
      </c>
      <c r="U22" s="16">
        <f>$E49</f>
        <v>22.533500000000004</v>
      </c>
      <c r="V22" s="16">
        <f>$E50</f>
        <v>22.533500000000004</v>
      </c>
      <c r="AI22" s="63" t="s">
        <v>102</v>
      </c>
      <c r="AJ22" s="64">
        <v>1.2</v>
      </c>
      <c r="AK22" s="65">
        <v>5</v>
      </c>
      <c r="AL22" s="29">
        <v>20</v>
      </c>
      <c r="AM22" s="11">
        <v>6.7</v>
      </c>
      <c r="AN22" s="11" t="s">
        <v>135</v>
      </c>
    </row>
    <row r="23" spans="1:40" x14ac:dyDescent="0.2">
      <c r="A23" s="131" t="s">
        <v>92</v>
      </c>
      <c r="B23" s="132"/>
      <c r="C23" s="16">
        <f>C22-C21</f>
        <v>-205.4665</v>
      </c>
      <c r="D23" s="16">
        <f t="shared" ref="D23:V23" si="3">D22-D21</f>
        <v>-205.4665</v>
      </c>
      <c r="E23" s="16">
        <f t="shared" si="3"/>
        <v>-205.4665</v>
      </c>
      <c r="F23" s="16">
        <f t="shared" si="3"/>
        <v>-228</v>
      </c>
      <c r="G23" s="16">
        <f t="shared" si="3"/>
        <v>-205.4665</v>
      </c>
      <c r="H23" s="16">
        <f t="shared" si="3"/>
        <v>-153.4665</v>
      </c>
      <c r="I23" s="16">
        <f t="shared" si="3"/>
        <v>-153.4665</v>
      </c>
      <c r="J23" s="16">
        <f t="shared" si="3"/>
        <v>-153.4665</v>
      </c>
      <c r="K23" s="16">
        <f t="shared" si="3"/>
        <v>-153.4665</v>
      </c>
      <c r="L23" s="16">
        <f t="shared" si="3"/>
        <v>-153.4665</v>
      </c>
      <c r="M23" s="16">
        <f t="shared" si="3"/>
        <v>-43.466499999999996</v>
      </c>
      <c r="N23" s="16">
        <f t="shared" si="3"/>
        <v>-43.466499999999996</v>
      </c>
      <c r="O23" s="16">
        <f t="shared" si="3"/>
        <v>-43.466499999999996</v>
      </c>
      <c r="P23" s="16">
        <f t="shared" si="3"/>
        <v>-10.466499999999996</v>
      </c>
      <c r="Q23" s="16">
        <f t="shared" si="3"/>
        <v>-10.466499999999996</v>
      </c>
      <c r="R23" s="16">
        <f t="shared" si="3"/>
        <v>-10.466499999999996</v>
      </c>
      <c r="S23" s="16">
        <f t="shared" si="3"/>
        <v>-10.466499999999996</v>
      </c>
      <c r="T23" s="16">
        <f t="shared" si="3"/>
        <v>-10.466499999999996</v>
      </c>
      <c r="U23" s="16">
        <f t="shared" si="3"/>
        <v>-10.466499999999996</v>
      </c>
      <c r="V23" s="16">
        <f t="shared" si="3"/>
        <v>-10.466499999999996</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1.55</v>
      </c>
      <c r="C28" s="15">
        <v>0.03</v>
      </c>
      <c r="D28" s="15">
        <v>61.5</v>
      </c>
      <c r="E28" s="15">
        <v>74.8</v>
      </c>
      <c r="F28" s="15">
        <v>24</v>
      </c>
      <c r="G28" s="15">
        <v>0.21199999999999999</v>
      </c>
      <c r="H28" s="15">
        <v>1.77</v>
      </c>
      <c r="I28" s="15">
        <v>0.5</v>
      </c>
      <c r="J28" s="15">
        <v>0.01</v>
      </c>
      <c r="K28" s="23">
        <v>0.05</v>
      </c>
      <c r="L28" s="15">
        <v>0.22900000000000001</v>
      </c>
      <c r="M28" s="15">
        <v>0.27600000000000002</v>
      </c>
      <c r="N28" s="15"/>
      <c r="O28" s="15"/>
      <c r="P28" s="15">
        <v>284</v>
      </c>
      <c r="Q28" s="15">
        <v>125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si="5"/>
        <v>0.125</v>
      </c>
      <c r="J31" s="77">
        <f t="shared" si="5"/>
        <v>2.5000000000000001E-3</v>
      </c>
      <c r="K31" s="77">
        <f t="shared" si="5"/>
        <v>1.2500000000000001E-2</v>
      </c>
      <c r="L31" s="77">
        <f t="shared" si="5"/>
        <v>5.7250000000000002E-2</v>
      </c>
      <c r="M31" s="77">
        <f t="shared" si="5"/>
        <v>6.9000000000000006E-2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5.2999999999999999E-2</v>
      </c>
      <c r="H32" s="77">
        <f t="shared" si="5"/>
        <v>0.4425</v>
      </c>
      <c r="I32" s="77">
        <f t="shared" si="5"/>
        <v>0.125</v>
      </c>
      <c r="J32" s="77">
        <f t="shared" si="5"/>
        <v>2.5000000000000001E-3</v>
      </c>
      <c r="K32" s="77">
        <f t="shared" si="5"/>
        <v>1.2500000000000001E-2</v>
      </c>
      <c r="L32" s="77">
        <f t="shared" si="5"/>
        <v>5.7250000000000002E-2</v>
      </c>
      <c r="M32" s="77">
        <f t="shared" si="5"/>
        <v>6.9000000000000006E-2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75</v>
      </c>
      <c r="D33" s="77">
        <f t="shared" si="7"/>
        <v>35.224125000000001</v>
      </c>
      <c r="E33" s="77">
        <f t="shared" si="8"/>
        <v>22.533500000000004</v>
      </c>
      <c r="F33" s="77">
        <f t="shared" si="9"/>
        <v>9.9480000000000004</v>
      </c>
      <c r="G33" s="77">
        <f t="shared" si="5"/>
        <v>5.2999999999999999E-2</v>
      </c>
      <c r="H33" s="77">
        <f t="shared" si="5"/>
        <v>0.4425</v>
      </c>
      <c r="I33" s="77">
        <f t="shared" si="5"/>
        <v>0.125</v>
      </c>
      <c r="J33" s="77">
        <f t="shared" si="5"/>
        <v>2.5000000000000001E-3</v>
      </c>
      <c r="K33" s="77">
        <f t="shared" si="5"/>
        <v>1.2500000000000001E-2</v>
      </c>
      <c r="L33" s="77">
        <f t="shared" si="5"/>
        <v>5.7250000000000002E-2</v>
      </c>
      <c r="M33" s="77">
        <f t="shared" si="5"/>
        <v>6.9000000000000006E-2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75</v>
      </c>
      <c r="D35" s="77">
        <f t="shared" si="7"/>
        <v>35.224125000000001</v>
      </c>
      <c r="E35" s="77">
        <f t="shared" si="8"/>
        <v>22.533500000000004</v>
      </c>
      <c r="F35" s="77">
        <f t="shared" si="9"/>
        <v>9.9480000000000004</v>
      </c>
      <c r="G35" s="77">
        <f t="shared" si="5"/>
        <v>5.2999999999999999E-2</v>
      </c>
      <c r="H35" s="77">
        <f t="shared" si="5"/>
        <v>0.4425</v>
      </c>
      <c r="I35" s="77">
        <f t="shared" si="5"/>
        <v>0.125</v>
      </c>
      <c r="J35" s="77">
        <f t="shared" si="5"/>
        <v>2.5000000000000001E-3</v>
      </c>
      <c r="K35" s="77">
        <f t="shared" si="5"/>
        <v>1.2500000000000001E-2</v>
      </c>
      <c r="L35" s="77">
        <f t="shared" si="5"/>
        <v>5.7250000000000002E-2</v>
      </c>
      <c r="M35" s="77">
        <f t="shared" si="5"/>
        <v>6.9000000000000006E-2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75</v>
      </c>
      <c r="D36" s="77">
        <f t="shared" si="7"/>
        <v>35.224125000000001</v>
      </c>
      <c r="E36" s="77">
        <f t="shared" si="8"/>
        <v>22.533500000000004</v>
      </c>
      <c r="F36" s="77">
        <f t="shared" si="9"/>
        <v>9.9480000000000004</v>
      </c>
      <c r="G36" s="77">
        <f t="shared" si="5"/>
        <v>5.2999999999999999E-2</v>
      </c>
      <c r="H36" s="77">
        <f t="shared" si="5"/>
        <v>0.4425</v>
      </c>
      <c r="I36" s="77">
        <f t="shared" si="5"/>
        <v>0.125</v>
      </c>
      <c r="J36" s="77">
        <f t="shared" si="5"/>
        <v>2.5000000000000001E-3</v>
      </c>
      <c r="K36" s="77">
        <f t="shared" si="5"/>
        <v>1.2500000000000001E-2</v>
      </c>
      <c r="L36" s="77">
        <f t="shared" si="5"/>
        <v>5.7250000000000002E-2</v>
      </c>
      <c r="M36" s="77">
        <f t="shared" si="5"/>
        <v>6.9000000000000006E-2</v>
      </c>
      <c r="N36" s="77">
        <f t="shared" si="5"/>
        <v>0</v>
      </c>
      <c r="O36" s="77">
        <f t="shared" si="5"/>
        <v>0</v>
      </c>
      <c r="P36" s="77">
        <f t="shared" si="5"/>
        <v>71.000000000000014</v>
      </c>
      <c r="Q36" s="77">
        <f t="shared" si="10"/>
        <v>78.125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75</v>
      </c>
      <c r="D37" s="77">
        <f t="shared" si="7"/>
        <v>35.224125000000001</v>
      </c>
      <c r="E37" s="77">
        <f t="shared" si="8"/>
        <v>22.533500000000004</v>
      </c>
      <c r="F37" s="77">
        <f t="shared" si="9"/>
        <v>9.9480000000000004</v>
      </c>
      <c r="G37" s="77">
        <f t="shared" si="5"/>
        <v>5.2999999999999999E-2</v>
      </c>
      <c r="H37" s="77">
        <f t="shared" si="5"/>
        <v>0.4425</v>
      </c>
      <c r="I37" s="77">
        <f t="shared" si="5"/>
        <v>0.125</v>
      </c>
      <c r="J37" s="77">
        <f t="shared" si="5"/>
        <v>2.5000000000000001E-3</v>
      </c>
      <c r="K37" s="77">
        <f t="shared" si="5"/>
        <v>1.2500000000000001E-2</v>
      </c>
      <c r="L37" s="77">
        <f t="shared" si="5"/>
        <v>5.7250000000000002E-2</v>
      </c>
      <c r="M37" s="77">
        <f t="shared" si="5"/>
        <v>6.9000000000000006E-2</v>
      </c>
      <c r="N37" s="77">
        <f t="shared" si="5"/>
        <v>0</v>
      </c>
      <c r="O37" s="77">
        <f t="shared" si="5"/>
        <v>0</v>
      </c>
      <c r="P37" s="77">
        <f t="shared" si="5"/>
        <v>71.000000000000014</v>
      </c>
      <c r="Q37" s="77">
        <f t="shared" si="10"/>
        <v>78.125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75</v>
      </c>
      <c r="D38" s="77">
        <f t="shared" si="7"/>
        <v>35.224125000000001</v>
      </c>
      <c r="E38" s="77">
        <f t="shared" si="8"/>
        <v>22.533500000000004</v>
      </c>
      <c r="F38" s="77">
        <f t="shared" si="9"/>
        <v>9.9480000000000004</v>
      </c>
      <c r="G38" s="77">
        <f t="shared" si="5"/>
        <v>5.2999999999999999E-2</v>
      </c>
      <c r="H38" s="77">
        <f t="shared" si="5"/>
        <v>0.4425</v>
      </c>
      <c r="I38" s="77">
        <f t="shared" si="5"/>
        <v>0.125</v>
      </c>
      <c r="J38" s="77">
        <f t="shared" si="5"/>
        <v>2.5000000000000001E-3</v>
      </c>
      <c r="K38" s="77">
        <f t="shared" si="5"/>
        <v>1.2500000000000001E-2</v>
      </c>
      <c r="L38" s="77">
        <f t="shared" si="5"/>
        <v>5.7250000000000002E-2</v>
      </c>
      <c r="M38" s="77">
        <f t="shared" si="5"/>
        <v>6.9000000000000006E-2</v>
      </c>
      <c r="N38" s="77">
        <f t="shared" si="5"/>
        <v>0</v>
      </c>
      <c r="O38" s="77">
        <f t="shared" si="5"/>
        <v>0</v>
      </c>
      <c r="P38" s="77">
        <f t="shared" si="5"/>
        <v>71.000000000000014</v>
      </c>
      <c r="Q38" s="77">
        <f t="shared" si="10"/>
        <v>78.125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250</v>
      </c>
      <c r="C39" s="77">
        <f t="shared" si="6"/>
        <v>75</v>
      </c>
      <c r="D39" s="77">
        <f t="shared" si="7"/>
        <v>35.224125000000001</v>
      </c>
      <c r="E39" s="77">
        <f t="shared" si="8"/>
        <v>22.533500000000004</v>
      </c>
      <c r="F39" s="77">
        <f t="shared" si="9"/>
        <v>9.9480000000000004</v>
      </c>
      <c r="G39" s="77">
        <f t="shared" si="5"/>
        <v>5.2999999999999999E-2</v>
      </c>
      <c r="H39" s="77">
        <f t="shared" si="5"/>
        <v>0.4425</v>
      </c>
      <c r="I39" s="77">
        <f t="shared" si="5"/>
        <v>0.125</v>
      </c>
      <c r="J39" s="77">
        <f t="shared" si="5"/>
        <v>2.5000000000000001E-3</v>
      </c>
      <c r="K39" s="77">
        <f t="shared" si="5"/>
        <v>1.2500000000000001E-2</v>
      </c>
      <c r="L39" s="77">
        <f t="shared" si="5"/>
        <v>5.7250000000000002E-2</v>
      </c>
      <c r="M39" s="77">
        <f t="shared" si="5"/>
        <v>6.9000000000000006E-2</v>
      </c>
      <c r="N39" s="77">
        <f t="shared" si="5"/>
        <v>0</v>
      </c>
      <c r="O39" s="77">
        <f t="shared" si="5"/>
        <v>0</v>
      </c>
      <c r="P39" s="77">
        <f t="shared" si="5"/>
        <v>71.000000000000014</v>
      </c>
      <c r="Q39" s="77">
        <f t="shared" si="10"/>
        <v>78.125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250</v>
      </c>
      <c r="C40" s="77">
        <f t="shared" si="6"/>
        <v>75</v>
      </c>
      <c r="D40" s="77">
        <f t="shared" si="7"/>
        <v>35.224125000000001</v>
      </c>
      <c r="E40" s="77">
        <f t="shared" si="8"/>
        <v>22.533500000000004</v>
      </c>
      <c r="F40" s="77">
        <f t="shared" si="9"/>
        <v>9.9480000000000004</v>
      </c>
      <c r="G40" s="77">
        <f t="shared" si="5"/>
        <v>5.2999999999999999E-2</v>
      </c>
      <c r="H40" s="77">
        <f t="shared" si="5"/>
        <v>0.4425</v>
      </c>
      <c r="I40" s="77">
        <f t="shared" si="5"/>
        <v>0.125</v>
      </c>
      <c r="J40" s="77">
        <f t="shared" si="5"/>
        <v>2.5000000000000001E-3</v>
      </c>
      <c r="K40" s="77">
        <f t="shared" si="5"/>
        <v>1.2500000000000001E-2</v>
      </c>
      <c r="L40" s="77">
        <f t="shared" si="5"/>
        <v>5.7250000000000002E-2</v>
      </c>
      <c r="M40" s="77">
        <f t="shared" si="5"/>
        <v>6.9000000000000006E-2</v>
      </c>
      <c r="N40" s="77">
        <f t="shared" si="5"/>
        <v>0</v>
      </c>
      <c r="O40" s="77">
        <f t="shared" si="5"/>
        <v>0</v>
      </c>
      <c r="P40" s="77">
        <f t="shared" si="5"/>
        <v>71.000000000000014</v>
      </c>
      <c r="Q40" s="77">
        <f t="shared" si="10"/>
        <v>78.125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250</v>
      </c>
      <c r="C41" s="77">
        <f t="shared" si="6"/>
        <v>75</v>
      </c>
      <c r="D41" s="77">
        <f t="shared" si="7"/>
        <v>35.224125000000001</v>
      </c>
      <c r="E41" s="77">
        <f t="shared" si="8"/>
        <v>22.533500000000004</v>
      </c>
      <c r="F41" s="77">
        <f t="shared" si="9"/>
        <v>9.9480000000000004</v>
      </c>
      <c r="G41" s="77">
        <f t="shared" si="5"/>
        <v>5.2999999999999999E-2</v>
      </c>
      <c r="H41" s="77">
        <f t="shared" si="5"/>
        <v>0.4425</v>
      </c>
      <c r="I41" s="77">
        <f t="shared" si="5"/>
        <v>0.125</v>
      </c>
      <c r="J41" s="77">
        <f t="shared" si="5"/>
        <v>2.5000000000000001E-3</v>
      </c>
      <c r="K41" s="77">
        <f t="shared" si="5"/>
        <v>1.2500000000000001E-2</v>
      </c>
      <c r="L41" s="77">
        <f t="shared" si="5"/>
        <v>5.7250000000000002E-2</v>
      </c>
      <c r="M41" s="77">
        <f t="shared" si="5"/>
        <v>6.9000000000000006E-2</v>
      </c>
      <c r="N41" s="77">
        <f t="shared" si="5"/>
        <v>0</v>
      </c>
      <c r="O41" s="77">
        <f t="shared" si="5"/>
        <v>0</v>
      </c>
      <c r="P41" s="77">
        <f t="shared" si="5"/>
        <v>71.000000000000014</v>
      </c>
      <c r="Q41" s="77">
        <f t="shared" si="10"/>
        <v>78.125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250</v>
      </c>
      <c r="C42" s="77">
        <f t="shared" si="6"/>
        <v>75</v>
      </c>
      <c r="D42" s="77">
        <f t="shared" si="7"/>
        <v>35.224125000000001</v>
      </c>
      <c r="E42" s="77">
        <f t="shared" si="8"/>
        <v>22.533500000000004</v>
      </c>
      <c r="F42" s="77">
        <f t="shared" si="9"/>
        <v>9.9480000000000004</v>
      </c>
      <c r="G42" s="77">
        <f t="shared" si="5"/>
        <v>5.2999999999999999E-2</v>
      </c>
      <c r="H42" s="77">
        <f t="shared" si="5"/>
        <v>0.4425</v>
      </c>
      <c r="I42" s="77">
        <f t="shared" si="5"/>
        <v>0.125</v>
      </c>
      <c r="J42" s="77">
        <f t="shared" si="5"/>
        <v>2.5000000000000001E-3</v>
      </c>
      <c r="K42" s="77">
        <f t="shared" si="5"/>
        <v>1.2500000000000001E-2</v>
      </c>
      <c r="L42" s="77">
        <f t="shared" si="5"/>
        <v>5.7250000000000002E-2</v>
      </c>
      <c r="M42" s="77">
        <f t="shared" si="5"/>
        <v>6.9000000000000006E-2</v>
      </c>
      <c r="N42" s="77">
        <f t="shared" si="5"/>
        <v>0</v>
      </c>
      <c r="O42" s="77">
        <f t="shared" si="5"/>
        <v>0</v>
      </c>
      <c r="P42" s="77">
        <f t="shared" si="5"/>
        <v>71.000000000000014</v>
      </c>
      <c r="Q42" s="77">
        <f t="shared" si="10"/>
        <v>78.125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250</v>
      </c>
      <c r="C43" s="77">
        <f t="shared" si="6"/>
        <v>75</v>
      </c>
      <c r="D43" s="77">
        <f t="shared" si="7"/>
        <v>35.224125000000001</v>
      </c>
      <c r="E43" s="77">
        <f t="shared" si="8"/>
        <v>22.533500000000004</v>
      </c>
      <c r="F43" s="77">
        <f t="shared" si="9"/>
        <v>9.9480000000000004</v>
      </c>
      <c r="G43" s="77">
        <f t="shared" si="5"/>
        <v>5.2999999999999999E-2</v>
      </c>
      <c r="H43" s="77">
        <f t="shared" si="5"/>
        <v>0.4425</v>
      </c>
      <c r="I43" s="77">
        <f t="shared" si="5"/>
        <v>0.125</v>
      </c>
      <c r="J43" s="77">
        <f t="shared" si="5"/>
        <v>2.5000000000000001E-3</v>
      </c>
      <c r="K43" s="77">
        <f t="shared" si="5"/>
        <v>1.2500000000000001E-2</v>
      </c>
      <c r="L43" s="77">
        <f t="shared" si="5"/>
        <v>5.7250000000000002E-2</v>
      </c>
      <c r="M43" s="77">
        <f t="shared" si="5"/>
        <v>6.9000000000000006E-2</v>
      </c>
      <c r="N43" s="77">
        <f t="shared" si="5"/>
        <v>0</v>
      </c>
      <c r="O43" s="77">
        <f t="shared" si="5"/>
        <v>0</v>
      </c>
      <c r="P43" s="77">
        <f t="shared" si="5"/>
        <v>71.000000000000014</v>
      </c>
      <c r="Q43" s="77">
        <f t="shared" si="10"/>
        <v>78.125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250</v>
      </c>
      <c r="C44" s="77">
        <f t="shared" si="6"/>
        <v>75</v>
      </c>
      <c r="D44" s="77">
        <f t="shared" si="7"/>
        <v>35.224125000000001</v>
      </c>
      <c r="E44" s="77">
        <f t="shared" si="8"/>
        <v>22.533500000000004</v>
      </c>
      <c r="F44" s="77">
        <f t="shared" si="9"/>
        <v>9.9480000000000004</v>
      </c>
      <c r="G44" s="77">
        <f t="shared" si="5"/>
        <v>5.2999999999999999E-2</v>
      </c>
      <c r="H44" s="77">
        <f t="shared" si="5"/>
        <v>0.4425</v>
      </c>
      <c r="I44" s="77">
        <f t="shared" si="5"/>
        <v>0.125</v>
      </c>
      <c r="J44" s="77">
        <f t="shared" si="5"/>
        <v>2.5000000000000001E-3</v>
      </c>
      <c r="K44" s="77">
        <f t="shared" si="5"/>
        <v>1.2500000000000001E-2</v>
      </c>
      <c r="L44" s="77">
        <f t="shared" si="5"/>
        <v>5.7250000000000002E-2</v>
      </c>
      <c r="M44" s="77">
        <f t="shared" si="5"/>
        <v>6.9000000000000006E-2</v>
      </c>
      <c r="N44" s="77">
        <f t="shared" si="5"/>
        <v>0</v>
      </c>
      <c r="O44" s="77">
        <f t="shared" si="5"/>
        <v>0</v>
      </c>
      <c r="P44" s="77">
        <f t="shared" si="5"/>
        <v>71.000000000000014</v>
      </c>
      <c r="Q44" s="77">
        <f t="shared" si="10"/>
        <v>78.125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250</v>
      </c>
      <c r="C45" s="77">
        <f t="shared" si="6"/>
        <v>75</v>
      </c>
      <c r="D45" s="77">
        <f t="shared" si="7"/>
        <v>35.224125000000001</v>
      </c>
      <c r="E45" s="77">
        <f t="shared" si="8"/>
        <v>22.533500000000004</v>
      </c>
      <c r="F45" s="77">
        <f t="shared" si="9"/>
        <v>9.9480000000000004</v>
      </c>
      <c r="G45" s="77">
        <f t="shared" si="5"/>
        <v>5.2999999999999999E-2</v>
      </c>
      <c r="H45" s="77">
        <f t="shared" si="5"/>
        <v>0.4425</v>
      </c>
      <c r="I45" s="77">
        <f t="shared" si="5"/>
        <v>0.125</v>
      </c>
      <c r="J45" s="77">
        <f t="shared" si="5"/>
        <v>2.5000000000000001E-3</v>
      </c>
      <c r="K45" s="77">
        <f t="shared" si="5"/>
        <v>1.2500000000000001E-2</v>
      </c>
      <c r="L45" s="77">
        <f t="shared" si="5"/>
        <v>5.7250000000000002E-2</v>
      </c>
      <c r="M45" s="77">
        <f t="shared" si="5"/>
        <v>6.9000000000000006E-2</v>
      </c>
      <c r="N45" s="77">
        <f t="shared" si="5"/>
        <v>0</v>
      </c>
      <c r="O45" s="77">
        <f t="shared" si="5"/>
        <v>0</v>
      </c>
      <c r="P45" s="77">
        <f t="shared" si="5"/>
        <v>71.000000000000014</v>
      </c>
      <c r="Q45" s="77">
        <f t="shared" si="10"/>
        <v>78.125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250</v>
      </c>
      <c r="C46" s="77">
        <f t="shared" si="6"/>
        <v>75</v>
      </c>
      <c r="D46" s="77">
        <f t="shared" si="7"/>
        <v>35.224125000000001</v>
      </c>
      <c r="E46" s="77">
        <f t="shared" si="8"/>
        <v>22.533500000000004</v>
      </c>
      <c r="F46" s="77">
        <f t="shared" si="9"/>
        <v>9.9480000000000004</v>
      </c>
      <c r="G46" s="77">
        <f t="shared" si="5"/>
        <v>5.2999999999999999E-2</v>
      </c>
      <c r="H46" s="77">
        <f t="shared" si="5"/>
        <v>0.4425</v>
      </c>
      <c r="I46" s="77">
        <f t="shared" si="5"/>
        <v>0.125</v>
      </c>
      <c r="J46" s="77">
        <f t="shared" si="5"/>
        <v>2.5000000000000001E-3</v>
      </c>
      <c r="K46" s="77">
        <f t="shared" si="5"/>
        <v>1.2500000000000001E-2</v>
      </c>
      <c r="L46" s="77">
        <f t="shared" si="5"/>
        <v>5.7250000000000002E-2</v>
      </c>
      <c r="M46" s="77">
        <f t="shared" si="5"/>
        <v>6.9000000000000006E-2</v>
      </c>
      <c r="N46" s="77">
        <f t="shared" si="5"/>
        <v>0</v>
      </c>
      <c r="O46" s="77">
        <f t="shared" si="5"/>
        <v>0</v>
      </c>
      <c r="P46" s="77">
        <f t="shared" si="5"/>
        <v>71.000000000000014</v>
      </c>
      <c r="Q46" s="77">
        <f t="shared" si="10"/>
        <v>78.125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250</v>
      </c>
      <c r="C47" s="77">
        <f t="shared" si="6"/>
        <v>75</v>
      </c>
      <c r="D47" s="77">
        <f t="shared" si="7"/>
        <v>35.224125000000001</v>
      </c>
      <c r="E47" s="77">
        <f t="shared" si="8"/>
        <v>22.533500000000004</v>
      </c>
      <c r="F47" s="77">
        <f t="shared" si="9"/>
        <v>9.9480000000000004</v>
      </c>
      <c r="G47" s="77">
        <f t="shared" ref="G47:P50" si="12">IF(G$27="%w/w SAR",((G$28*10)*$B47),IF(G$27="%w/w DM",(((G$28*10)*($B$28/100))*$B47),IF(G$27="kg/t SAR",(G$28*$B47),IF(G$27="kg/t DM",((G$28*($B$28/100))*$B47),IF(G$27="mg/kg SAR",((G$28*0.001)*$B47),IF(G$27="mg/kg DM",(((G$28*0.001)*($B$28/100))*$B47),0))))))</f>
        <v>5.2999999999999999E-2</v>
      </c>
      <c r="H47" s="77">
        <f t="shared" si="12"/>
        <v>0.4425</v>
      </c>
      <c r="I47" s="77">
        <f t="shared" si="12"/>
        <v>0.125</v>
      </c>
      <c r="J47" s="77">
        <f t="shared" si="12"/>
        <v>2.5000000000000001E-3</v>
      </c>
      <c r="K47" s="77">
        <f t="shared" si="12"/>
        <v>1.2500000000000001E-2</v>
      </c>
      <c r="L47" s="77">
        <f t="shared" si="12"/>
        <v>5.7250000000000002E-2</v>
      </c>
      <c r="M47" s="77">
        <f t="shared" si="12"/>
        <v>6.9000000000000006E-2</v>
      </c>
      <c r="N47" s="77">
        <f t="shared" si="12"/>
        <v>0</v>
      </c>
      <c r="O47" s="77">
        <f t="shared" si="12"/>
        <v>0</v>
      </c>
      <c r="P47" s="77">
        <f t="shared" si="12"/>
        <v>71.000000000000014</v>
      </c>
      <c r="Q47" s="77">
        <f t="shared" si="10"/>
        <v>78.125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250</v>
      </c>
      <c r="C48" s="77">
        <f t="shared" si="6"/>
        <v>75</v>
      </c>
      <c r="D48" s="77">
        <f t="shared" si="7"/>
        <v>35.224125000000001</v>
      </c>
      <c r="E48" s="77">
        <f t="shared" si="8"/>
        <v>22.533500000000004</v>
      </c>
      <c r="F48" s="77">
        <f t="shared" si="9"/>
        <v>9.9480000000000004</v>
      </c>
      <c r="G48" s="77">
        <f t="shared" si="12"/>
        <v>5.2999999999999999E-2</v>
      </c>
      <c r="H48" s="77">
        <f t="shared" si="12"/>
        <v>0.4425</v>
      </c>
      <c r="I48" s="77">
        <f t="shared" si="12"/>
        <v>0.125</v>
      </c>
      <c r="J48" s="77">
        <f t="shared" si="12"/>
        <v>2.5000000000000001E-3</v>
      </c>
      <c r="K48" s="77">
        <f t="shared" si="12"/>
        <v>1.2500000000000001E-2</v>
      </c>
      <c r="L48" s="77">
        <f t="shared" si="12"/>
        <v>5.7250000000000002E-2</v>
      </c>
      <c r="M48" s="77">
        <f t="shared" si="12"/>
        <v>6.9000000000000006E-2</v>
      </c>
      <c r="N48" s="77">
        <f t="shared" si="12"/>
        <v>0</v>
      </c>
      <c r="O48" s="77">
        <f t="shared" si="12"/>
        <v>0</v>
      </c>
      <c r="P48" s="77">
        <f t="shared" si="12"/>
        <v>71.000000000000014</v>
      </c>
      <c r="Q48" s="77">
        <f t="shared" si="10"/>
        <v>78.125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250</v>
      </c>
      <c r="C49" s="77">
        <f t="shared" si="6"/>
        <v>75</v>
      </c>
      <c r="D49" s="77">
        <f t="shared" si="7"/>
        <v>35.224125000000001</v>
      </c>
      <c r="E49" s="77">
        <f t="shared" si="8"/>
        <v>22.533500000000004</v>
      </c>
      <c r="F49" s="77">
        <f t="shared" si="9"/>
        <v>9.9480000000000004</v>
      </c>
      <c r="G49" s="77">
        <f t="shared" si="12"/>
        <v>5.2999999999999999E-2</v>
      </c>
      <c r="H49" s="77">
        <f t="shared" si="12"/>
        <v>0.4425</v>
      </c>
      <c r="I49" s="77">
        <f t="shared" si="12"/>
        <v>0.125</v>
      </c>
      <c r="J49" s="77">
        <f t="shared" si="12"/>
        <v>2.5000000000000001E-3</v>
      </c>
      <c r="K49" s="77">
        <f t="shared" si="12"/>
        <v>1.2500000000000001E-2</v>
      </c>
      <c r="L49" s="77">
        <f t="shared" si="12"/>
        <v>5.7250000000000002E-2</v>
      </c>
      <c r="M49" s="77">
        <f t="shared" si="12"/>
        <v>6.9000000000000006E-2</v>
      </c>
      <c r="N49" s="77">
        <f t="shared" si="12"/>
        <v>0</v>
      </c>
      <c r="O49" s="77">
        <f t="shared" si="12"/>
        <v>0</v>
      </c>
      <c r="P49" s="77">
        <f t="shared" si="12"/>
        <v>71.000000000000014</v>
      </c>
      <c r="Q49" s="77">
        <f t="shared" si="10"/>
        <v>78.125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250</v>
      </c>
      <c r="C50" s="98">
        <f t="shared" si="6"/>
        <v>75</v>
      </c>
      <c r="D50" s="98">
        <f t="shared" si="7"/>
        <v>35.224125000000001</v>
      </c>
      <c r="E50" s="98">
        <f t="shared" si="8"/>
        <v>22.533500000000004</v>
      </c>
      <c r="F50" s="98">
        <f t="shared" si="9"/>
        <v>9.9480000000000004</v>
      </c>
      <c r="G50" s="98">
        <f t="shared" si="12"/>
        <v>5.2999999999999999E-2</v>
      </c>
      <c r="H50" s="98">
        <f t="shared" si="12"/>
        <v>0.4425</v>
      </c>
      <c r="I50" s="98">
        <f t="shared" si="12"/>
        <v>0.125</v>
      </c>
      <c r="J50" s="98">
        <f t="shared" si="12"/>
        <v>2.5000000000000001E-3</v>
      </c>
      <c r="K50" s="98">
        <f t="shared" si="12"/>
        <v>1.2500000000000001E-2</v>
      </c>
      <c r="L50" s="98">
        <f t="shared" si="12"/>
        <v>5.7250000000000002E-2</v>
      </c>
      <c r="M50" s="98">
        <f t="shared" si="12"/>
        <v>6.9000000000000006E-2</v>
      </c>
      <c r="N50" s="98">
        <f t="shared" si="12"/>
        <v>0</v>
      </c>
      <c r="O50" s="98">
        <f t="shared" si="12"/>
        <v>0</v>
      </c>
      <c r="P50" s="98">
        <f t="shared" si="12"/>
        <v>71.000000000000014</v>
      </c>
      <c r="Q50" s="98">
        <f t="shared" si="10"/>
        <v>78.125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Arable</v>
      </c>
      <c r="K58" s="13" t="str">
        <f>L16&amp;" I "&amp;(VLOOKUP(L14,Table24581113[],6,FALSE))</f>
        <v>Medium/Clay I Arable</v>
      </c>
      <c r="L58" s="13" t="str">
        <f>M16&amp;" I "&amp;(VLOOKUP(M14,Table24581113[],6,FALSE))</f>
        <v>Medium/Clay I Arable</v>
      </c>
      <c r="M58" s="13" t="str">
        <f>N16&amp;" I "&amp;(VLOOKUP(N14,Table24581113[],6,FALSE))</f>
        <v>Medium/Clay I Arable</v>
      </c>
      <c r="N58" s="13" t="str">
        <f>O16&amp;" I "&amp;(VLOOKUP(O14,Table24581113[],6,FALSE))</f>
        <v>Medium/Clay I Arable</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6.7</v>
      </c>
      <c r="H59" s="76">
        <f>VLOOKUP(I$14,Table24581113[],5,FALSE)</f>
        <v>6.7</v>
      </c>
      <c r="I59" s="76">
        <f>VLOOKUP(J$14,Table24581113[],5,FALSE)</f>
        <v>6.7</v>
      </c>
      <c r="J59" s="76">
        <f>VLOOKUP(K$14,Table24581113[],5,FALSE)</f>
        <v>6.7</v>
      </c>
      <c r="K59" s="76">
        <f>VLOOKUP(L$14,Table24581113[],5,FALSE)</f>
        <v>6.7</v>
      </c>
      <c r="L59" s="76">
        <f>VLOOKUP(M$14,Table24581113[],5,FALSE)</f>
        <v>6.7</v>
      </c>
      <c r="M59" s="76">
        <f>VLOOKUP(N$14,Table24581113[],5,FALSE)</f>
        <v>6.7</v>
      </c>
      <c r="N59" s="76">
        <f>VLOOKUP(O$14,Table24581113[],5,FALSE)</f>
        <v>6.7</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250</v>
      </c>
      <c r="C62" s="77">
        <f>B32</f>
        <v>250</v>
      </c>
      <c r="D62" s="77">
        <f>B33</f>
        <v>250</v>
      </c>
      <c r="E62" s="77">
        <f>B34</f>
        <v>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9" zoomScale="90" zoomScaleNormal="90" workbookViewId="0">
      <selection activeCell="A42" sqref="A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7.05</v>
      </c>
      <c r="J1" s="127" t="s">
        <v>153</v>
      </c>
      <c r="K1" s="127"/>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178</v>
      </c>
      <c r="G2" s="125" t="s">
        <v>110</v>
      </c>
      <c r="H2" s="126"/>
      <c r="I2" s="118">
        <v>1784</v>
      </c>
      <c r="J2" s="127" t="s">
        <v>158</v>
      </c>
      <c r="K2" s="127"/>
      <c r="L2" s="97">
        <v>0.37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v>4120</v>
      </c>
      <c r="J3" s="123" t="s">
        <v>154</v>
      </c>
      <c r="K3" s="124"/>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54.177568000000001</v>
      </c>
      <c r="D18" s="16">
        <f>$D32</f>
        <v>54.177568000000001</v>
      </c>
      <c r="E18" s="16">
        <f>$D33</f>
        <v>54.177568000000001</v>
      </c>
      <c r="F18" s="16">
        <f>$D34</f>
        <v>0</v>
      </c>
      <c r="G18" s="16">
        <f>$D35</f>
        <v>54.177568000000001</v>
      </c>
      <c r="H18" s="16">
        <f>$D36</f>
        <v>54.177568000000001</v>
      </c>
      <c r="I18" s="16">
        <f>$D37</f>
        <v>54.177568000000001</v>
      </c>
      <c r="J18" s="16">
        <f>$D38</f>
        <v>54.177568000000001</v>
      </c>
      <c r="K18" s="16">
        <f>$D39</f>
        <v>54.177568000000001</v>
      </c>
      <c r="L18" s="16">
        <f>$D40</f>
        <v>54.177568000000001</v>
      </c>
      <c r="M18" s="16">
        <f>$D41</f>
        <v>44.019273999999996</v>
      </c>
      <c r="N18" s="16">
        <f>$D42</f>
        <v>44.019273999999996</v>
      </c>
      <c r="O18" s="16">
        <f>$D43</f>
        <v>44.019273999999996</v>
      </c>
      <c r="P18" s="16">
        <f>$D44</f>
        <v>54.177568000000001</v>
      </c>
      <c r="Q18" s="16">
        <f>$D45</f>
        <v>54.177568000000001</v>
      </c>
      <c r="R18" s="16">
        <f>$D46</f>
        <v>54.177568000000001</v>
      </c>
      <c r="S18" s="16">
        <f>$D47</f>
        <v>54.177568000000001</v>
      </c>
      <c r="T18" s="16">
        <f>$D48</f>
        <v>54.177568000000001</v>
      </c>
      <c r="U18" s="16">
        <f>$D49</f>
        <v>54.177568000000001</v>
      </c>
      <c r="V18" s="25">
        <f>$D50</f>
        <v>54.177568000000001</v>
      </c>
      <c r="AD18" s="52" t="s">
        <v>147</v>
      </c>
      <c r="AE18" s="30">
        <v>16</v>
      </c>
      <c r="AI18" s="48" t="s">
        <v>106</v>
      </c>
      <c r="AJ18" s="49">
        <v>5.9</v>
      </c>
      <c r="AK18" s="50">
        <v>18</v>
      </c>
      <c r="AL18" s="51">
        <v>16</v>
      </c>
      <c r="AM18" s="11">
        <v>6.2</v>
      </c>
      <c r="AN18" s="11" t="s">
        <v>112</v>
      </c>
    </row>
    <row r="19" spans="1:40" x14ac:dyDescent="0.2">
      <c r="A19" s="131" t="s">
        <v>90</v>
      </c>
      <c r="B19" s="132"/>
      <c r="C19" s="16">
        <f>C18-C17</f>
        <v>-10.422431999999993</v>
      </c>
      <c r="D19" s="16">
        <f t="shared" ref="D19:V19" si="1">D18-D17</f>
        <v>-10.422431999999993</v>
      </c>
      <c r="E19" s="16">
        <f t="shared" si="1"/>
        <v>-10.422431999999993</v>
      </c>
      <c r="F19" s="16">
        <f t="shared" si="1"/>
        <v>-64.599999999999994</v>
      </c>
      <c r="G19" s="16">
        <f t="shared" si="1"/>
        <v>-10.422431999999993</v>
      </c>
      <c r="H19" s="16">
        <f t="shared" si="1"/>
        <v>-1.8224319999999992</v>
      </c>
      <c r="I19" s="16">
        <f t="shared" si="1"/>
        <v>-1.8224319999999992</v>
      </c>
      <c r="J19" s="16">
        <f t="shared" si="1"/>
        <v>-1.8224319999999992</v>
      </c>
      <c r="K19" s="16">
        <f t="shared" si="1"/>
        <v>-1.8224319999999992</v>
      </c>
      <c r="L19" s="16">
        <f t="shared" si="1"/>
        <v>-1.8224319999999992</v>
      </c>
      <c r="M19" s="16">
        <f t="shared" si="1"/>
        <v>-2.7307260000000042</v>
      </c>
      <c r="N19" s="16">
        <f t="shared" si="1"/>
        <v>-2.7307260000000042</v>
      </c>
      <c r="O19" s="16">
        <f t="shared" si="1"/>
        <v>-2.7307260000000042</v>
      </c>
      <c r="P19" s="16">
        <f t="shared" si="1"/>
        <v>44.827567999999999</v>
      </c>
      <c r="Q19" s="16">
        <f t="shared" si="1"/>
        <v>44.827567999999999</v>
      </c>
      <c r="R19" s="16">
        <f t="shared" si="1"/>
        <v>44.827567999999999</v>
      </c>
      <c r="S19" s="16">
        <f t="shared" si="1"/>
        <v>44.827567999999999</v>
      </c>
      <c r="T19" s="16">
        <f t="shared" si="1"/>
        <v>44.827567999999999</v>
      </c>
      <c r="U19" s="16">
        <f t="shared" si="1"/>
        <v>44.827567999999999</v>
      </c>
      <c r="V19" s="25">
        <f t="shared" si="1"/>
        <v>44.827567999999999</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6.6708800000000013</v>
      </c>
      <c r="D22" s="16">
        <f>$E32</f>
        <v>6.6708800000000013</v>
      </c>
      <c r="E22" s="16">
        <f>$E33</f>
        <v>6.6708800000000013</v>
      </c>
      <c r="F22" s="16">
        <f>$E34</f>
        <v>0</v>
      </c>
      <c r="G22" s="16">
        <f>$E35</f>
        <v>6.6708800000000013</v>
      </c>
      <c r="H22" s="16">
        <f>$E36</f>
        <v>6.6708800000000013</v>
      </c>
      <c r="I22" s="16">
        <f>$E37</f>
        <v>6.6708800000000013</v>
      </c>
      <c r="J22" s="16">
        <f>$E38</f>
        <v>6.6708800000000013</v>
      </c>
      <c r="K22" s="16">
        <f>$E39</f>
        <v>6.6708800000000013</v>
      </c>
      <c r="L22" s="16">
        <f>$E40</f>
        <v>6.6708800000000013</v>
      </c>
      <c r="M22" s="16">
        <f>$E41</f>
        <v>5.420090000000001</v>
      </c>
      <c r="N22" s="16">
        <f>$E42</f>
        <v>5.420090000000001</v>
      </c>
      <c r="O22" s="16">
        <f>$E43</f>
        <v>5.420090000000001</v>
      </c>
      <c r="P22" s="16">
        <f>$E44</f>
        <v>6.6708800000000013</v>
      </c>
      <c r="Q22" s="16">
        <f>$E45</f>
        <v>6.6708800000000013</v>
      </c>
      <c r="R22" s="16">
        <f>$E46</f>
        <v>6.6708800000000013</v>
      </c>
      <c r="S22" s="16">
        <f>$E47</f>
        <v>6.6708800000000013</v>
      </c>
      <c r="T22" s="16">
        <f>$E48</f>
        <v>6.6708800000000013</v>
      </c>
      <c r="U22" s="16">
        <f>$E49</f>
        <v>6.6708800000000013</v>
      </c>
      <c r="V22" s="16">
        <f>$E50</f>
        <v>6.6708800000000013</v>
      </c>
      <c r="AI22" s="63" t="s">
        <v>102</v>
      </c>
      <c r="AJ22" s="64">
        <v>1.2</v>
      </c>
      <c r="AK22" s="65">
        <v>5</v>
      </c>
      <c r="AL22" s="29">
        <v>20</v>
      </c>
      <c r="AM22" s="11">
        <v>6.7</v>
      </c>
      <c r="AN22" s="11" t="s">
        <v>135</v>
      </c>
    </row>
    <row r="23" spans="1:40" x14ac:dyDescent="0.2">
      <c r="A23" s="131" t="s">
        <v>92</v>
      </c>
      <c r="B23" s="132"/>
      <c r="C23" s="16">
        <f>C22-C21</f>
        <v>-221.32911999999999</v>
      </c>
      <c r="D23" s="16">
        <f t="shared" ref="D23:V23" si="3">D22-D21</f>
        <v>-221.32911999999999</v>
      </c>
      <c r="E23" s="16">
        <f t="shared" si="3"/>
        <v>-221.32911999999999</v>
      </c>
      <c r="F23" s="16">
        <f t="shared" si="3"/>
        <v>-228</v>
      </c>
      <c r="G23" s="16">
        <f t="shared" si="3"/>
        <v>-221.32911999999999</v>
      </c>
      <c r="H23" s="16">
        <f t="shared" si="3"/>
        <v>-169.32911999999999</v>
      </c>
      <c r="I23" s="16">
        <f t="shared" si="3"/>
        <v>-169.32911999999999</v>
      </c>
      <c r="J23" s="16">
        <f t="shared" si="3"/>
        <v>-169.32911999999999</v>
      </c>
      <c r="K23" s="16">
        <f t="shared" si="3"/>
        <v>-169.32911999999999</v>
      </c>
      <c r="L23" s="16">
        <f t="shared" si="3"/>
        <v>-169.32911999999999</v>
      </c>
      <c r="M23" s="16">
        <f t="shared" si="3"/>
        <v>-60.579909999999998</v>
      </c>
      <c r="N23" s="16">
        <f t="shared" si="3"/>
        <v>-60.579909999999998</v>
      </c>
      <c r="O23" s="16">
        <f t="shared" si="3"/>
        <v>-60.579909999999998</v>
      </c>
      <c r="P23" s="16">
        <f t="shared" si="3"/>
        <v>-26.32912</v>
      </c>
      <c r="Q23" s="16">
        <f t="shared" si="3"/>
        <v>-26.32912</v>
      </c>
      <c r="R23" s="16">
        <f t="shared" si="3"/>
        <v>-26.32912</v>
      </c>
      <c r="S23" s="16">
        <f t="shared" si="3"/>
        <v>-26.32912</v>
      </c>
      <c r="T23" s="16">
        <f t="shared" si="3"/>
        <v>-26.32912</v>
      </c>
      <c r="U23" s="16">
        <f t="shared" si="3"/>
        <v>-26.32912</v>
      </c>
      <c r="V23" s="16">
        <f t="shared" si="3"/>
        <v>-26.32912</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32</v>
      </c>
      <c r="C31" s="77">
        <f>IF(C$27="%w/w SAR",((C$28*10)*$B31),IF(C$27="%w/w DM",(((C$28*10)*($B$28/100))*$B31),IF(C$27="kg/t SAR",(C$28*$B31),IF(C$27="kg/t DM",((C$28*($B$28/100))*$B31),IF(C$27="mg/kg SAR",((C$28*0.001)*$B31),IF(C$27="mg/kg DM",(((C$28*0.001)*($B$28/100))*$B31),0))))))</f>
        <v>118.4</v>
      </c>
      <c r="D31" s="77">
        <f>(IF(D$27="%w/w SAR",((D$28*10)*$B31),IF(D$27="%w/w DM",(((D$28*10)*($B$28/100))*$B31),IF(D$27="kg/t SAR",(D$28*$B31),IF(D$27="kg/t DM",((D$28*($B$28/100))*$B31),IF(D$27="mg/kg SAR",((D$28*0.001)*$B31),IF(D$27="mg/kg DM",(((D$28*0.001)*($B$28/100))*$B31),"0")))))))*2.291</f>
        <v>54.177568000000001</v>
      </c>
      <c r="E31" s="77">
        <f>(IF(E$27="%w/w SAR",((E$28*10)*$B31),IF(E$27="%w/w DM",(((E$28*10)*($B$28/100))*$B31),IF(E$27="kg/t SAR",(E$28*$B31),IF(E$27="kg/t DM",((E$28*($B$28/100))*$B31),IF(E$27="mg/kg SAR",((E$28*0.001)*$B31),IF(E$27="mg/kg DM",(((E$28*0.001)*($B$28/100))*$B31),"0")))))))*1.205</f>
        <v>6.6708800000000013</v>
      </c>
      <c r="F31" s="77">
        <f>(IF(F$27="%w/w SAR",((F$28*10)*$B31),IF(F$27="%w/w DM",(((F$28*10)*($B$28/100))*$B31),IF(F$27="kg/t SAR",(F$28*$B31),IF(F$27="kg/t DM",((F$28*($B$28/100))*$B31),IF(F$27="mg/kg SAR",((F$28*0.001)*$B31),IF(F$27="mg/kg DM",(((F$28*0.001)*($B$28/100))*$B31),"0")))))))*1.658</f>
        <v>12.20288</v>
      </c>
      <c r="G31" s="77">
        <f t="shared" ref="G31:P46" si="5">IF(G$27="%w/w SAR",((G$28*10)*$B31),IF(G$27="%w/w DM",(((G$28*10)*($B$28/100))*$B31),IF(G$27="kg/t SAR",(G$28*$B31),IF(G$27="kg/t DM",((G$28*($B$28/100))*$B31),IF(G$27="mg/kg SAR",((G$28*0.001)*$B31),IF(G$27="mg/kg DM",(((G$28*0.001)*($B$28/100))*$B31),0))))))</f>
        <v>0.10368000000000001</v>
      </c>
      <c r="H31" s="77">
        <f t="shared" si="5"/>
        <v>0.52160000000000006</v>
      </c>
      <c r="I31" s="77">
        <f t="shared" si="5"/>
        <v>1.6E-2</v>
      </c>
      <c r="J31" s="77">
        <f t="shared" si="5"/>
        <v>3.2000000000000003E-4</v>
      </c>
      <c r="K31" s="77">
        <f t="shared" si="5"/>
        <v>1.6000000000000001E-3</v>
      </c>
      <c r="L31" s="77">
        <f t="shared" si="5"/>
        <v>2.8128E-2</v>
      </c>
      <c r="M31" s="77">
        <f t="shared" si="5"/>
        <v>2.9664000000000003E-2</v>
      </c>
      <c r="N31" s="77">
        <f t="shared" si="5"/>
        <v>0</v>
      </c>
      <c r="O31" s="77">
        <f t="shared" si="5"/>
        <v>0</v>
      </c>
      <c r="P31" s="77">
        <f t="shared" si="5"/>
        <v>23.52</v>
      </c>
      <c r="Q31" s="77">
        <f>(IF(Q$27="%w/w SAR",((Q$28*10)*$B31),IF(Q$27="%w/w DM",(((Q$28*10)*($B$28/100))*$B31),IF(Q$27="kg/t SAR",(Q$28*$B31),IF(Q$27="kg/t DM",((Q$28*($B$28/100))*$B31),IF(Q$27="mg/kg SAR",((Q$28*0.001)*$B31),IF(Q$27="mg/kg DM",(((Q$28*0.001)*($B$28/100))*$B31),0)))))))*2.5</f>
        <v>46.559999999999995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32</v>
      </c>
      <c r="C32" s="77">
        <f t="shared" ref="C32:C50" si="6">IF(C$27="%w/w SAR",((C$28*10)*$B32),IF(C$27="%w/w DM",(((C$28*10)*($B$28/100))*$B32),IF(C$27="kg/t SAR",(C$28*$B32),IF(C$27="kg/t DM",((C$28*($B$28/100))*$B32),IF(C$27="mg/kg SAR",((C$28*0.001)*$B32),IF(C$27="mg/kg DM",(((C$28*0.001)*($B$28/100))*$B32),0))))))</f>
        <v>118.4</v>
      </c>
      <c r="D32" s="77">
        <f t="shared" ref="D32:D50" si="7">(IF(D$27="%w/w SAR",((D$28*10)*$B32),IF(D$27="%w/w DM",(((D$28*10)*($B$28/100))*$B32),IF(D$27="kg/t SAR",(D$28*$B32),IF(D$27="kg/t DM",((D$28*($B$28/100))*$B32),IF(D$27="mg/kg SAR",((D$28*0.001)*$B32),IF(D$27="mg/kg DM",(((D$28*0.001)*($B$28/100))*$B32),"0")))))))*2.291</f>
        <v>54.177568000000001</v>
      </c>
      <c r="E32" s="77">
        <f t="shared" ref="E32:E50" si="8">(IF(E$27="%w/w SAR",((E$28*10)*$B32),IF(E$27="%w/w DM",(((E$28*10)*($B$28/100))*$B32),IF(E$27="kg/t SAR",(E$28*$B32),IF(E$27="kg/t DM",((E$28*($B$28/100))*$B32),IF(E$27="mg/kg SAR",((E$28*0.001)*$B32),IF(E$27="mg/kg DM",(((E$28*0.001)*($B$28/100))*$B32),"0")))))))*1.205</f>
        <v>6.6708800000000013</v>
      </c>
      <c r="F32" s="77">
        <f t="shared" ref="F32:F50" si="9">(IF(F$27="%w/w SAR",((F$28*10)*$B32),IF(F$27="%w/w DM",(((F$28*10)*($B$28/100))*$B32),IF(F$27="kg/t SAR",(F$28*$B32),IF(F$27="kg/t DM",((F$28*($B$28/100))*$B32),IF(F$27="mg/kg SAR",((F$28*0.001)*$B32),IF(F$27="mg/kg DM",(((F$28*0.001)*($B$28/100))*$B32),"0")))))))*1.658</f>
        <v>12.20288</v>
      </c>
      <c r="G32" s="77">
        <f t="shared" si="5"/>
        <v>0.10368000000000001</v>
      </c>
      <c r="H32" s="77">
        <f t="shared" si="5"/>
        <v>0.52160000000000006</v>
      </c>
      <c r="I32" s="77">
        <f t="shared" si="5"/>
        <v>1.6E-2</v>
      </c>
      <c r="J32" s="77">
        <f t="shared" si="5"/>
        <v>3.2000000000000003E-4</v>
      </c>
      <c r="K32" s="77">
        <f t="shared" si="5"/>
        <v>1.6000000000000001E-3</v>
      </c>
      <c r="L32" s="77">
        <f t="shared" si="5"/>
        <v>2.8128E-2</v>
      </c>
      <c r="M32" s="77">
        <f t="shared" si="5"/>
        <v>2.9664000000000003E-2</v>
      </c>
      <c r="N32" s="77">
        <f t="shared" si="5"/>
        <v>0</v>
      </c>
      <c r="O32" s="77">
        <f t="shared" si="5"/>
        <v>0</v>
      </c>
      <c r="P32" s="77">
        <f t="shared" si="5"/>
        <v>23.52</v>
      </c>
      <c r="Q32" s="77">
        <f t="shared" ref="Q32:Q50" si="10">(IF(Q$27="%w/w SAR",((Q$28*10)*$B32),IF(Q$27="%w/w DM",(((Q$28*10)*($B$28/100))*$B32),IF(Q$27="kg/t SAR",(Q$28*$B32),IF(Q$27="kg/t DM",((Q$28*($B$28/100))*$B32),IF(Q$27="mg/kg SAR",((Q$28*0.001)*$B32),IF(Q$27="mg/kg DM",(((Q$28*0.001)*($B$28/100))*$B32),0)))))))*2.5</f>
        <v>46.559999999999995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32</v>
      </c>
      <c r="C33" s="77">
        <f t="shared" si="6"/>
        <v>118.4</v>
      </c>
      <c r="D33" s="77">
        <f t="shared" si="7"/>
        <v>54.177568000000001</v>
      </c>
      <c r="E33" s="77">
        <f t="shared" si="8"/>
        <v>6.6708800000000013</v>
      </c>
      <c r="F33" s="77">
        <f t="shared" si="9"/>
        <v>12.20288</v>
      </c>
      <c r="G33" s="77">
        <f t="shared" si="5"/>
        <v>0.10368000000000001</v>
      </c>
      <c r="H33" s="77">
        <f t="shared" si="5"/>
        <v>0.52160000000000006</v>
      </c>
      <c r="I33" s="77">
        <f t="shared" si="5"/>
        <v>1.6E-2</v>
      </c>
      <c r="J33" s="77">
        <f t="shared" si="5"/>
        <v>3.2000000000000003E-4</v>
      </c>
      <c r="K33" s="77">
        <f t="shared" si="5"/>
        <v>1.6000000000000001E-3</v>
      </c>
      <c r="L33" s="77">
        <f t="shared" si="5"/>
        <v>2.8128E-2</v>
      </c>
      <c r="M33" s="77">
        <f t="shared" si="5"/>
        <v>2.9664000000000003E-2</v>
      </c>
      <c r="N33" s="77">
        <f t="shared" si="5"/>
        <v>0</v>
      </c>
      <c r="O33" s="77">
        <f t="shared" si="5"/>
        <v>0</v>
      </c>
      <c r="P33" s="77">
        <f t="shared" si="5"/>
        <v>23.52</v>
      </c>
      <c r="Q33" s="77">
        <f t="shared" si="10"/>
        <v>46.559999999999995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32</v>
      </c>
      <c r="C35" s="77">
        <f t="shared" si="6"/>
        <v>118.4</v>
      </c>
      <c r="D35" s="77">
        <f t="shared" si="7"/>
        <v>54.177568000000001</v>
      </c>
      <c r="E35" s="77">
        <f t="shared" si="8"/>
        <v>6.6708800000000013</v>
      </c>
      <c r="F35" s="77">
        <f t="shared" si="9"/>
        <v>12.20288</v>
      </c>
      <c r="G35" s="77">
        <f t="shared" si="5"/>
        <v>0.10368000000000001</v>
      </c>
      <c r="H35" s="77">
        <f t="shared" si="5"/>
        <v>0.52160000000000006</v>
      </c>
      <c r="I35" s="77">
        <f t="shared" si="5"/>
        <v>1.6E-2</v>
      </c>
      <c r="J35" s="77">
        <f t="shared" si="5"/>
        <v>3.2000000000000003E-4</v>
      </c>
      <c r="K35" s="77">
        <f t="shared" si="5"/>
        <v>1.6000000000000001E-3</v>
      </c>
      <c r="L35" s="77">
        <f t="shared" si="5"/>
        <v>2.8128E-2</v>
      </c>
      <c r="M35" s="77">
        <f t="shared" si="5"/>
        <v>2.9664000000000003E-2</v>
      </c>
      <c r="N35" s="77">
        <f t="shared" si="5"/>
        <v>0</v>
      </c>
      <c r="O35" s="77">
        <f t="shared" si="5"/>
        <v>0</v>
      </c>
      <c r="P35" s="77">
        <f t="shared" si="5"/>
        <v>23.52</v>
      </c>
      <c r="Q35" s="77">
        <f t="shared" si="10"/>
        <v>46.559999999999995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32</v>
      </c>
      <c r="C36" s="77">
        <f t="shared" si="6"/>
        <v>118.4</v>
      </c>
      <c r="D36" s="77">
        <f t="shared" si="7"/>
        <v>54.177568000000001</v>
      </c>
      <c r="E36" s="77">
        <f t="shared" si="8"/>
        <v>6.6708800000000013</v>
      </c>
      <c r="F36" s="77">
        <f t="shared" si="9"/>
        <v>12.20288</v>
      </c>
      <c r="G36" s="77">
        <f t="shared" si="5"/>
        <v>0.10368000000000001</v>
      </c>
      <c r="H36" s="77">
        <f t="shared" si="5"/>
        <v>0.52160000000000006</v>
      </c>
      <c r="I36" s="77">
        <f t="shared" si="5"/>
        <v>1.6E-2</v>
      </c>
      <c r="J36" s="77">
        <f t="shared" si="5"/>
        <v>3.2000000000000003E-4</v>
      </c>
      <c r="K36" s="77">
        <f t="shared" si="5"/>
        <v>1.6000000000000001E-3</v>
      </c>
      <c r="L36" s="77">
        <f t="shared" si="5"/>
        <v>2.8128E-2</v>
      </c>
      <c r="M36" s="77">
        <f t="shared" si="5"/>
        <v>2.9664000000000003E-2</v>
      </c>
      <c r="N36" s="77">
        <f t="shared" si="5"/>
        <v>0</v>
      </c>
      <c r="O36" s="77">
        <f t="shared" si="5"/>
        <v>0</v>
      </c>
      <c r="P36" s="77">
        <f t="shared" si="5"/>
        <v>23.52</v>
      </c>
      <c r="Q36" s="77">
        <f t="shared" si="10"/>
        <v>46.559999999999995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32</v>
      </c>
      <c r="C37" s="77">
        <f t="shared" si="6"/>
        <v>118.4</v>
      </c>
      <c r="D37" s="77">
        <f t="shared" si="7"/>
        <v>54.177568000000001</v>
      </c>
      <c r="E37" s="77">
        <f t="shared" si="8"/>
        <v>6.6708800000000013</v>
      </c>
      <c r="F37" s="77">
        <f t="shared" si="9"/>
        <v>12.20288</v>
      </c>
      <c r="G37" s="77">
        <f t="shared" si="5"/>
        <v>0.10368000000000001</v>
      </c>
      <c r="H37" s="77">
        <f t="shared" si="5"/>
        <v>0.52160000000000006</v>
      </c>
      <c r="I37" s="77">
        <f t="shared" si="5"/>
        <v>1.6E-2</v>
      </c>
      <c r="J37" s="77">
        <f t="shared" si="5"/>
        <v>3.2000000000000003E-4</v>
      </c>
      <c r="K37" s="77">
        <f t="shared" si="5"/>
        <v>1.6000000000000001E-3</v>
      </c>
      <c r="L37" s="77">
        <f t="shared" si="5"/>
        <v>2.8128E-2</v>
      </c>
      <c r="M37" s="77">
        <f t="shared" si="5"/>
        <v>2.9664000000000003E-2</v>
      </c>
      <c r="N37" s="77">
        <f t="shared" si="5"/>
        <v>0</v>
      </c>
      <c r="O37" s="77">
        <f t="shared" si="5"/>
        <v>0</v>
      </c>
      <c r="P37" s="77">
        <f t="shared" si="5"/>
        <v>23.52</v>
      </c>
      <c r="Q37" s="77">
        <f t="shared" si="10"/>
        <v>46.559999999999995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32</v>
      </c>
      <c r="C38" s="77">
        <f t="shared" si="6"/>
        <v>118.4</v>
      </c>
      <c r="D38" s="77">
        <f t="shared" si="7"/>
        <v>54.177568000000001</v>
      </c>
      <c r="E38" s="77">
        <f t="shared" si="8"/>
        <v>6.6708800000000013</v>
      </c>
      <c r="F38" s="77">
        <f t="shared" si="9"/>
        <v>12.20288</v>
      </c>
      <c r="G38" s="77">
        <f t="shared" si="5"/>
        <v>0.10368000000000001</v>
      </c>
      <c r="H38" s="77">
        <f t="shared" si="5"/>
        <v>0.52160000000000006</v>
      </c>
      <c r="I38" s="77">
        <f t="shared" si="5"/>
        <v>1.6E-2</v>
      </c>
      <c r="J38" s="77">
        <f t="shared" si="5"/>
        <v>3.2000000000000003E-4</v>
      </c>
      <c r="K38" s="77">
        <f t="shared" si="5"/>
        <v>1.6000000000000001E-3</v>
      </c>
      <c r="L38" s="77">
        <f t="shared" si="5"/>
        <v>2.8128E-2</v>
      </c>
      <c r="M38" s="77">
        <f t="shared" si="5"/>
        <v>2.9664000000000003E-2</v>
      </c>
      <c r="N38" s="77">
        <f t="shared" si="5"/>
        <v>0</v>
      </c>
      <c r="O38" s="77">
        <f t="shared" si="5"/>
        <v>0</v>
      </c>
      <c r="P38" s="77">
        <f t="shared" si="5"/>
        <v>23.52</v>
      </c>
      <c r="Q38" s="77">
        <f t="shared" si="10"/>
        <v>46.559999999999995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32</v>
      </c>
      <c r="C39" s="77">
        <f t="shared" si="6"/>
        <v>118.4</v>
      </c>
      <c r="D39" s="77">
        <f t="shared" si="7"/>
        <v>54.177568000000001</v>
      </c>
      <c r="E39" s="77">
        <f t="shared" si="8"/>
        <v>6.6708800000000013</v>
      </c>
      <c r="F39" s="77">
        <f t="shared" si="9"/>
        <v>12.20288</v>
      </c>
      <c r="G39" s="77">
        <f t="shared" si="5"/>
        <v>0.10368000000000001</v>
      </c>
      <c r="H39" s="77">
        <f t="shared" si="5"/>
        <v>0.52160000000000006</v>
      </c>
      <c r="I39" s="77">
        <f t="shared" si="5"/>
        <v>1.6E-2</v>
      </c>
      <c r="J39" s="77">
        <f t="shared" si="5"/>
        <v>3.2000000000000003E-4</v>
      </c>
      <c r="K39" s="77">
        <f t="shared" si="5"/>
        <v>1.6000000000000001E-3</v>
      </c>
      <c r="L39" s="77">
        <f t="shared" si="5"/>
        <v>2.8128E-2</v>
      </c>
      <c r="M39" s="77">
        <f t="shared" si="5"/>
        <v>2.9664000000000003E-2</v>
      </c>
      <c r="N39" s="77">
        <f t="shared" si="5"/>
        <v>0</v>
      </c>
      <c r="O39" s="77">
        <f t="shared" si="5"/>
        <v>0</v>
      </c>
      <c r="P39" s="77">
        <f t="shared" si="5"/>
        <v>23.52</v>
      </c>
      <c r="Q39" s="77">
        <f t="shared" si="10"/>
        <v>46.559999999999995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32</v>
      </c>
      <c r="C40" s="77">
        <f t="shared" si="6"/>
        <v>118.4</v>
      </c>
      <c r="D40" s="77">
        <f t="shared" si="7"/>
        <v>54.177568000000001</v>
      </c>
      <c r="E40" s="77">
        <f t="shared" si="8"/>
        <v>6.6708800000000013</v>
      </c>
      <c r="F40" s="77">
        <f t="shared" si="9"/>
        <v>12.20288</v>
      </c>
      <c r="G40" s="77">
        <f t="shared" si="5"/>
        <v>0.10368000000000001</v>
      </c>
      <c r="H40" s="77">
        <f t="shared" si="5"/>
        <v>0.52160000000000006</v>
      </c>
      <c r="I40" s="77">
        <f t="shared" si="5"/>
        <v>1.6E-2</v>
      </c>
      <c r="J40" s="77">
        <f t="shared" si="5"/>
        <v>3.2000000000000003E-4</v>
      </c>
      <c r="K40" s="77">
        <f t="shared" si="5"/>
        <v>1.6000000000000001E-3</v>
      </c>
      <c r="L40" s="77">
        <f t="shared" si="5"/>
        <v>2.8128E-2</v>
      </c>
      <c r="M40" s="77">
        <f t="shared" si="5"/>
        <v>2.9664000000000003E-2</v>
      </c>
      <c r="N40" s="77">
        <f t="shared" si="5"/>
        <v>0</v>
      </c>
      <c r="O40" s="77">
        <f t="shared" si="5"/>
        <v>0</v>
      </c>
      <c r="P40" s="77">
        <f t="shared" si="5"/>
        <v>23.52</v>
      </c>
      <c r="Q40" s="77">
        <f t="shared" si="10"/>
        <v>46.559999999999995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26</v>
      </c>
      <c r="C41" s="77">
        <f t="shared" si="6"/>
        <v>96.2</v>
      </c>
      <c r="D41" s="77">
        <f t="shared" si="7"/>
        <v>44.019273999999996</v>
      </c>
      <c r="E41" s="77">
        <f t="shared" si="8"/>
        <v>5.420090000000001</v>
      </c>
      <c r="F41" s="77">
        <f t="shared" si="9"/>
        <v>9.9148399999999999</v>
      </c>
      <c r="G41" s="77">
        <f t="shared" si="5"/>
        <v>8.4240000000000009E-2</v>
      </c>
      <c r="H41" s="77">
        <f t="shared" si="5"/>
        <v>0.42380000000000007</v>
      </c>
      <c r="I41" s="77">
        <f t="shared" si="5"/>
        <v>1.3000000000000001E-2</v>
      </c>
      <c r="J41" s="77">
        <f t="shared" si="5"/>
        <v>2.6000000000000003E-4</v>
      </c>
      <c r="K41" s="77">
        <f t="shared" si="5"/>
        <v>1.3000000000000002E-3</v>
      </c>
      <c r="L41" s="77">
        <f t="shared" si="5"/>
        <v>2.2853999999999999E-2</v>
      </c>
      <c r="M41" s="77">
        <f t="shared" si="5"/>
        <v>2.4102000000000002E-2</v>
      </c>
      <c r="N41" s="77">
        <f t="shared" si="5"/>
        <v>0</v>
      </c>
      <c r="O41" s="77">
        <f t="shared" si="5"/>
        <v>0</v>
      </c>
      <c r="P41" s="77">
        <f t="shared" si="5"/>
        <v>19.11</v>
      </c>
      <c r="Q41" s="77">
        <f t="shared" si="10"/>
        <v>37.83</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26</v>
      </c>
      <c r="C42" s="77">
        <f t="shared" si="6"/>
        <v>96.2</v>
      </c>
      <c r="D42" s="77">
        <f t="shared" si="7"/>
        <v>44.019273999999996</v>
      </c>
      <c r="E42" s="77">
        <f t="shared" si="8"/>
        <v>5.420090000000001</v>
      </c>
      <c r="F42" s="77">
        <f t="shared" si="9"/>
        <v>9.9148399999999999</v>
      </c>
      <c r="G42" s="77">
        <f t="shared" si="5"/>
        <v>8.4240000000000009E-2</v>
      </c>
      <c r="H42" s="77">
        <f t="shared" si="5"/>
        <v>0.42380000000000007</v>
      </c>
      <c r="I42" s="77">
        <f t="shared" si="5"/>
        <v>1.3000000000000001E-2</v>
      </c>
      <c r="J42" s="77">
        <f t="shared" si="5"/>
        <v>2.6000000000000003E-4</v>
      </c>
      <c r="K42" s="77">
        <f t="shared" si="5"/>
        <v>1.3000000000000002E-3</v>
      </c>
      <c r="L42" s="77">
        <f t="shared" si="5"/>
        <v>2.2853999999999999E-2</v>
      </c>
      <c r="M42" s="77">
        <f t="shared" si="5"/>
        <v>2.4102000000000002E-2</v>
      </c>
      <c r="N42" s="77">
        <f t="shared" si="5"/>
        <v>0</v>
      </c>
      <c r="O42" s="77">
        <f t="shared" si="5"/>
        <v>0</v>
      </c>
      <c r="P42" s="77">
        <f t="shared" si="5"/>
        <v>19.11</v>
      </c>
      <c r="Q42" s="77">
        <f t="shared" si="10"/>
        <v>37.83</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26</v>
      </c>
      <c r="C43" s="77">
        <f t="shared" si="6"/>
        <v>96.2</v>
      </c>
      <c r="D43" s="77">
        <f t="shared" si="7"/>
        <v>44.019273999999996</v>
      </c>
      <c r="E43" s="77">
        <f t="shared" si="8"/>
        <v>5.420090000000001</v>
      </c>
      <c r="F43" s="77">
        <f t="shared" si="9"/>
        <v>9.9148399999999999</v>
      </c>
      <c r="G43" s="77">
        <f t="shared" si="5"/>
        <v>8.4240000000000009E-2</v>
      </c>
      <c r="H43" s="77">
        <f t="shared" si="5"/>
        <v>0.42380000000000007</v>
      </c>
      <c r="I43" s="77">
        <f t="shared" si="5"/>
        <v>1.3000000000000001E-2</v>
      </c>
      <c r="J43" s="77">
        <f t="shared" si="5"/>
        <v>2.6000000000000003E-4</v>
      </c>
      <c r="K43" s="77">
        <f t="shared" si="5"/>
        <v>1.3000000000000002E-3</v>
      </c>
      <c r="L43" s="77">
        <f t="shared" si="5"/>
        <v>2.2853999999999999E-2</v>
      </c>
      <c r="M43" s="77">
        <f t="shared" si="5"/>
        <v>2.4102000000000002E-2</v>
      </c>
      <c r="N43" s="77">
        <f t="shared" si="5"/>
        <v>0</v>
      </c>
      <c r="O43" s="77">
        <f t="shared" si="5"/>
        <v>0</v>
      </c>
      <c r="P43" s="77">
        <f t="shared" si="5"/>
        <v>19.11</v>
      </c>
      <c r="Q43" s="77">
        <f t="shared" si="10"/>
        <v>37.83</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32</v>
      </c>
      <c r="C44" s="77">
        <f t="shared" si="6"/>
        <v>118.4</v>
      </c>
      <c r="D44" s="77">
        <f t="shared" si="7"/>
        <v>54.177568000000001</v>
      </c>
      <c r="E44" s="77">
        <f t="shared" si="8"/>
        <v>6.6708800000000013</v>
      </c>
      <c r="F44" s="77">
        <f t="shared" si="9"/>
        <v>12.20288</v>
      </c>
      <c r="G44" s="77">
        <f t="shared" si="5"/>
        <v>0.10368000000000001</v>
      </c>
      <c r="H44" s="77">
        <f t="shared" si="5"/>
        <v>0.52160000000000006</v>
      </c>
      <c r="I44" s="77">
        <f t="shared" si="5"/>
        <v>1.6E-2</v>
      </c>
      <c r="J44" s="77">
        <f t="shared" si="5"/>
        <v>3.2000000000000003E-4</v>
      </c>
      <c r="K44" s="77">
        <f t="shared" si="5"/>
        <v>1.6000000000000001E-3</v>
      </c>
      <c r="L44" s="77">
        <f t="shared" si="5"/>
        <v>2.8128E-2</v>
      </c>
      <c r="M44" s="77">
        <f t="shared" si="5"/>
        <v>2.9664000000000003E-2</v>
      </c>
      <c r="N44" s="77">
        <f t="shared" si="5"/>
        <v>0</v>
      </c>
      <c r="O44" s="77">
        <f t="shared" si="5"/>
        <v>0</v>
      </c>
      <c r="P44" s="77">
        <f t="shared" si="5"/>
        <v>23.52</v>
      </c>
      <c r="Q44" s="77">
        <f t="shared" si="10"/>
        <v>46.559999999999995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32</v>
      </c>
      <c r="C45" s="77">
        <f t="shared" si="6"/>
        <v>118.4</v>
      </c>
      <c r="D45" s="77">
        <f t="shared" si="7"/>
        <v>54.177568000000001</v>
      </c>
      <c r="E45" s="77">
        <f t="shared" si="8"/>
        <v>6.6708800000000013</v>
      </c>
      <c r="F45" s="77">
        <f t="shared" si="9"/>
        <v>12.20288</v>
      </c>
      <c r="G45" s="77">
        <f t="shared" si="5"/>
        <v>0.10368000000000001</v>
      </c>
      <c r="H45" s="77">
        <f t="shared" si="5"/>
        <v>0.52160000000000006</v>
      </c>
      <c r="I45" s="77">
        <f t="shared" si="5"/>
        <v>1.6E-2</v>
      </c>
      <c r="J45" s="77">
        <f t="shared" si="5"/>
        <v>3.2000000000000003E-4</v>
      </c>
      <c r="K45" s="77">
        <f t="shared" si="5"/>
        <v>1.6000000000000001E-3</v>
      </c>
      <c r="L45" s="77">
        <f t="shared" si="5"/>
        <v>2.8128E-2</v>
      </c>
      <c r="M45" s="77">
        <f t="shared" si="5"/>
        <v>2.9664000000000003E-2</v>
      </c>
      <c r="N45" s="77">
        <f t="shared" si="5"/>
        <v>0</v>
      </c>
      <c r="O45" s="77">
        <f t="shared" si="5"/>
        <v>0</v>
      </c>
      <c r="P45" s="77">
        <f t="shared" si="5"/>
        <v>23.52</v>
      </c>
      <c r="Q45" s="77">
        <f t="shared" si="10"/>
        <v>46.559999999999995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32</v>
      </c>
      <c r="C46" s="77">
        <f t="shared" si="6"/>
        <v>118.4</v>
      </c>
      <c r="D46" s="77">
        <f t="shared" si="7"/>
        <v>54.177568000000001</v>
      </c>
      <c r="E46" s="77">
        <f t="shared" si="8"/>
        <v>6.6708800000000013</v>
      </c>
      <c r="F46" s="77">
        <f t="shared" si="9"/>
        <v>12.20288</v>
      </c>
      <c r="G46" s="77">
        <f t="shared" si="5"/>
        <v>0.10368000000000001</v>
      </c>
      <c r="H46" s="77">
        <f t="shared" si="5"/>
        <v>0.52160000000000006</v>
      </c>
      <c r="I46" s="77">
        <f t="shared" si="5"/>
        <v>1.6E-2</v>
      </c>
      <c r="J46" s="77">
        <f t="shared" si="5"/>
        <v>3.2000000000000003E-4</v>
      </c>
      <c r="K46" s="77">
        <f t="shared" si="5"/>
        <v>1.6000000000000001E-3</v>
      </c>
      <c r="L46" s="77">
        <f t="shared" si="5"/>
        <v>2.8128E-2</v>
      </c>
      <c r="M46" s="77">
        <f t="shared" si="5"/>
        <v>2.9664000000000003E-2</v>
      </c>
      <c r="N46" s="77">
        <f t="shared" si="5"/>
        <v>0</v>
      </c>
      <c r="O46" s="77">
        <f t="shared" si="5"/>
        <v>0</v>
      </c>
      <c r="P46" s="77">
        <f t="shared" si="5"/>
        <v>23.52</v>
      </c>
      <c r="Q46" s="77">
        <f t="shared" si="10"/>
        <v>46.559999999999995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32</v>
      </c>
      <c r="C47" s="77">
        <f t="shared" si="6"/>
        <v>118.4</v>
      </c>
      <c r="D47" s="77">
        <f t="shared" si="7"/>
        <v>54.177568000000001</v>
      </c>
      <c r="E47" s="77">
        <f t="shared" si="8"/>
        <v>6.6708800000000013</v>
      </c>
      <c r="F47" s="77">
        <f t="shared" si="9"/>
        <v>12.20288</v>
      </c>
      <c r="G47" s="77">
        <f t="shared" ref="G47:P50" si="12">IF(G$27="%w/w SAR",((G$28*10)*$B47),IF(G$27="%w/w DM",(((G$28*10)*($B$28/100))*$B47),IF(G$27="kg/t SAR",(G$28*$B47),IF(G$27="kg/t DM",((G$28*($B$28/100))*$B47),IF(G$27="mg/kg SAR",((G$28*0.001)*$B47),IF(G$27="mg/kg DM",(((G$28*0.001)*($B$28/100))*$B47),0))))))</f>
        <v>0.10368000000000001</v>
      </c>
      <c r="H47" s="77">
        <f t="shared" si="12"/>
        <v>0.52160000000000006</v>
      </c>
      <c r="I47" s="77">
        <f t="shared" si="12"/>
        <v>1.6E-2</v>
      </c>
      <c r="J47" s="77">
        <f t="shared" si="12"/>
        <v>3.2000000000000003E-4</v>
      </c>
      <c r="K47" s="77">
        <f t="shared" si="12"/>
        <v>1.6000000000000001E-3</v>
      </c>
      <c r="L47" s="77">
        <f t="shared" si="12"/>
        <v>2.8128E-2</v>
      </c>
      <c r="M47" s="77">
        <f t="shared" si="12"/>
        <v>2.9664000000000003E-2</v>
      </c>
      <c r="N47" s="77">
        <f t="shared" si="12"/>
        <v>0</v>
      </c>
      <c r="O47" s="77">
        <f t="shared" si="12"/>
        <v>0</v>
      </c>
      <c r="P47" s="77">
        <f t="shared" si="12"/>
        <v>23.52</v>
      </c>
      <c r="Q47" s="77">
        <f t="shared" si="10"/>
        <v>46.559999999999995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32</v>
      </c>
      <c r="C48" s="77">
        <f t="shared" si="6"/>
        <v>118.4</v>
      </c>
      <c r="D48" s="77">
        <f t="shared" si="7"/>
        <v>54.177568000000001</v>
      </c>
      <c r="E48" s="77">
        <f t="shared" si="8"/>
        <v>6.6708800000000013</v>
      </c>
      <c r="F48" s="77">
        <f t="shared" si="9"/>
        <v>12.20288</v>
      </c>
      <c r="G48" s="77">
        <f t="shared" si="12"/>
        <v>0.10368000000000001</v>
      </c>
      <c r="H48" s="77">
        <f t="shared" si="12"/>
        <v>0.52160000000000006</v>
      </c>
      <c r="I48" s="77">
        <f t="shared" si="12"/>
        <v>1.6E-2</v>
      </c>
      <c r="J48" s="77">
        <f t="shared" si="12"/>
        <v>3.2000000000000003E-4</v>
      </c>
      <c r="K48" s="77">
        <f t="shared" si="12"/>
        <v>1.6000000000000001E-3</v>
      </c>
      <c r="L48" s="77">
        <f t="shared" si="12"/>
        <v>2.8128E-2</v>
      </c>
      <c r="M48" s="77">
        <f t="shared" si="12"/>
        <v>2.9664000000000003E-2</v>
      </c>
      <c r="N48" s="77">
        <f t="shared" si="12"/>
        <v>0</v>
      </c>
      <c r="O48" s="77">
        <f t="shared" si="12"/>
        <v>0</v>
      </c>
      <c r="P48" s="77">
        <f t="shared" si="12"/>
        <v>23.52</v>
      </c>
      <c r="Q48" s="77">
        <f t="shared" si="10"/>
        <v>46.559999999999995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32</v>
      </c>
      <c r="C49" s="77">
        <f t="shared" si="6"/>
        <v>118.4</v>
      </c>
      <c r="D49" s="77">
        <f t="shared" si="7"/>
        <v>54.177568000000001</v>
      </c>
      <c r="E49" s="77">
        <f t="shared" si="8"/>
        <v>6.6708800000000013</v>
      </c>
      <c r="F49" s="77">
        <f t="shared" si="9"/>
        <v>12.20288</v>
      </c>
      <c r="G49" s="77">
        <f t="shared" si="12"/>
        <v>0.10368000000000001</v>
      </c>
      <c r="H49" s="77">
        <f t="shared" si="12"/>
        <v>0.52160000000000006</v>
      </c>
      <c r="I49" s="77">
        <f t="shared" si="12"/>
        <v>1.6E-2</v>
      </c>
      <c r="J49" s="77">
        <f t="shared" si="12"/>
        <v>3.2000000000000003E-4</v>
      </c>
      <c r="K49" s="77">
        <f t="shared" si="12"/>
        <v>1.6000000000000001E-3</v>
      </c>
      <c r="L49" s="77">
        <f t="shared" si="12"/>
        <v>2.8128E-2</v>
      </c>
      <c r="M49" s="77">
        <f t="shared" si="12"/>
        <v>2.9664000000000003E-2</v>
      </c>
      <c r="N49" s="77">
        <f t="shared" si="12"/>
        <v>0</v>
      </c>
      <c r="O49" s="77">
        <f t="shared" si="12"/>
        <v>0</v>
      </c>
      <c r="P49" s="77">
        <f t="shared" si="12"/>
        <v>23.52</v>
      </c>
      <c r="Q49" s="77">
        <f t="shared" si="10"/>
        <v>46.559999999999995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32</v>
      </c>
      <c r="C50" s="98">
        <f t="shared" si="6"/>
        <v>118.4</v>
      </c>
      <c r="D50" s="98">
        <f t="shared" si="7"/>
        <v>54.177568000000001</v>
      </c>
      <c r="E50" s="98">
        <f t="shared" si="8"/>
        <v>6.6708800000000013</v>
      </c>
      <c r="F50" s="98">
        <f t="shared" si="9"/>
        <v>12.20288</v>
      </c>
      <c r="G50" s="98">
        <f t="shared" si="12"/>
        <v>0.10368000000000001</v>
      </c>
      <c r="H50" s="98">
        <f t="shared" si="12"/>
        <v>0.52160000000000006</v>
      </c>
      <c r="I50" s="98">
        <f t="shared" si="12"/>
        <v>1.6E-2</v>
      </c>
      <c r="J50" s="98">
        <f t="shared" si="12"/>
        <v>3.2000000000000003E-4</v>
      </c>
      <c r="K50" s="98">
        <f t="shared" si="12"/>
        <v>1.6000000000000001E-3</v>
      </c>
      <c r="L50" s="98">
        <f t="shared" si="12"/>
        <v>2.8128E-2</v>
      </c>
      <c r="M50" s="98">
        <f t="shared" si="12"/>
        <v>2.9664000000000003E-2</v>
      </c>
      <c r="N50" s="98">
        <f t="shared" si="12"/>
        <v>0</v>
      </c>
      <c r="O50" s="98">
        <f t="shared" si="12"/>
        <v>0</v>
      </c>
      <c r="P50" s="98">
        <f t="shared" si="12"/>
        <v>23.52</v>
      </c>
      <c r="Q50" s="98">
        <f t="shared" si="10"/>
        <v>46.559999999999995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Arable</v>
      </c>
      <c r="K58" s="13" t="str">
        <f>L16&amp;" I "&amp;(VLOOKUP(L14,Table24567[],6,FALSE))</f>
        <v>Medium/Clay I Arable</v>
      </c>
      <c r="L58" s="13" t="str">
        <f>M16&amp;" I "&amp;(VLOOKUP(M14,Table24567[],6,FALSE))</f>
        <v>Medium/Clay I Arable</v>
      </c>
      <c r="M58" s="13" t="str">
        <f>N16&amp;" I "&amp;(VLOOKUP(N14,Table24567[],6,FALSE))</f>
        <v>Medium/Clay I Arable</v>
      </c>
      <c r="N58" s="13" t="str">
        <f>O16&amp;" I "&amp;(VLOOKUP(O14,Table24567[],6,FALSE))</f>
        <v>Medium/Clay I Arable</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6.7</v>
      </c>
      <c r="H59" s="76">
        <f>VLOOKUP(I$14,Table24567[],5,FALSE)</f>
        <v>6.7</v>
      </c>
      <c r="I59" s="76">
        <f>VLOOKUP(J$14,Table24567[],5,FALSE)</f>
        <v>6.7</v>
      </c>
      <c r="J59" s="76">
        <f>VLOOKUP(K$14,Table24567[],5,FALSE)</f>
        <v>6.7</v>
      </c>
      <c r="K59" s="76">
        <f>VLOOKUP(L$14,Table24567[],5,FALSE)</f>
        <v>6.7</v>
      </c>
      <c r="L59" s="76">
        <f>VLOOKUP(M$14,Table24567[],5,FALSE)</f>
        <v>6.7</v>
      </c>
      <c r="M59" s="76">
        <f>VLOOKUP(N$14,Table24567[],5,FALSE)</f>
        <v>6.7</v>
      </c>
      <c r="N59" s="76">
        <f>VLOOKUP(O$14,Table24567[],5,FALSE)</f>
        <v>6.7</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32</v>
      </c>
      <c r="C62" s="77">
        <f>B32</f>
        <v>32</v>
      </c>
      <c r="D62" s="77">
        <f>B33</f>
        <v>32</v>
      </c>
      <c r="E62" s="77">
        <f>B34</f>
        <v>0</v>
      </c>
      <c r="F62" s="77">
        <f>B35</f>
        <v>32</v>
      </c>
      <c r="G62" s="77">
        <f>B36</f>
        <v>32</v>
      </c>
      <c r="H62" s="77">
        <f>B37</f>
        <v>32</v>
      </c>
      <c r="I62" s="77">
        <f>B38</f>
        <v>32</v>
      </c>
      <c r="J62" s="77">
        <f>B39</f>
        <v>32</v>
      </c>
      <c r="K62" s="77">
        <f>B40</f>
        <v>32</v>
      </c>
      <c r="L62" s="77">
        <f>B41</f>
        <v>26</v>
      </c>
      <c r="M62" s="77">
        <f>B42</f>
        <v>26</v>
      </c>
      <c r="N62" s="77">
        <f>B43</f>
        <v>26</v>
      </c>
      <c r="O62" s="77">
        <f>B44</f>
        <v>32</v>
      </c>
      <c r="P62" s="77">
        <f>B45</f>
        <v>32</v>
      </c>
      <c r="Q62" s="77">
        <f>B46</f>
        <v>32</v>
      </c>
      <c r="R62" s="77">
        <f>B47</f>
        <v>32</v>
      </c>
      <c r="S62" s="77">
        <f>B48</f>
        <v>32</v>
      </c>
      <c r="T62" s="77">
        <f>B49</f>
        <v>32</v>
      </c>
      <c r="U62" s="77">
        <f>B50</f>
        <v>32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A9" zoomScale="90" zoomScaleNormal="90" workbookViewId="0">
      <selection activeCell="D41" sqref="D4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Beechdean!C1:D1</f>
        <v>PAN-017507</v>
      </c>
      <c r="D1" s="141"/>
      <c r="E1" s="93" t="s">
        <v>45</v>
      </c>
      <c r="F1" s="39">
        <f>Beechdean!F1</f>
        <v>51.8</v>
      </c>
      <c r="G1" s="123" t="s">
        <v>43</v>
      </c>
      <c r="H1" s="124"/>
      <c r="I1" s="118">
        <v>7.45</v>
      </c>
      <c r="J1" s="127" t="s">
        <v>153</v>
      </c>
      <c r="K1" s="127"/>
      <c r="L1" s="97">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Beechdean!C2:D2</f>
        <v>EPR- KP3594VE</v>
      </c>
      <c r="D2" s="143"/>
      <c r="E2" s="93" t="s">
        <v>109</v>
      </c>
      <c r="F2" s="96" t="s">
        <v>178</v>
      </c>
      <c r="G2" s="125" t="s">
        <v>110</v>
      </c>
      <c r="H2" s="126"/>
      <c r="I2" s="118">
        <v>1045</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Beechdean!C3:D3</f>
        <v xml:space="preserve">Trade effluent services </v>
      </c>
      <c r="D3" s="143"/>
      <c r="E3" s="93" t="s">
        <v>108</v>
      </c>
      <c r="F3" s="31" t="s">
        <v>78</v>
      </c>
      <c r="G3" s="127" t="s">
        <v>159</v>
      </c>
      <c r="H3" s="127"/>
      <c r="I3" s="118">
        <v>200</v>
      </c>
      <c r="J3" s="123" t="s">
        <v>154</v>
      </c>
      <c r="K3" s="124"/>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Beechdean!C4:D4</f>
        <v>Dyke Farm, Padeswood Lane, Mold, CH7 4HZ</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Beechdean!C5:D5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Beechdean!C8</f>
        <v>1</v>
      </c>
      <c r="D8" s="60">
        <f>Beechdean!D8</f>
        <v>2</v>
      </c>
      <c r="E8" s="60">
        <f>Beechdean!E8</f>
        <v>3</v>
      </c>
      <c r="F8" s="60">
        <f>Beechdean!F8</f>
        <v>4</v>
      </c>
      <c r="G8" s="60">
        <f>Beechdean!G8</f>
        <v>5</v>
      </c>
      <c r="H8" s="60">
        <f>Beechdean!H8</f>
        <v>6</v>
      </c>
      <c r="I8" s="60">
        <f>Beechdean!I8</f>
        <v>7</v>
      </c>
      <c r="J8" s="60">
        <f>Beechdean!J8</f>
        <v>8</v>
      </c>
      <c r="K8" s="60">
        <f>Beechdean!K8</f>
        <v>9</v>
      </c>
      <c r="L8" s="60">
        <f>Beechdean!L8</f>
        <v>10</v>
      </c>
      <c r="M8" s="60">
        <f>Beechdean!M8</f>
        <v>11</v>
      </c>
      <c r="N8" s="60">
        <f>Beechdean!N8</f>
        <v>12</v>
      </c>
      <c r="O8" s="60">
        <f>Beechdean!O8</f>
        <v>13</v>
      </c>
      <c r="P8" s="60">
        <f>Beechdean!P8</f>
        <v>14</v>
      </c>
      <c r="Q8" s="60">
        <f>Beechdean!Q8</f>
        <v>15</v>
      </c>
      <c r="R8" s="60">
        <f>Beechdean!R8</f>
        <v>16</v>
      </c>
      <c r="S8" s="60">
        <f>Beechdean!S8</f>
        <v>17</v>
      </c>
      <c r="T8" s="60">
        <f>Beechdean!T8</f>
        <v>18</v>
      </c>
      <c r="U8" s="60">
        <f>Beechdean!U8</f>
        <v>19</v>
      </c>
      <c r="V8" s="60">
        <f>Beechdean!V8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Beechdean!C9</f>
        <v>Moderate</v>
      </c>
      <c r="D9" s="60" t="str">
        <f>Beechdean!D9</f>
        <v>Moderate</v>
      </c>
      <c r="E9" s="60" t="str">
        <f>Beechdean!E9</f>
        <v>Moderate</v>
      </c>
      <c r="F9" s="60" t="str">
        <f>Beechdean!F9</f>
        <v>Moderate</v>
      </c>
      <c r="G9" s="60" t="str">
        <f>Beechdean!G9</f>
        <v>Moderate</v>
      </c>
      <c r="H9" s="60">
        <f>Beechdean!H9</f>
        <v>1</v>
      </c>
      <c r="I9" s="60">
        <f>Beechdean!I9</f>
        <v>1</v>
      </c>
      <c r="J9" s="60">
        <f>Beechdean!J9</f>
        <v>1</v>
      </c>
      <c r="K9" s="60">
        <f>Beechdean!K9</f>
        <v>1</v>
      </c>
      <c r="L9" s="60">
        <f>Beechdean!L9</f>
        <v>1</v>
      </c>
      <c r="M9" s="60">
        <f>Beechdean!M9</f>
        <v>1</v>
      </c>
      <c r="N9" s="60">
        <f>Beechdean!N9</f>
        <v>1</v>
      </c>
      <c r="O9" s="60">
        <f>Beechdean!O9</f>
        <v>1</v>
      </c>
      <c r="P9" s="60" t="str">
        <f>Beechdean!P9</f>
        <v>Moderate</v>
      </c>
      <c r="Q9" s="60" t="str">
        <f>Beechdean!Q9</f>
        <v>Moderate</v>
      </c>
      <c r="R9" s="60" t="str">
        <f>Beechdean!R9</f>
        <v>Moderate</v>
      </c>
      <c r="S9" s="60" t="str">
        <f>Beechdean!S9</f>
        <v>Moderate</v>
      </c>
      <c r="T9" s="60" t="str">
        <f>Beechdean!T9</f>
        <v>Moderate</v>
      </c>
      <c r="U9" s="60" t="str">
        <f>Beechdean!U9</f>
        <v>Moderate</v>
      </c>
      <c r="V9" s="60" t="str">
        <f>Beechdean!V9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Beechdean!C10</f>
        <v>6.5</v>
      </c>
      <c r="D10" s="60">
        <f>Beechdean!D10</f>
        <v>7.4</v>
      </c>
      <c r="E10" s="60">
        <f>Beechdean!E10</f>
        <v>6.2</v>
      </c>
      <c r="F10" s="60">
        <f>Beechdean!F10</f>
        <v>5.8</v>
      </c>
      <c r="G10" s="60">
        <f>Beechdean!G10</f>
        <v>5.6</v>
      </c>
      <c r="H10" s="60">
        <f>Beechdean!H10</f>
        <v>6.4</v>
      </c>
      <c r="I10" s="60">
        <f>Beechdean!I10</f>
        <v>5.9</v>
      </c>
      <c r="J10" s="60">
        <f>Beechdean!J10</f>
        <v>6.4</v>
      </c>
      <c r="K10" s="60">
        <f>Beechdean!K10</f>
        <v>6.1</v>
      </c>
      <c r="L10" s="60">
        <f>Beechdean!L10</f>
        <v>6.1</v>
      </c>
      <c r="M10" s="60">
        <f>Beechdean!M10</f>
        <v>5.6</v>
      </c>
      <c r="N10" s="60">
        <f>Beechdean!N10</f>
        <v>5.8</v>
      </c>
      <c r="O10" s="60">
        <f>Beechdean!O10</f>
        <v>6.3</v>
      </c>
      <c r="P10" s="60">
        <f>Beechdean!P10</f>
        <v>6.3</v>
      </c>
      <c r="Q10" s="60">
        <f>Beechdean!Q10</f>
        <v>6</v>
      </c>
      <c r="R10" s="60">
        <f>Beechdean!R10</f>
        <v>6</v>
      </c>
      <c r="S10" s="60">
        <f>Beechdean!S10</f>
        <v>6.4</v>
      </c>
      <c r="T10" s="60">
        <f>Beechdean!T10</f>
        <v>6.2</v>
      </c>
      <c r="U10" s="60">
        <f>Beechdean!U10</f>
        <v>6.1</v>
      </c>
      <c r="V10" s="60">
        <f>Beechdean!V10</f>
        <v>5.6</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Beechdean!C11</f>
        <v>1</v>
      </c>
      <c r="D11" s="60">
        <f>Beechdean!D11</f>
        <v>3</v>
      </c>
      <c r="E11" s="60">
        <f>Beechdean!E11</f>
        <v>0</v>
      </c>
      <c r="F11" s="60">
        <f>Beechdean!F11</f>
        <v>0</v>
      </c>
      <c r="G11" s="60">
        <f>Beechdean!G11</f>
        <v>3</v>
      </c>
      <c r="H11" s="60">
        <f>Beechdean!H11</f>
        <v>2</v>
      </c>
      <c r="I11" s="60">
        <f>Beechdean!I11</f>
        <v>2</v>
      </c>
      <c r="J11" s="60">
        <f>Beechdean!J11</f>
        <v>3</v>
      </c>
      <c r="K11" s="60">
        <f>Beechdean!K11</f>
        <v>3</v>
      </c>
      <c r="L11" s="60">
        <f>Beechdean!L11</f>
        <v>2</v>
      </c>
      <c r="M11" s="60">
        <f>Beechdean!M11</f>
        <v>2</v>
      </c>
      <c r="N11" s="60">
        <f>Beechdean!N11</f>
        <v>2</v>
      </c>
      <c r="O11" s="60">
        <f>Beechdean!O11</f>
        <v>2</v>
      </c>
      <c r="P11" s="60">
        <f>Beechdean!P11</f>
        <v>1</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Beechdean!C12</f>
        <v>2</v>
      </c>
      <c r="D12" s="60">
        <f>Beechdean!D12</f>
        <v>3</v>
      </c>
      <c r="E12" s="60">
        <f>Beechdean!E12</f>
        <v>1</v>
      </c>
      <c r="F12" s="60">
        <f>Beechdean!F12</f>
        <v>0</v>
      </c>
      <c r="G12" s="60">
        <f>Beechdean!G12</f>
        <v>2</v>
      </c>
      <c r="H12" s="60">
        <f>Beechdean!H12</f>
        <v>1</v>
      </c>
      <c r="I12" s="60">
        <f>Beechdean!I12</f>
        <v>0</v>
      </c>
      <c r="J12" s="60">
        <f>Beechdean!J12</f>
        <v>0</v>
      </c>
      <c r="K12" s="60">
        <f>Beechdean!K12</f>
        <v>0</v>
      </c>
      <c r="L12" s="60">
        <f>Beechdean!L12</f>
        <v>0</v>
      </c>
      <c r="M12" s="60">
        <f>Beechdean!M12</f>
        <v>0</v>
      </c>
      <c r="N12" s="60">
        <f>Beechdean!N12</f>
        <v>0</v>
      </c>
      <c r="O12" s="60">
        <f>Beechdean!O12</f>
        <v>1</v>
      </c>
      <c r="P12" s="60">
        <f>Beechdean!P12</f>
        <v>0</v>
      </c>
      <c r="Q12" s="60">
        <f>Beechdean!Q12</f>
        <v>0</v>
      </c>
      <c r="R12" s="60">
        <f>Beechdean!R12</f>
        <v>0</v>
      </c>
      <c r="S12" s="60">
        <f>Beechdean!S12</f>
        <v>0</v>
      </c>
      <c r="T12" s="60">
        <f>Beechdean!T12</f>
        <v>1</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Beechdean!C13</f>
        <v>3</v>
      </c>
      <c r="D13" s="60">
        <f>Beechdean!D13</f>
        <v>3</v>
      </c>
      <c r="E13" s="60">
        <f>Beechdean!E13</f>
        <v>2</v>
      </c>
      <c r="F13" s="60">
        <f>Beechdean!F13</f>
        <v>3</v>
      </c>
      <c r="G13" s="60">
        <f>Beechdean!G13</f>
        <v>2</v>
      </c>
      <c r="H13" s="60">
        <f>Beechdean!H13</f>
        <v>2</v>
      </c>
      <c r="I13" s="60">
        <f>Beechdean!I13</f>
        <v>1</v>
      </c>
      <c r="J13" s="60">
        <f>Beechdean!J13</f>
        <v>2</v>
      </c>
      <c r="K13" s="60">
        <f>Beechdean!K13</f>
        <v>2</v>
      </c>
      <c r="L13" s="60">
        <f>Beechdean!L13</f>
        <v>2</v>
      </c>
      <c r="M13" s="60">
        <f>Beechdean!M13</f>
        <v>2</v>
      </c>
      <c r="N13" s="60">
        <f>Beechdean!N13</f>
        <v>2</v>
      </c>
      <c r="O13" s="60">
        <f>Beechdean!O13</f>
        <v>3</v>
      </c>
      <c r="P13" s="60">
        <f>Beechdean!P13</f>
        <v>2</v>
      </c>
      <c r="Q13" s="60">
        <f>Beechdean!Q13</f>
        <v>3</v>
      </c>
      <c r="R13" s="60">
        <f>Beechdean!R13</f>
        <v>2</v>
      </c>
      <c r="S13" s="60">
        <f>Beechdean!S13</f>
        <v>2</v>
      </c>
      <c r="T13" s="60">
        <f>Beechdean!T13</f>
        <v>2</v>
      </c>
      <c r="U13" s="60">
        <f>Beechdean!U13</f>
        <v>2</v>
      </c>
      <c r="V13" s="60">
        <f>Beechdean!V13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Beechdean!C14</f>
        <v xml:space="preserve">Grass Silage (25% DM) </v>
      </c>
      <c r="D14" s="102" t="str">
        <f>Beechdean!D14</f>
        <v xml:space="preserve">Grass Silage (25% DM) </v>
      </c>
      <c r="E14" s="102" t="str">
        <f>Beechdean!E14</f>
        <v xml:space="preserve">Grass Silage (25% DM) </v>
      </c>
      <c r="F14" s="102" t="str">
        <f>Beechdean!F14</f>
        <v xml:space="preserve">Grass Silage (25% DM) </v>
      </c>
      <c r="G14" s="102" t="str">
        <f>Beechdean!G14</f>
        <v xml:space="preserve">Grass Silage (25% DM) </v>
      </c>
      <c r="H14" s="102" t="str">
        <f>Beechdean!H14</f>
        <v>Maize- Silage (30% DM)</v>
      </c>
      <c r="I14" s="102" t="str">
        <f>Beechdean!I14</f>
        <v>Maize- Silage (30% DM)</v>
      </c>
      <c r="J14" s="102" t="str">
        <f>Beechdean!J14</f>
        <v>Maize- Silage (30% DM)</v>
      </c>
      <c r="K14" s="102" t="str">
        <f>Beechdean!K14</f>
        <v>Maize- Silage (30% DM)</v>
      </c>
      <c r="L14" s="102" t="str">
        <f>Beechdean!L14</f>
        <v>Maize- Silage (30% DM)</v>
      </c>
      <c r="M14" s="102" t="str">
        <f>Beechdean!M14</f>
        <v>Spring wheat/barley</v>
      </c>
      <c r="N14" s="102" t="str">
        <f>Beechdean!N14</f>
        <v>Spring wheat/barley</v>
      </c>
      <c r="O14" s="102" t="str">
        <f>Beechdean!O14</f>
        <v>Spring wheat/barley</v>
      </c>
      <c r="P14" s="102" t="str">
        <f>Beechdean!P14</f>
        <v xml:space="preserve">Grass Silage (25% DM) </v>
      </c>
      <c r="Q14" s="102" t="str">
        <f>Beechdean!Q14</f>
        <v xml:space="preserve">Grass Silage (25% DM) </v>
      </c>
      <c r="R14" s="102" t="str">
        <f>Beechdean!R14</f>
        <v xml:space="preserve">Grass Silage (25% DM) </v>
      </c>
      <c r="S14" s="102" t="str">
        <f>Beechdean!S14</f>
        <v xml:space="preserve">Grass Silage (25% DM) </v>
      </c>
      <c r="T14" s="102" t="str">
        <f>Beechdean!T14</f>
        <v xml:space="preserve">Grass Silage (25% DM) </v>
      </c>
      <c r="U14" s="102" t="str">
        <f>Beechdean!U14</f>
        <v xml:space="preserve">Grass Silage (25% DM) </v>
      </c>
      <c r="V14" s="102" t="str">
        <f>Beechdean!V14</f>
        <v xml:space="preserve">Grass Silage (25% DM) </v>
      </c>
      <c r="AD14" s="30" t="s">
        <v>138</v>
      </c>
      <c r="AE14" s="30">
        <v>6</v>
      </c>
      <c r="AI14" s="53" t="s">
        <v>119</v>
      </c>
      <c r="AJ14" s="54">
        <v>0.8</v>
      </c>
      <c r="AK14" s="55">
        <v>1.7</v>
      </c>
      <c r="AL14" s="11">
        <v>12</v>
      </c>
      <c r="AM14" s="11">
        <v>6.7</v>
      </c>
      <c r="AN14" s="11" t="s">
        <v>135</v>
      </c>
    </row>
    <row r="15" spans="1:41" x14ac:dyDescent="0.2">
      <c r="A15" s="135" t="s">
        <v>9</v>
      </c>
      <c r="B15" s="135"/>
      <c r="C15" s="60">
        <f>Beechdean!C15</f>
        <v>38</v>
      </c>
      <c r="D15" s="60">
        <f>Beechdean!D15</f>
        <v>38</v>
      </c>
      <c r="E15" s="60">
        <f>Beechdean!E15</f>
        <v>38</v>
      </c>
      <c r="F15" s="60">
        <f>Beechdean!F15</f>
        <v>38</v>
      </c>
      <c r="G15" s="60">
        <f>Beechdean!G15</f>
        <v>38</v>
      </c>
      <c r="H15" s="60">
        <f>Beechdean!H15</f>
        <v>40</v>
      </c>
      <c r="I15" s="60">
        <f>Beechdean!I15</f>
        <v>40</v>
      </c>
      <c r="J15" s="60">
        <f>Beechdean!J15</f>
        <v>40</v>
      </c>
      <c r="K15" s="60">
        <f>Beechdean!K15</f>
        <v>40</v>
      </c>
      <c r="L15" s="60">
        <f>Beechdean!L15</f>
        <v>40</v>
      </c>
      <c r="M15" s="60">
        <f>Beechdean!M15</f>
        <v>5.5</v>
      </c>
      <c r="N15" s="60">
        <f>Beechdean!N15</f>
        <v>5.5</v>
      </c>
      <c r="O15" s="60">
        <f>Beechdean!O15</f>
        <v>5.5</v>
      </c>
      <c r="P15" s="60">
        <f>Beechdean!P15</f>
        <v>5.5</v>
      </c>
      <c r="Q15" s="60">
        <f>Beechdean!Q15</f>
        <v>5.5</v>
      </c>
      <c r="R15" s="60">
        <f>Beechdean!R15</f>
        <v>5.5</v>
      </c>
      <c r="S15" s="60">
        <f>Beechdean!S15</f>
        <v>5.5</v>
      </c>
      <c r="T15" s="60">
        <f>Beechdean!T15</f>
        <v>5.5</v>
      </c>
      <c r="U15" s="60">
        <f>Beechdean!U15</f>
        <v>5.5</v>
      </c>
      <c r="V15" s="60">
        <f>Beechdean!V15</f>
        <v>5.5</v>
      </c>
      <c r="AD15" s="30" t="s">
        <v>144</v>
      </c>
      <c r="AE15" s="30">
        <v>7</v>
      </c>
      <c r="AI15" s="53" t="s">
        <v>101</v>
      </c>
      <c r="AJ15" s="62">
        <v>1.8</v>
      </c>
      <c r="AK15" s="55">
        <v>5.4</v>
      </c>
      <c r="AL15" s="11">
        <v>13</v>
      </c>
      <c r="AM15" s="11">
        <v>6.7</v>
      </c>
      <c r="AN15" s="11" t="s">
        <v>135</v>
      </c>
    </row>
    <row r="16" spans="1:41" ht="13.5" thickBot="1" x14ac:dyDescent="0.25">
      <c r="A16" s="137" t="s">
        <v>44</v>
      </c>
      <c r="B16" s="137"/>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Medium/Clay</v>
      </c>
      <c r="K16" s="103" t="str">
        <f>Beechdean!K16</f>
        <v>Medium/Clay</v>
      </c>
      <c r="L16" s="103" t="str">
        <f>Beechdean!L16</f>
        <v>Medium/Clay</v>
      </c>
      <c r="M16" s="103" t="str">
        <f>Beechdean!M16</f>
        <v>Medium/Clay</v>
      </c>
      <c r="N16" s="103" t="str">
        <f>Beechdean!N16</f>
        <v>Medium/Clay</v>
      </c>
      <c r="O16" s="103" t="str">
        <f>Beechdean!O16</f>
        <v>Medium/Clay</v>
      </c>
      <c r="P16" s="103" t="str">
        <f>Beechdean!P16</f>
        <v>Medium/Clay</v>
      </c>
      <c r="Q16" s="103" t="str">
        <f>Beechdean!Q16</f>
        <v>Medium/Clay</v>
      </c>
      <c r="R16" s="103" t="str">
        <f>Beechdean!R16</f>
        <v>Medium/Clay</v>
      </c>
      <c r="S16" s="103" t="str">
        <f>Beechdean!S16</f>
        <v>Medium/Clay</v>
      </c>
      <c r="T16" s="103" t="str">
        <f>Beechdean!T16</f>
        <v>Medium/Clay</v>
      </c>
      <c r="U16" s="103" t="str">
        <f>Beechdean!U16</f>
        <v>Medium/Clay</v>
      </c>
      <c r="V16" s="103" t="str">
        <f>Beechdean!V16</f>
        <v>Medium/Clay</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56</v>
      </c>
      <c r="I17" s="28">
        <f t="shared" si="0"/>
        <v>56</v>
      </c>
      <c r="J17" s="28">
        <f t="shared" si="0"/>
        <v>56</v>
      </c>
      <c r="K17" s="28">
        <f t="shared" si="0"/>
        <v>56</v>
      </c>
      <c r="L17" s="28">
        <f t="shared" si="0"/>
        <v>56</v>
      </c>
      <c r="M17" s="28">
        <f t="shared" si="0"/>
        <v>46.75</v>
      </c>
      <c r="N17" s="28">
        <f t="shared" si="0"/>
        <v>46.75</v>
      </c>
      <c r="O17" s="28">
        <f t="shared" si="0"/>
        <v>46.75</v>
      </c>
      <c r="P17" s="28">
        <f t="shared" si="0"/>
        <v>9.35</v>
      </c>
      <c r="Q17" s="28">
        <f t="shared" si="0"/>
        <v>9.35</v>
      </c>
      <c r="R17" s="28">
        <f t="shared" si="0"/>
        <v>9.35</v>
      </c>
      <c r="S17" s="28">
        <f t="shared" si="0"/>
        <v>9.35</v>
      </c>
      <c r="T17" s="28">
        <f t="shared" si="0"/>
        <v>9.35</v>
      </c>
      <c r="U17" s="28">
        <f t="shared" si="0"/>
        <v>9.35</v>
      </c>
      <c r="V17" s="28">
        <f t="shared" si="0"/>
        <v>9.35</v>
      </c>
      <c r="AD17" s="52" t="s">
        <v>146</v>
      </c>
      <c r="AE17" s="30">
        <v>10</v>
      </c>
      <c r="AI17" s="48" t="s">
        <v>115</v>
      </c>
      <c r="AJ17" s="49">
        <v>1.4</v>
      </c>
      <c r="AK17" s="50">
        <v>4.8</v>
      </c>
      <c r="AL17" s="51">
        <v>15</v>
      </c>
      <c r="AM17" s="11">
        <v>6.2</v>
      </c>
      <c r="AN17" s="11" t="s">
        <v>112</v>
      </c>
    </row>
    <row r="18" spans="1:40" x14ac:dyDescent="0.2">
      <c r="A18" s="131" t="s">
        <v>23</v>
      </c>
      <c r="B18" s="132"/>
      <c r="C18" s="16">
        <f>$D31</f>
        <v>54.983999999999995</v>
      </c>
      <c r="D18" s="16">
        <f>$D32</f>
        <v>54.983999999999995</v>
      </c>
      <c r="E18" s="16">
        <f>$D33</f>
        <v>54.983999999999995</v>
      </c>
      <c r="F18" s="16">
        <f>$D34</f>
        <v>0</v>
      </c>
      <c r="G18" s="16">
        <f>$D35</f>
        <v>54.983999999999995</v>
      </c>
      <c r="H18" s="16">
        <f>$D36</f>
        <v>54.983999999999995</v>
      </c>
      <c r="I18" s="16">
        <f>$D37</f>
        <v>54.983999999999995</v>
      </c>
      <c r="J18" s="16">
        <f>$D38</f>
        <v>54.983999999999995</v>
      </c>
      <c r="K18" s="16">
        <f>$D39</f>
        <v>54.983999999999995</v>
      </c>
      <c r="L18" s="16">
        <f>$D40</f>
        <v>54.983999999999995</v>
      </c>
      <c r="M18" s="16">
        <f>$D41</f>
        <v>45.361800000000002</v>
      </c>
      <c r="N18" s="16">
        <f>$D42</f>
        <v>45.361800000000002</v>
      </c>
      <c r="O18" s="16">
        <f>$D43</f>
        <v>45.361800000000002</v>
      </c>
      <c r="P18" s="16">
        <f>$D44</f>
        <v>54.983999999999995</v>
      </c>
      <c r="Q18" s="16">
        <f>$D45</f>
        <v>54.983999999999995</v>
      </c>
      <c r="R18" s="16">
        <f>$D46</f>
        <v>54.983999999999995</v>
      </c>
      <c r="S18" s="16">
        <f>$D47</f>
        <v>54.983999999999995</v>
      </c>
      <c r="T18" s="16">
        <f>$D48</f>
        <v>54.983999999999995</v>
      </c>
      <c r="U18" s="16">
        <f>$D49</f>
        <v>54.983999999999995</v>
      </c>
      <c r="V18" s="25">
        <f>$D50</f>
        <v>54.983999999999995</v>
      </c>
      <c r="AD18" s="52" t="s">
        <v>147</v>
      </c>
      <c r="AE18" s="30">
        <v>16</v>
      </c>
      <c r="AI18" s="48" t="s">
        <v>106</v>
      </c>
      <c r="AJ18" s="49">
        <v>5.9</v>
      </c>
      <c r="AK18" s="50">
        <v>18</v>
      </c>
      <c r="AL18" s="51">
        <v>16</v>
      </c>
      <c r="AM18" s="11">
        <v>6.2</v>
      </c>
      <c r="AN18" s="11" t="s">
        <v>112</v>
      </c>
    </row>
    <row r="19" spans="1:40" x14ac:dyDescent="0.2">
      <c r="A19" s="131" t="s">
        <v>90</v>
      </c>
      <c r="B19" s="132"/>
      <c r="C19" s="16">
        <f>C18-C17</f>
        <v>-9.6159999999999997</v>
      </c>
      <c r="D19" s="16">
        <f t="shared" ref="D19:V19" si="1">D18-D17</f>
        <v>-9.6159999999999997</v>
      </c>
      <c r="E19" s="16">
        <f t="shared" si="1"/>
        <v>-9.6159999999999997</v>
      </c>
      <c r="F19" s="16">
        <f t="shared" si="1"/>
        <v>-64.599999999999994</v>
      </c>
      <c r="G19" s="16">
        <f t="shared" si="1"/>
        <v>-9.6159999999999997</v>
      </c>
      <c r="H19" s="16">
        <f t="shared" si="1"/>
        <v>-1.0160000000000053</v>
      </c>
      <c r="I19" s="16">
        <f t="shared" si="1"/>
        <v>-1.0160000000000053</v>
      </c>
      <c r="J19" s="16">
        <f t="shared" si="1"/>
        <v>-1.0160000000000053</v>
      </c>
      <c r="K19" s="16">
        <f t="shared" si="1"/>
        <v>-1.0160000000000053</v>
      </c>
      <c r="L19" s="16">
        <f t="shared" si="1"/>
        <v>-1.0160000000000053</v>
      </c>
      <c r="M19" s="16">
        <f t="shared" si="1"/>
        <v>-1.3881999999999977</v>
      </c>
      <c r="N19" s="16">
        <f t="shared" si="1"/>
        <v>-1.3881999999999977</v>
      </c>
      <c r="O19" s="16">
        <f t="shared" si="1"/>
        <v>-1.3881999999999977</v>
      </c>
      <c r="P19" s="16">
        <f t="shared" si="1"/>
        <v>45.633999999999993</v>
      </c>
      <c r="Q19" s="16">
        <f t="shared" si="1"/>
        <v>45.633999999999993</v>
      </c>
      <c r="R19" s="16">
        <f t="shared" si="1"/>
        <v>45.633999999999993</v>
      </c>
      <c r="S19" s="16">
        <f t="shared" si="1"/>
        <v>45.633999999999993</v>
      </c>
      <c r="T19" s="16">
        <f t="shared" si="1"/>
        <v>45.633999999999993</v>
      </c>
      <c r="U19" s="16">
        <f t="shared" si="1"/>
        <v>45.633999999999993</v>
      </c>
      <c r="V19" s="25">
        <f t="shared" si="1"/>
        <v>45.633999999999993</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INCREASE</v>
      </c>
      <c r="R20" s="26" t="str">
        <f>IF($B46="","",IF(R$19&gt;=0,"INCREASE","DECREASE"))</f>
        <v>INCREASE</v>
      </c>
      <c r="S20" s="26" t="str">
        <f>IF($B47="","",IF(S$19&gt;=0,"INCREASE","DECREASE"))</f>
        <v>INCREASE</v>
      </c>
      <c r="T20" s="26" t="str">
        <f>IF($B48="","",IF(T$19&gt;=0,"INCREASE","DECREASE"))</f>
        <v>INCREASE</v>
      </c>
      <c r="U20" s="26" t="str">
        <f>IF($B49="","",IF(U$19&gt;=0,"INCREASE","DECREASE"))</f>
        <v>INCREASE</v>
      </c>
      <c r="V20" s="27" t="str">
        <f>IF($B50="","",IF(V$19&gt;=0,"INCREASE","DECREASE"))</f>
        <v>INCREASE</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176</v>
      </c>
      <c r="I21" s="28">
        <f t="shared" si="2"/>
        <v>176</v>
      </c>
      <c r="J21" s="28">
        <f t="shared" si="2"/>
        <v>176</v>
      </c>
      <c r="K21" s="28">
        <f t="shared" si="2"/>
        <v>176</v>
      </c>
      <c r="L21" s="28">
        <f t="shared" si="2"/>
        <v>176</v>
      </c>
      <c r="M21" s="28">
        <f t="shared" si="2"/>
        <v>66</v>
      </c>
      <c r="N21" s="28">
        <f t="shared" si="2"/>
        <v>66</v>
      </c>
      <c r="O21" s="28">
        <f t="shared" si="2"/>
        <v>66</v>
      </c>
      <c r="P21" s="28">
        <f t="shared" si="2"/>
        <v>33</v>
      </c>
      <c r="Q21" s="28">
        <f t="shared" si="2"/>
        <v>33</v>
      </c>
      <c r="R21" s="28">
        <f t="shared" si="2"/>
        <v>33</v>
      </c>
      <c r="S21" s="28">
        <f t="shared" si="2"/>
        <v>33</v>
      </c>
      <c r="T21" s="28">
        <f t="shared" si="2"/>
        <v>33</v>
      </c>
      <c r="U21" s="28">
        <f t="shared" si="2"/>
        <v>33</v>
      </c>
      <c r="V21" s="28">
        <f t="shared" si="2"/>
        <v>33</v>
      </c>
      <c r="AI21" s="63" t="s">
        <v>100</v>
      </c>
      <c r="AJ21" s="66">
        <v>11</v>
      </c>
      <c r="AK21" s="65">
        <v>12</v>
      </c>
      <c r="AL21" s="29">
        <v>19</v>
      </c>
      <c r="AM21" s="11">
        <v>6.7</v>
      </c>
      <c r="AN21" s="11" t="s">
        <v>135</v>
      </c>
    </row>
    <row r="22" spans="1:40" x14ac:dyDescent="0.2">
      <c r="A22" s="131" t="s">
        <v>89</v>
      </c>
      <c r="B22" s="132"/>
      <c r="C22" s="16">
        <f>$E31</f>
        <v>42.898000000000003</v>
      </c>
      <c r="D22" s="16">
        <f>$E32</f>
        <v>42.898000000000003</v>
      </c>
      <c r="E22" s="16">
        <f>$E33</f>
        <v>42.898000000000003</v>
      </c>
      <c r="F22" s="16">
        <f>$E34</f>
        <v>0</v>
      </c>
      <c r="G22" s="16">
        <f>$E35</f>
        <v>42.898000000000003</v>
      </c>
      <c r="H22" s="16">
        <f>$E36</f>
        <v>42.898000000000003</v>
      </c>
      <c r="I22" s="16">
        <f>$E37</f>
        <v>42.898000000000003</v>
      </c>
      <c r="J22" s="16">
        <f>$E38</f>
        <v>42.898000000000003</v>
      </c>
      <c r="K22" s="16">
        <f>$E39</f>
        <v>42.898000000000003</v>
      </c>
      <c r="L22" s="16">
        <f>$E40</f>
        <v>42.898000000000003</v>
      </c>
      <c r="M22" s="16">
        <f>$E41</f>
        <v>35.39085</v>
      </c>
      <c r="N22" s="16">
        <f>$E42</f>
        <v>35.39085</v>
      </c>
      <c r="O22" s="16">
        <f>$E43</f>
        <v>35.39085</v>
      </c>
      <c r="P22" s="16">
        <f>$E44</f>
        <v>42.898000000000003</v>
      </c>
      <c r="Q22" s="16">
        <f>$E45</f>
        <v>42.898000000000003</v>
      </c>
      <c r="R22" s="16">
        <f>$E46</f>
        <v>42.898000000000003</v>
      </c>
      <c r="S22" s="16">
        <f>$E47</f>
        <v>42.898000000000003</v>
      </c>
      <c r="T22" s="16">
        <f>$E48</f>
        <v>42.898000000000003</v>
      </c>
      <c r="U22" s="16">
        <f>$E49</f>
        <v>42.898000000000003</v>
      </c>
      <c r="V22" s="16">
        <f>$E50</f>
        <v>42.898000000000003</v>
      </c>
      <c r="AI22" s="63" t="s">
        <v>102</v>
      </c>
      <c r="AJ22" s="64">
        <v>1.2</v>
      </c>
      <c r="AK22" s="65">
        <v>5</v>
      </c>
      <c r="AL22" s="29">
        <v>20</v>
      </c>
      <c r="AM22" s="11">
        <v>6.7</v>
      </c>
      <c r="AN22" s="11" t="s">
        <v>135</v>
      </c>
    </row>
    <row r="23" spans="1:40" x14ac:dyDescent="0.2">
      <c r="A23" s="131" t="s">
        <v>92</v>
      </c>
      <c r="B23" s="132"/>
      <c r="C23" s="16">
        <f>C22-C21</f>
        <v>-185.102</v>
      </c>
      <c r="D23" s="16">
        <f t="shared" ref="D23:V23" si="3">D22-D21</f>
        <v>-185.102</v>
      </c>
      <c r="E23" s="16">
        <f t="shared" si="3"/>
        <v>-185.102</v>
      </c>
      <c r="F23" s="16">
        <f t="shared" si="3"/>
        <v>-228</v>
      </c>
      <c r="G23" s="16">
        <f t="shared" si="3"/>
        <v>-185.102</v>
      </c>
      <c r="H23" s="16">
        <f t="shared" si="3"/>
        <v>-133.102</v>
      </c>
      <c r="I23" s="16">
        <f t="shared" si="3"/>
        <v>-133.102</v>
      </c>
      <c r="J23" s="16">
        <f t="shared" si="3"/>
        <v>-133.102</v>
      </c>
      <c r="K23" s="16">
        <f t="shared" si="3"/>
        <v>-133.102</v>
      </c>
      <c r="L23" s="16">
        <f t="shared" si="3"/>
        <v>-133.102</v>
      </c>
      <c r="M23" s="16">
        <f t="shared" si="3"/>
        <v>-30.60915</v>
      </c>
      <c r="N23" s="16">
        <f t="shared" si="3"/>
        <v>-30.60915</v>
      </c>
      <c r="O23" s="16">
        <f t="shared" si="3"/>
        <v>-30.60915</v>
      </c>
      <c r="P23" s="16">
        <f t="shared" si="3"/>
        <v>9.8980000000000032</v>
      </c>
      <c r="Q23" s="16">
        <f t="shared" si="3"/>
        <v>9.8980000000000032</v>
      </c>
      <c r="R23" s="16">
        <f t="shared" si="3"/>
        <v>9.8980000000000032</v>
      </c>
      <c r="S23" s="16">
        <f t="shared" si="3"/>
        <v>9.8980000000000032</v>
      </c>
      <c r="T23" s="16">
        <f t="shared" si="3"/>
        <v>9.8980000000000032</v>
      </c>
      <c r="U23" s="16">
        <f t="shared" si="3"/>
        <v>9.8980000000000032</v>
      </c>
      <c r="V23" s="16">
        <f t="shared" si="3"/>
        <v>9.8980000000000032</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INCREASE</v>
      </c>
      <c r="Q24" s="26" t="str">
        <f t="shared" si="4"/>
        <v>INCREASE</v>
      </c>
      <c r="R24" s="26" t="str">
        <f t="shared" si="4"/>
        <v>INCREASE</v>
      </c>
      <c r="S24" s="26" t="str">
        <f t="shared" si="4"/>
        <v>INCREASE</v>
      </c>
      <c r="T24" s="26" t="str">
        <f t="shared" si="4"/>
        <v>INCREASE</v>
      </c>
      <c r="U24" s="26" t="str">
        <f t="shared" si="4"/>
        <v>INCREASE</v>
      </c>
      <c r="V24" s="26" t="str">
        <f t="shared" si="4"/>
        <v>INCREASE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200</v>
      </c>
      <c r="C31" s="77">
        <f>IF(C$27="%w/w SAR",((C$28*10)*$B31),IF(C$27="%w/w DM",(((C$28*10)*($B$28/100))*$B31),IF(C$27="kg/t SAR",(C$28*$B31),IF(C$27="kg/t DM",((C$28*($B$28/100))*$B31),IF(C$27="mg/kg SAR",((C$28*0.001)*$B31),IF(C$27="mg/kg DM",(((C$28*0.001)*($B$28/100))*$B31),0))))))</f>
        <v>140</v>
      </c>
      <c r="D31" s="77">
        <f>(IF(D$27="%w/w SAR",((D$28*10)*$B31),IF(D$27="%w/w DM",(((D$28*10)*($B$28/100))*$B31),IF(D$27="kg/t SAR",(D$28*$B31),IF(D$27="kg/t DM",((D$28*($B$28/100))*$B31),IF(D$27="mg/kg SAR",((D$28*0.001)*$B31),IF(D$27="mg/kg DM",(((D$28*0.001)*($B$28/100))*$B31),"0")))))))*2.291</f>
        <v>54.983999999999995</v>
      </c>
      <c r="E31" s="77">
        <f>(IF(E$27="%w/w SAR",((E$28*10)*$B31),IF(E$27="%w/w DM",(((E$28*10)*($B$28/100))*$B31),IF(E$27="kg/t SAR",(E$28*$B31),IF(E$27="kg/t DM",((E$28*($B$28/100))*$B31),IF(E$27="mg/kg SAR",((E$28*0.001)*$B31),IF(E$27="mg/kg DM",(((E$28*0.001)*($B$28/100))*$B31),"0")))))))*1.205</f>
        <v>42.898000000000003</v>
      </c>
      <c r="F31" s="77">
        <f>(IF(F$27="%w/w SAR",((F$28*10)*$B31),IF(F$27="%w/w DM",(((F$28*10)*($B$28/100))*$B31),IF(F$27="kg/t SAR",(F$28*$B31),IF(F$27="kg/t DM",((F$28*($B$28/100))*$B31),IF(F$27="mg/kg SAR",((F$28*0.001)*$B31),IF(F$27="mg/kg DM",(((F$28*0.001)*($B$28/100))*$B31),"0")))))))*1.658</f>
        <v>7.5273199999999996</v>
      </c>
      <c r="G31" s="77">
        <f t="shared" ref="G31:P46" si="5">IF(G$27="%w/w SAR",((G$28*10)*$B31),IF(G$27="%w/w DM",(((G$28*10)*($B$28/100))*$B31),IF(G$27="kg/t SAR",(G$28*$B31),IF(G$27="kg/t DM",((G$28*($B$28/100))*$B31),IF(G$27="mg/kg SAR",((G$28*0.001)*$B31),IF(G$27="mg/kg DM",(((G$28*0.001)*($B$28/100))*$B31),0))))))</f>
        <v>0.15460000000000002</v>
      </c>
      <c r="H31" s="77">
        <f t="shared" si="5"/>
        <v>0.42799999999999999</v>
      </c>
      <c r="I31" s="77">
        <f t="shared" si="5"/>
        <v>0.1</v>
      </c>
      <c r="J31" s="77">
        <f t="shared" si="5"/>
        <v>2E-3</v>
      </c>
      <c r="K31" s="77">
        <f t="shared" si="5"/>
        <v>0.01</v>
      </c>
      <c r="L31" s="77">
        <f t="shared" si="5"/>
        <v>0.04</v>
      </c>
      <c r="M31" s="77">
        <f t="shared" si="5"/>
        <v>0.04</v>
      </c>
      <c r="N31" s="77">
        <f t="shared" si="5"/>
        <v>0</v>
      </c>
      <c r="O31" s="77">
        <f t="shared" si="5"/>
        <v>0</v>
      </c>
      <c r="P31" s="77">
        <f t="shared" si="5"/>
        <v>259.60000000000002</v>
      </c>
      <c r="Q31" s="77">
        <f>(IF(Q$27="%w/w SAR",((Q$28*10)*$B31),IF(Q$27="%w/w DM",(((Q$28*10)*($B$28/100))*$B31),IF(Q$27="kg/t SAR",(Q$28*$B31),IF(Q$27="kg/t DM",((Q$28*($B$28/100))*$B31),IF(Q$27="mg/kg SAR",((Q$28*0.001)*$B31),IF(Q$27="mg/kg DM",(((Q$28*0.001)*($B$28/100))*$B31),0)))))))*2.5</f>
        <v>221.5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200</v>
      </c>
      <c r="C32" s="77">
        <f t="shared" ref="C32:C50" si="6">IF(C$27="%w/w SAR",((C$28*10)*$B32),IF(C$27="%w/w DM",(((C$28*10)*($B$28/100))*$B32),IF(C$27="kg/t SAR",(C$28*$B32),IF(C$27="kg/t DM",((C$28*($B$28/100))*$B32),IF(C$27="mg/kg SAR",((C$28*0.001)*$B32),IF(C$27="mg/kg DM",(((C$28*0.001)*($B$28/100))*$B32),0))))))</f>
        <v>140</v>
      </c>
      <c r="D32" s="77">
        <f t="shared" ref="D32:D50" si="7">(IF(D$27="%w/w SAR",((D$28*10)*$B32),IF(D$27="%w/w DM",(((D$28*10)*($B$28/100))*$B32),IF(D$27="kg/t SAR",(D$28*$B32),IF(D$27="kg/t DM",((D$28*($B$28/100))*$B32),IF(D$27="mg/kg SAR",((D$28*0.001)*$B32),IF(D$27="mg/kg DM",(((D$28*0.001)*($B$28/100))*$B32),"0")))))))*2.291</f>
        <v>54.983999999999995</v>
      </c>
      <c r="E32" s="77">
        <f t="shared" ref="E32:E50" si="8">(IF(E$27="%w/w SAR",((E$28*10)*$B32),IF(E$27="%w/w DM",(((E$28*10)*($B$28/100))*$B32),IF(E$27="kg/t SAR",(E$28*$B32),IF(E$27="kg/t DM",((E$28*($B$28/100))*$B32),IF(E$27="mg/kg SAR",((E$28*0.001)*$B32),IF(E$27="mg/kg DM",(((E$28*0.001)*($B$28/100))*$B32),"0")))))))*1.205</f>
        <v>42.898000000000003</v>
      </c>
      <c r="F32" s="77">
        <f t="shared" ref="F32:F50" si="9">(IF(F$27="%w/w SAR",((F$28*10)*$B32),IF(F$27="%w/w DM",(((F$28*10)*($B$28/100))*$B32),IF(F$27="kg/t SAR",(F$28*$B32),IF(F$27="kg/t DM",((F$28*($B$28/100))*$B32),IF(F$27="mg/kg SAR",((F$28*0.001)*$B32),IF(F$27="mg/kg DM",(((F$28*0.001)*($B$28/100))*$B32),"0")))))))*1.658</f>
        <v>7.5273199999999996</v>
      </c>
      <c r="G32" s="77">
        <f t="shared" si="5"/>
        <v>0.15460000000000002</v>
      </c>
      <c r="H32" s="77">
        <f t="shared" si="5"/>
        <v>0.42799999999999999</v>
      </c>
      <c r="I32" s="77">
        <f t="shared" si="5"/>
        <v>0.1</v>
      </c>
      <c r="J32" s="77">
        <f t="shared" si="5"/>
        <v>2E-3</v>
      </c>
      <c r="K32" s="77">
        <f t="shared" si="5"/>
        <v>0.01</v>
      </c>
      <c r="L32" s="77">
        <f t="shared" si="5"/>
        <v>0.04</v>
      </c>
      <c r="M32" s="77">
        <f t="shared" si="5"/>
        <v>0.04</v>
      </c>
      <c r="N32" s="77">
        <f t="shared" si="5"/>
        <v>0</v>
      </c>
      <c r="O32" s="77">
        <f t="shared" si="5"/>
        <v>0</v>
      </c>
      <c r="P32" s="77">
        <f t="shared" si="5"/>
        <v>259.60000000000002</v>
      </c>
      <c r="Q32" s="77">
        <f t="shared" ref="Q32:Q50" si="10">(IF(Q$27="%w/w SAR",((Q$28*10)*$B32),IF(Q$27="%w/w DM",(((Q$28*10)*($B$28/100))*$B32),IF(Q$27="kg/t SAR",(Q$28*$B32),IF(Q$27="kg/t DM",((Q$28*($B$28/100))*$B32),IF(Q$27="mg/kg SAR",((Q$28*0.001)*$B32),IF(Q$27="mg/kg DM",(((Q$28*0.001)*($B$28/100))*$B32),0)))))))*2.5</f>
        <v>221.5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200</v>
      </c>
      <c r="C33" s="77">
        <f t="shared" si="6"/>
        <v>140</v>
      </c>
      <c r="D33" s="77">
        <f t="shared" si="7"/>
        <v>54.983999999999995</v>
      </c>
      <c r="E33" s="77">
        <f t="shared" si="8"/>
        <v>42.898000000000003</v>
      </c>
      <c r="F33" s="77">
        <f t="shared" si="9"/>
        <v>7.5273199999999996</v>
      </c>
      <c r="G33" s="77">
        <f t="shared" si="5"/>
        <v>0.15460000000000002</v>
      </c>
      <c r="H33" s="77">
        <f t="shared" si="5"/>
        <v>0.42799999999999999</v>
      </c>
      <c r="I33" s="77">
        <f t="shared" si="5"/>
        <v>0.1</v>
      </c>
      <c r="J33" s="77">
        <f t="shared" si="5"/>
        <v>2E-3</v>
      </c>
      <c r="K33" s="77">
        <f t="shared" si="5"/>
        <v>0.01</v>
      </c>
      <c r="L33" s="77">
        <f t="shared" si="5"/>
        <v>0.04</v>
      </c>
      <c r="M33" s="77">
        <f t="shared" si="5"/>
        <v>0.04</v>
      </c>
      <c r="N33" s="77">
        <f t="shared" si="5"/>
        <v>0</v>
      </c>
      <c r="O33" s="77">
        <f t="shared" si="5"/>
        <v>0</v>
      </c>
      <c r="P33" s="77">
        <f t="shared" si="5"/>
        <v>259.60000000000002</v>
      </c>
      <c r="Q33" s="77">
        <f t="shared" si="10"/>
        <v>221.5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200</v>
      </c>
      <c r="C35" s="77">
        <f t="shared" si="6"/>
        <v>140</v>
      </c>
      <c r="D35" s="77">
        <f t="shared" si="7"/>
        <v>54.983999999999995</v>
      </c>
      <c r="E35" s="77">
        <f t="shared" si="8"/>
        <v>42.898000000000003</v>
      </c>
      <c r="F35" s="77">
        <f t="shared" si="9"/>
        <v>7.5273199999999996</v>
      </c>
      <c r="G35" s="77">
        <f t="shared" si="5"/>
        <v>0.15460000000000002</v>
      </c>
      <c r="H35" s="77">
        <f t="shared" si="5"/>
        <v>0.42799999999999999</v>
      </c>
      <c r="I35" s="77">
        <f t="shared" si="5"/>
        <v>0.1</v>
      </c>
      <c r="J35" s="77">
        <f t="shared" si="5"/>
        <v>2E-3</v>
      </c>
      <c r="K35" s="77">
        <f t="shared" si="5"/>
        <v>0.01</v>
      </c>
      <c r="L35" s="77">
        <f t="shared" si="5"/>
        <v>0.04</v>
      </c>
      <c r="M35" s="77">
        <f t="shared" si="5"/>
        <v>0.04</v>
      </c>
      <c r="N35" s="77">
        <f t="shared" si="5"/>
        <v>0</v>
      </c>
      <c r="O35" s="77">
        <f t="shared" si="5"/>
        <v>0</v>
      </c>
      <c r="P35" s="77">
        <f t="shared" si="5"/>
        <v>259.60000000000002</v>
      </c>
      <c r="Q35" s="77">
        <f t="shared" si="10"/>
        <v>221.5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200</v>
      </c>
      <c r="C36" s="77">
        <f t="shared" si="6"/>
        <v>140</v>
      </c>
      <c r="D36" s="77">
        <f t="shared" si="7"/>
        <v>54.983999999999995</v>
      </c>
      <c r="E36" s="77">
        <f t="shared" si="8"/>
        <v>42.898000000000003</v>
      </c>
      <c r="F36" s="77">
        <f t="shared" si="9"/>
        <v>7.5273199999999996</v>
      </c>
      <c r="G36" s="77">
        <f t="shared" si="5"/>
        <v>0.15460000000000002</v>
      </c>
      <c r="H36" s="77">
        <f t="shared" si="5"/>
        <v>0.42799999999999999</v>
      </c>
      <c r="I36" s="77">
        <f t="shared" si="5"/>
        <v>0.1</v>
      </c>
      <c r="J36" s="77">
        <f t="shared" si="5"/>
        <v>2E-3</v>
      </c>
      <c r="K36" s="77">
        <f t="shared" si="5"/>
        <v>0.01</v>
      </c>
      <c r="L36" s="77">
        <f t="shared" si="5"/>
        <v>0.04</v>
      </c>
      <c r="M36" s="77">
        <f t="shared" si="5"/>
        <v>0.04</v>
      </c>
      <c r="N36" s="77">
        <f t="shared" si="5"/>
        <v>0</v>
      </c>
      <c r="O36" s="77">
        <f t="shared" si="5"/>
        <v>0</v>
      </c>
      <c r="P36" s="77">
        <f t="shared" si="5"/>
        <v>259.60000000000002</v>
      </c>
      <c r="Q36" s="77">
        <f t="shared" si="10"/>
        <v>221.5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200</v>
      </c>
      <c r="C37" s="77">
        <f t="shared" si="6"/>
        <v>140</v>
      </c>
      <c r="D37" s="77">
        <f t="shared" si="7"/>
        <v>54.983999999999995</v>
      </c>
      <c r="E37" s="77">
        <f t="shared" si="8"/>
        <v>42.898000000000003</v>
      </c>
      <c r="F37" s="77">
        <f t="shared" si="9"/>
        <v>7.5273199999999996</v>
      </c>
      <c r="G37" s="77">
        <f t="shared" si="5"/>
        <v>0.15460000000000002</v>
      </c>
      <c r="H37" s="77">
        <f t="shared" si="5"/>
        <v>0.42799999999999999</v>
      </c>
      <c r="I37" s="77">
        <f t="shared" si="5"/>
        <v>0.1</v>
      </c>
      <c r="J37" s="77">
        <f t="shared" si="5"/>
        <v>2E-3</v>
      </c>
      <c r="K37" s="77">
        <f t="shared" si="5"/>
        <v>0.01</v>
      </c>
      <c r="L37" s="77">
        <f t="shared" si="5"/>
        <v>0.04</v>
      </c>
      <c r="M37" s="77">
        <f t="shared" si="5"/>
        <v>0.04</v>
      </c>
      <c r="N37" s="77">
        <f t="shared" si="5"/>
        <v>0</v>
      </c>
      <c r="O37" s="77">
        <f t="shared" si="5"/>
        <v>0</v>
      </c>
      <c r="P37" s="77">
        <f t="shared" si="5"/>
        <v>259.60000000000002</v>
      </c>
      <c r="Q37" s="77">
        <f t="shared" si="10"/>
        <v>221.5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200</v>
      </c>
      <c r="C38" s="77">
        <f t="shared" si="6"/>
        <v>140</v>
      </c>
      <c r="D38" s="77">
        <f t="shared" si="7"/>
        <v>54.983999999999995</v>
      </c>
      <c r="E38" s="77">
        <f t="shared" si="8"/>
        <v>42.898000000000003</v>
      </c>
      <c r="F38" s="77">
        <f t="shared" si="9"/>
        <v>7.5273199999999996</v>
      </c>
      <c r="G38" s="77">
        <f t="shared" si="5"/>
        <v>0.15460000000000002</v>
      </c>
      <c r="H38" s="77">
        <f t="shared" si="5"/>
        <v>0.42799999999999999</v>
      </c>
      <c r="I38" s="77">
        <f t="shared" si="5"/>
        <v>0.1</v>
      </c>
      <c r="J38" s="77">
        <f t="shared" si="5"/>
        <v>2E-3</v>
      </c>
      <c r="K38" s="77">
        <f t="shared" si="5"/>
        <v>0.01</v>
      </c>
      <c r="L38" s="77">
        <f t="shared" si="5"/>
        <v>0.04</v>
      </c>
      <c r="M38" s="77">
        <f t="shared" si="5"/>
        <v>0.04</v>
      </c>
      <c r="N38" s="77">
        <f t="shared" si="5"/>
        <v>0</v>
      </c>
      <c r="O38" s="77">
        <f t="shared" si="5"/>
        <v>0</v>
      </c>
      <c r="P38" s="77">
        <f t="shared" si="5"/>
        <v>259.60000000000002</v>
      </c>
      <c r="Q38" s="77">
        <f t="shared" si="10"/>
        <v>221.5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200</v>
      </c>
      <c r="C39" s="77">
        <f t="shared" si="6"/>
        <v>140</v>
      </c>
      <c r="D39" s="77">
        <f t="shared" si="7"/>
        <v>54.983999999999995</v>
      </c>
      <c r="E39" s="77">
        <f t="shared" si="8"/>
        <v>42.898000000000003</v>
      </c>
      <c r="F39" s="77">
        <f t="shared" si="9"/>
        <v>7.5273199999999996</v>
      </c>
      <c r="G39" s="77">
        <f t="shared" si="5"/>
        <v>0.15460000000000002</v>
      </c>
      <c r="H39" s="77">
        <f t="shared" si="5"/>
        <v>0.42799999999999999</v>
      </c>
      <c r="I39" s="77">
        <f t="shared" si="5"/>
        <v>0.1</v>
      </c>
      <c r="J39" s="77">
        <f t="shared" si="5"/>
        <v>2E-3</v>
      </c>
      <c r="K39" s="77">
        <f t="shared" si="5"/>
        <v>0.01</v>
      </c>
      <c r="L39" s="77">
        <f t="shared" si="5"/>
        <v>0.04</v>
      </c>
      <c r="M39" s="77">
        <f t="shared" si="5"/>
        <v>0.04</v>
      </c>
      <c r="N39" s="77">
        <f t="shared" si="5"/>
        <v>0</v>
      </c>
      <c r="O39" s="77">
        <f t="shared" si="5"/>
        <v>0</v>
      </c>
      <c r="P39" s="77">
        <f t="shared" si="5"/>
        <v>259.60000000000002</v>
      </c>
      <c r="Q39" s="77">
        <f t="shared" si="10"/>
        <v>221.5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200</v>
      </c>
      <c r="C40" s="77">
        <f t="shared" si="6"/>
        <v>140</v>
      </c>
      <c r="D40" s="77">
        <f t="shared" si="7"/>
        <v>54.983999999999995</v>
      </c>
      <c r="E40" s="77">
        <f t="shared" si="8"/>
        <v>42.898000000000003</v>
      </c>
      <c r="F40" s="77">
        <f t="shared" si="9"/>
        <v>7.5273199999999996</v>
      </c>
      <c r="G40" s="77">
        <f t="shared" si="5"/>
        <v>0.15460000000000002</v>
      </c>
      <c r="H40" s="77">
        <f t="shared" si="5"/>
        <v>0.42799999999999999</v>
      </c>
      <c r="I40" s="77">
        <f t="shared" si="5"/>
        <v>0.1</v>
      </c>
      <c r="J40" s="77">
        <f t="shared" si="5"/>
        <v>2E-3</v>
      </c>
      <c r="K40" s="77">
        <f t="shared" si="5"/>
        <v>0.01</v>
      </c>
      <c r="L40" s="77">
        <f t="shared" si="5"/>
        <v>0.04</v>
      </c>
      <c r="M40" s="77">
        <f t="shared" si="5"/>
        <v>0.04</v>
      </c>
      <c r="N40" s="77">
        <f t="shared" si="5"/>
        <v>0</v>
      </c>
      <c r="O40" s="77">
        <f t="shared" si="5"/>
        <v>0</v>
      </c>
      <c r="P40" s="77">
        <f t="shared" si="5"/>
        <v>259.60000000000002</v>
      </c>
      <c r="Q40" s="77">
        <f t="shared" si="10"/>
        <v>221.5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165</v>
      </c>
      <c r="C41" s="77">
        <f t="shared" si="6"/>
        <v>115.50000000000001</v>
      </c>
      <c r="D41" s="77">
        <f t="shared" si="7"/>
        <v>45.361800000000002</v>
      </c>
      <c r="E41" s="77">
        <f t="shared" si="8"/>
        <v>35.39085</v>
      </c>
      <c r="F41" s="77">
        <f t="shared" si="9"/>
        <v>6.2100390000000001</v>
      </c>
      <c r="G41" s="77">
        <f t="shared" si="5"/>
        <v>0.12754499999999999</v>
      </c>
      <c r="H41" s="77">
        <f t="shared" si="5"/>
        <v>0.35309999999999997</v>
      </c>
      <c r="I41" s="77">
        <f t="shared" si="5"/>
        <v>8.2500000000000004E-2</v>
      </c>
      <c r="J41" s="77">
        <f t="shared" si="5"/>
        <v>1.6500000000000002E-3</v>
      </c>
      <c r="K41" s="77">
        <f t="shared" si="5"/>
        <v>8.2500000000000004E-3</v>
      </c>
      <c r="L41" s="77">
        <f t="shared" si="5"/>
        <v>3.3000000000000002E-2</v>
      </c>
      <c r="M41" s="77">
        <f t="shared" si="5"/>
        <v>3.3000000000000002E-2</v>
      </c>
      <c r="N41" s="77">
        <f t="shared" si="5"/>
        <v>0</v>
      </c>
      <c r="O41" s="77">
        <f t="shared" si="5"/>
        <v>0</v>
      </c>
      <c r="P41" s="77">
        <f t="shared" si="5"/>
        <v>214.17000000000002</v>
      </c>
      <c r="Q41" s="77">
        <f t="shared" si="10"/>
        <v>182.73750000000001</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165</v>
      </c>
      <c r="C42" s="77">
        <f t="shared" si="6"/>
        <v>115.50000000000001</v>
      </c>
      <c r="D42" s="77">
        <f t="shared" si="7"/>
        <v>45.361800000000002</v>
      </c>
      <c r="E42" s="77">
        <f t="shared" si="8"/>
        <v>35.39085</v>
      </c>
      <c r="F42" s="77">
        <f t="shared" si="9"/>
        <v>6.2100390000000001</v>
      </c>
      <c r="G42" s="77">
        <f t="shared" si="5"/>
        <v>0.12754499999999999</v>
      </c>
      <c r="H42" s="77">
        <f t="shared" si="5"/>
        <v>0.35309999999999997</v>
      </c>
      <c r="I42" s="77">
        <f t="shared" si="5"/>
        <v>8.2500000000000004E-2</v>
      </c>
      <c r="J42" s="77">
        <f t="shared" si="5"/>
        <v>1.6500000000000002E-3</v>
      </c>
      <c r="K42" s="77">
        <f t="shared" si="5"/>
        <v>8.2500000000000004E-3</v>
      </c>
      <c r="L42" s="77">
        <f t="shared" si="5"/>
        <v>3.3000000000000002E-2</v>
      </c>
      <c r="M42" s="77">
        <f t="shared" si="5"/>
        <v>3.3000000000000002E-2</v>
      </c>
      <c r="N42" s="77">
        <f t="shared" si="5"/>
        <v>0</v>
      </c>
      <c r="O42" s="77">
        <f t="shared" si="5"/>
        <v>0</v>
      </c>
      <c r="P42" s="77">
        <f t="shared" si="5"/>
        <v>214.17000000000002</v>
      </c>
      <c r="Q42" s="77">
        <f t="shared" si="10"/>
        <v>182.73750000000001</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165</v>
      </c>
      <c r="C43" s="77">
        <f t="shared" si="6"/>
        <v>115.50000000000001</v>
      </c>
      <c r="D43" s="77">
        <f t="shared" si="7"/>
        <v>45.361800000000002</v>
      </c>
      <c r="E43" s="77">
        <f t="shared" si="8"/>
        <v>35.39085</v>
      </c>
      <c r="F43" s="77">
        <f t="shared" si="9"/>
        <v>6.2100390000000001</v>
      </c>
      <c r="G43" s="77">
        <f t="shared" si="5"/>
        <v>0.12754499999999999</v>
      </c>
      <c r="H43" s="77">
        <f t="shared" si="5"/>
        <v>0.35309999999999997</v>
      </c>
      <c r="I43" s="77">
        <f t="shared" si="5"/>
        <v>8.2500000000000004E-2</v>
      </c>
      <c r="J43" s="77">
        <f t="shared" si="5"/>
        <v>1.6500000000000002E-3</v>
      </c>
      <c r="K43" s="77">
        <f t="shared" si="5"/>
        <v>8.2500000000000004E-3</v>
      </c>
      <c r="L43" s="77">
        <f t="shared" si="5"/>
        <v>3.3000000000000002E-2</v>
      </c>
      <c r="M43" s="77">
        <f t="shared" si="5"/>
        <v>3.3000000000000002E-2</v>
      </c>
      <c r="N43" s="77">
        <f t="shared" si="5"/>
        <v>0</v>
      </c>
      <c r="O43" s="77">
        <f t="shared" si="5"/>
        <v>0</v>
      </c>
      <c r="P43" s="77">
        <f t="shared" si="5"/>
        <v>214.17000000000002</v>
      </c>
      <c r="Q43" s="77">
        <f t="shared" si="10"/>
        <v>182.73750000000001</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200</v>
      </c>
      <c r="C44" s="77">
        <f t="shared" si="6"/>
        <v>140</v>
      </c>
      <c r="D44" s="77">
        <f t="shared" si="7"/>
        <v>54.983999999999995</v>
      </c>
      <c r="E44" s="77">
        <f t="shared" si="8"/>
        <v>42.898000000000003</v>
      </c>
      <c r="F44" s="77">
        <f t="shared" si="9"/>
        <v>7.5273199999999996</v>
      </c>
      <c r="G44" s="77">
        <f t="shared" si="5"/>
        <v>0.15460000000000002</v>
      </c>
      <c r="H44" s="77">
        <f t="shared" si="5"/>
        <v>0.42799999999999999</v>
      </c>
      <c r="I44" s="77">
        <f t="shared" si="5"/>
        <v>0.1</v>
      </c>
      <c r="J44" s="77">
        <f t="shared" si="5"/>
        <v>2E-3</v>
      </c>
      <c r="K44" s="77">
        <f t="shared" si="5"/>
        <v>0.01</v>
      </c>
      <c r="L44" s="77">
        <f t="shared" si="5"/>
        <v>0.04</v>
      </c>
      <c r="M44" s="77">
        <f t="shared" si="5"/>
        <v>0.04</v>
      </c>
      <c r="N44" s="77">
        <f t="shared" si="5"/>
        <v>0</v>
      </c>
      <c r="O44" s="77">
        <f t="shared" si="5"/>
        <v>0</v>
      </c>
      <c r="P44" s="77">
        <f t="shared" si="5"/>
        <v>259.60000000000002</v>
      </c>
      <c r="Q44" s="77">
        <f t="shared" si="10"/>
        <v>221.5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200</v>
      </c>
      <c r="C45" s="77">
        <f t="shared" si="6"/>
        <v>140</v>
      </c>
      <c r="D45" s="77">
        <f t="shared" si="7"/>
        <v>54.983999999999995</v>
      </c>
      <c r="E45" s="77">
        <f t="shared" si="8"/>
        <v>42.898000000000003</v>
      </c>
      <c r="F45" s="77">
        <f t="shared" si="9"/>
        <v>7.5273199999999996</v>
      </c>
      <c r="G45" s="77">
        <f t="shared" si="5"/>
        <v>0.15460000000000002</v>
      </c>
      <c r="H45" s="77">
        <f t="shared" si="5"/>
        <v>0.42799999999999999</v>
      </c>
      <c r="I45" s="77">
        <f t="shared" si="5"/>
        <v>0.1</v>
      </c>
      <c r="J45" s="77">
        <f t="shared" si="5"/>
        <v>2E-3</v>
      </c>
      <c r="K45" s="77">
        <f t="shared" si="5"/>
        <v>0.01</v>
      </c>
      <c r="L45" s="77">
        <f t="shared" si="5"/>
        <v>0.04</v>
      </c>
      <c r="M45" s="77">
        <f t="shared" si="5"/>
        <v>0.04</v>
      </c>
      <c r="N45" s="77">
        <f t="shared" si="5"/>
        <v>0</v>
      </c>
      <c r="O45" s="77">
        <f t="shared" si="5"/>
        <v>0</v>
      </c>
      <c r="P45" s="77">
        <f t="shared" si="5"/>
        <v>259.60000000000002</v>
      </c>
      <c r="Q45" s="77">
        <f t="shared" si="10"/>
        <v>221.5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200</v>
      </c>
      <c r="C46" s="77">
        <f t="shared" si="6"/>
        <v>140</v>
      </c>
      <c r="D46" s="77">
        <f t="shared" si="7"/>
        <v>54.983999999999995</v>
      </c>
      <c r="E46" s="77">
        <f t="shared" si="8"/>
        <v>42.898000000000003</v>
      </c>
      <c r="F46" s="77">
        <f t="shared" si="9"/>
        <v>7.5273199999999996</v>
      </c>
      <c r="G46" s="77">
        <f t="shared" si="5"/>
        <v>0.15460000000000002</v>
      </c>
      <c r="H46" s="77">
        <f t="shared" si="5"/>
        <v>0.42799999999999999</v>
      </c>
      <c r="I46" s="77">
        <f t="shared" si="5"/>
        <v>0.1</v>
      </c>
      <c r="J46" s="77">
        <f t="shared" si="5"/>
        <v>2E-3</v>
      </c>
      <c r="K46" s="77">
        <f t="shared" si="5"/>
        <v>0.01</v>
      </c>
      <c r="L46" s="77">
        <f t="shared" si="5"/>
        <v>0.04</v>
      </c>
      <c r="M46" s="77">
        <f t="shared" si="5"/>
        <v>0.04</v>
      </c>
      <c r="N46" s="77">
        <f t="shared" si="5"/>
        <v>0</v>
      </c>
      <c r="O46" s="77">
        <f t="shared" si="5"/>
        <v>0</v>
      </c>
      <c r="P46" s="77">
        <f t="shared" si="5"/>
        <v>259.60000000000002</v>
      </c>
      <c r="Q46" s="77">
        <f t="shared" si="10"/>
        <v>221.5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200</v>
      </c>
      <c r="C47" s="77">
        <f t="shared" si="6"/>
        <v>140</v>
      </c>
      <c r="D47" s="77">
        <f t="shared" si="7"/>
        <v>54.983999999999995</v>
      </c>
      <c r="E47" s="77">
        <f t="shared" si="8"/>
        <v>42.898000000000003</v>
      </c>
      <c r="F47" s="77">
        <f t="shared" si="9"/>
        <v>7.5273199999999996</v>
      </c>
      <c r="G47" s="77">
        <f t="shared" ref="G47:P50" si="12">IF(G$27="%w/w SAR",((G$28*10)*$B47),IF(G$27="%w/w DM",(((G$28*10)*($B$28/100))*$B47),IF(G$27="kg/t SAR",(G$28*$B47),IF(G$27="kg/t DM",((G$28*($B$28/100))*$B47),IF(G$27="mg/kg SAR",((G$28*0.001)*$B47),IF(G$27="mg/kg DM",(((G$28*0.001)*($B$28/100))*$B47),0))))))</f>
        <v>0.15460000000000002</v>
      </c>
      <c r="H47" s="77">
        <f t="shared" si="12"/>
        <v>0.42799999999999999</v>
      </c>
      <c r="I47" s="77">
        <f t="shared" si="12"/>
        <v>0.1</v>
      </c>
      <c r="J47" s="77">
        <f t="shared" si="12"/>
        <v>2E-3</v>
      </c>
      <c r="K47" s="77">
        <f t="shared" si="12"/>
        <v>0.01</v>
      </c>
      <c r="L47" s="77">
        <f t="shared" si="12"/>
        <v>0.04</v>
      </c>
      <c r="M47" s="77">
        <f t="shared" si="12"/>
        <v>0.04</v>
      </c>
      <c r="N47" s="77">
        <f t="shared" si="12"/>
        <v>0</v>
      </c>
      <c r="O47" s="77">
        <f t="shared" si="12"/>
        <v>0</v>
      </c>
      <c r="P47" s="77">
        <f t="shared" si="12"/>
        <v>259.60000000000002</v>
      </c>
      <c r="Q47" s="77">
        <f t="shared" si="10"/>
        <v>221.5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200</v>
      </c>
      <c r="C48" s="77">
        <f t="shared" si="6"/>
        <v>140</v>
      </c>
      <c r="D48" s="77">
        <f t="shared" si="7"/>
        <v>54.983999999999995</v>
      </c>
      <c r="E48" s="77">
        <f t="shared" si="8"/>
        <v>42.898000000000003</v>
      </c>
      <c r="F48" s="77">
        <f t="shared" si="9"/>
        <v>7.5273199999999996</v>
      </c>
      <c r="G48" s="77">
        <f t="shared" si="12"/>
        <v>0.15460000000000002</v>
      </c>
      <c r="H48" s="77">
        <f t="shared" si="12"/>
        <v>0.42799999999999999</v>
      </c>
      <c r="I48" s="77">
        <f t="shared" si="12"/>
        <v>0.1</v>
      </c>
      <c r="J48" s="77">
        <f t="shared" si="12"/>
        <v>2E-3</v>
      </c>
      <c r="K48" s="77">
        <f t="shared" si="12"/>
        <v>0.01</v>
      </c>
      <c r="L48" s="77">
        <f t="shared" si="12"/>
        <v>0.04</v>
      </c>
      <c r="M48" s="77">
        <f t="shared" si="12"/>
        <v>0.04</v>
      </c>
      <c r="N48" s="77">
        <f t="shared" si="12"/>
        <v>0</v>
      </c>
      <c r="O48" s="77">
        <f t="shared" si="12"/>
        <v>0</v>
      </c>
      <c r="P48" s="77">
        <f t="shared" si="12"/>
        <v>259.60000000000002</v>
      </c>
      <c r="Q48" s="77">
        <f t="shared" si="10"/>
        <v>221.5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200</v>
      </c>
      <c r="C49" s="77">
        <f t="shared" si="6"/>
        <v>140</v>
      </c>
      <c r="D49" s="77">
        <f t="shared" si="7"/>
        <v>54.983999999999995</v>
      </c>
      <c r="E49" s="77">
        <f t="shared" si="8"/>
        <v>42.898000000000003</v>
      </c>
      <c r="F49" s="77">
        <f t="shared" si="9"/>
        <v>7.5273199999999996</v>
      </c>
      <c r="G49" s="77">
        <f t="shared" si="12"/>
        <v>0.15460000000000002</v>
      </c>
      <c r="H49" s="77">
        <f t="shared" si="12"/>
        <v>0.42799999999999999</v>
      </c>
      <c r="I49" s="77">
        <f t="shared" si="12"/>
        <v>0.1</v>
      </c>
      <c r="J49" s="77">
        <f t="shared" si="12"/>
        <v>2E-3</v>
      </c>
      <c r="K49" s="77">
        <f t="shared" si="12"/>
        <v>0.01</v>
      </c>
      <c r="L49" s="77">
        <f t="shared" si="12"/>
        <v>0.04</v>
      </c>
      <c r="M49" s="77">
        <f t="shared" si="12"/>
        <v>0.04</v>
      </c>
      <c r="N49" s="77">
        <f t="shared" si="12"/>
        <v>0</v>
      </c>
      <c r="O49" s="77">
        <f t="shared" si="12"/>
        <v>0</v>
      </c>
      <c r="P49" s="77">
        <f t="shared" si="12"/>
        <v>259.60000000000002</v>
      </c>
      <c r="Q49" s="77">
        <f t="shared" si="10"/>
        <v>221.5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200</v>
      </c>
      <c r="C50" s="98">
        <f t="shared" si="6"/>
        <v>140</v>
      </c>
      <c r="D50" s="98">
        <f t="shared" si="7"/>
        <v>54.983999999999995</v>
      </c>
      <c r="E50" s="98">
        <f t="shared" si="8"/>
        <v>42.898000000000003</v>
      </c>
      <c r="F50" s="98">
        <f t="shared" si="9"/>
        <v>7.5273199999999996</v>
      </c>
      <c r="G50" s="98">
        <f t="shared" si="12"/>
        <v>0.15460000000000002</v>
      </c>
      <c r="H50" s="98">
        <f t="shared" si="12"/>
        <v>0.42799999999999999</v>
      </c>
      <c r="I50" s="98">
        <f t="shared" si="12"/>
        <v>0.1</v>
      </c>
      <c r="J50" s="98">
        <f t="shared" si="12"/>
        <v>2E-3</v>
      </c>
      <c r="K50" s="98">
        <f t="shared" si="12"/>
        <v>0.01</v>
      </c>
      <c r="L50" s="98">
        <f t="shared" si="12"/>
        <v>0.04</v>
      </c>
      <c r="M50" s="98">
        <f t="shared" si="12"/>
        <v>0.04</v>
      </c>
      <c r="N50" s="98">
        <f t="shared" si="12"/>
        <v>0</v>
      </c>
      <c r="O50" s="98">
        <f t="shared" si="12"/>
        <v>0</v>
      </c>
      <c r="P50" s="98">
        <f t="shared" si="12"/>
        <v>259.60000000000002</v>
      </c>
      <c r="Q50" s="98">
        <f t="shared" si="10"/>
        <v>221.5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Arable</v>
      </c>
      <c r="K58" s="13" t="str">
        <f>L16&amp;" I "&amp;(VLOOKUP(L14,Table2456[],6,FALSE))</f>
        <v>Medium/Clay I Arable</v>
      </c>
      <c r="L58" s="13" t="str">
        <f>M16&amp;" I "&amp;(VLOOKUP(M14,Table2456[],6,FALSE))</f>
        <v>Medium/Clay I Arable</v>
      </c>
      <c r="M58" s="13" t="str">
        <f>N16&amp;" I "&amp;(VLOOKUP(N14,Table2456[],6,FALSE))</f>
        <v>Medium/Clay I Arable</v>
      </c>
      <c r="N58" s="13" t="str">
        <f>O16&amp;" I "&amp;(VLOOKUP(O14,Table2456[],6,FALSE))</f>
        <v>Medium/Clay I Arable</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6.7</v>
      </c>
      <c r="H59" s="76">
        <f>VLOOKUP(I$14,Table2456[],5,FALSE)</f>
        <v>6.7</v>
      </c>
      <c r="I59" s="76">
        <f>VLOOKUP(J$14,Table2456[],5,FALSE)</f>
        <v>6.7</v>
      </c>
      <c r="J59" s="76">
        <f>VLOOKUP(K$14,Table2456[],5,FALSE)</f>
        <v>6.7</v>
      </c>
      <c r="K59" s="76">
        <f>VLOOKUP(L$14,Table2456[],5,FALSE)</f>
        <v>6.7</v>
      </c>
      <c r="L59" s="76">
        <f>VLOOKUP(M$14,Table2456[],5,FALSE)</f>
        <v>6.7</v>
      </c>
      <c r="M59" s="76">
        <f>VLOOKUP(N$14,Table2456[],5,FALSE)</f>
        <v>6.7</v>
      </c>
      <c r="N59" s="76">
        <f>VLOOKUP(O$14,Table2456[],5,FALSE)</f>
        <v>6.7</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x14ac:dyDescent="0.2">
      <c r="A60" s="111" t="s">
        <v>4</v>
      </c>
      <c r="B60" s="76">
        <f>C10</f>
        <v>6.5</v>
      </c>
      <c r="C60" s="76">
        <f t="shared" ref="C60:U60" si="14">D10</f>
        <v>7.4</v>
      </c>
      <c r="D60" s="76">
        <f t="shared" si="14"/>
        <v>6.2</v>
      </c>
      <c r="E60" s="76">
        <f t="shared" si="14"/>
        <v>5.8</v>
      </c>
      <c r="F60" s="76">
        <f t="shared" si="14"/>
        <v>5.6</v>
      </c>
      <c r="G60" s="76">
        <f t="shared" si="14"/>
        <v>6.4</v>
      </c>
      <c r="H60" s="76">
        <f t="shared" si="14"/>
        <v>5.9</v>
      </c>
      <c r="I60" s="76">
        <f t="shared" si="14"/>
        <v>6.4</v>
      </c>
      <c r="J60" s="76">
        <f t="shared" si="14"/>
        <v>6.1</v>
      </c>
      <c r="K60" s="76">
        <f t="shared" si="14"/>
        <v>6.1</v>
      </c>
      <c r="L60" s="76">
        <f t="shared" si="14"/>
        <v>5.6</v>
      </c>
      <c r="M60" s="76">
        <f t="shared" si="14"/>
        <v>5.8</v>
      </c>
      <c r="N60" s="76">
        <f t="shared" si="14"/>
        <v>6.3</v>
      </c>
      <c r="O60" s="76">
        <f t="shared" si="14"/>
        <v>6.3</v>
      </c>
      <c r="P60" s="76">
        <f t="shared" si="14"/>
        <v>6</v>
      </c>
      <c r="Q60" s="76">
        <f t="shared" si="14"/>
        <v>6</v>
      </c>
      <c r="R60" s="76">
        <f t="shared" si="14"/>
        <v>6.4</v>
      </c>
      <c r="S60" s="76">
        <f t="shared" si="14"/>
        <v>6.2</v>
      </c>
      <c r="T60" s="76">
        <f t="shared" si="14"/>
        <v>6.1</v>
      </c>
      <c r="U60" s="76">
        <f t="shared" si="14"/>
        <v>5.6</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8</v>
      </c>
      <c r="H61" s="76">
        <f t="shared" si="15"/>
        <v>8</v>
      </c>
      <c r="I61" s="76">
        <f t="shared" si="15"/>
        <v>8</v>
      </c>
      <c r="J61" s="76">
        <f t="shared" si="15"/>
        <v>8</v>
      </c>
      <c r="K61" s="76">
        <f t="shared" si="15"/>
        <v>8</v>
      </c>
      <c r="L61" s="76">
        <f t="shared" si="15"/>
        <v>8</v>
      </c>
      <c r="M61" s="76">
        <f t="shared" si="15"/>
        <v>8</v>
      </c>
      <c r="N61" s="76">
        <f t="shared" si="15"/>
        <v>8</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200</v>
      </c>
      <c r="C62" s="77">
        <f>B32</f>
        <v>200</v>
      </c>
      <c r="D62" s="77">
        <f>B33</f>
        <v>200</v>
      </c>
      <c r="E62" s="77">
        <f>B34</f>
        <v>0</v>
      </c>
      <c r="F62" s="77">
        <f>B35</f>
        <v>200</v>
      </c>
      <c r="G62" s="77">
        <f>B36</f>
        <v>200</v>
      </c>
      <c r="H62" s="77">
        <f>B37</f>
        <v>200</v>
      </c>
      <c r="I62" s="77">
        <f>B38</f>
        <v>200</v>
      </c>
      <c r="J62" s="77">
        <f>B39</f>
        <v>200</v>
      </c>
      <c r="K62" s="77">
        <f>B40</f>
        <v>200</v>
      </c>
      <c r="L62" s="77">
        <f>B41</f>
        <v>165</v>
      </c>
      <c r="M62" s="77">
        <f>B42</f>
        <v>165</v>
      </c>
      <c r="N62" s="77">
        <f>B43</f>
        <v>165</v>
      </c>
      <c r="O62" s="77">
        <f>B44</f>
        <v>200</v>
      </c>
      <c r="P62" s="77">
        <f>B45</f>
        <v>200</v>
      </c>
      <c r="Q62" s="77">
        <f>B46</f>
        <v>200</v>
      </c>
      <c r="R62" s="77">
        <f>B47</f>
        <v>200</v>
      </c>
      <c r="S62" s="77">
        <f>B48</f>
        <v>200</v>
      </c>
      <c r="T62" s="77">
        <f>B49</f>
        <v>200</v>
      </c>
      <c r="U62" s="77">
        <f>B50</f>
        <v>200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-1.7999999999999989</v>
      </c>
      <c r="C64" s="77">
        <f t="shared" ref="C64:U64" si="17">(C59-C60)*C61</f>
        <v>-7.2000000000000011</v>
      </c>
      <c r="D64" s="77">
        <f t="shared" si="17"/>
        <v>0</v>
      </c>
      <c r="E64" s="77">
        <f t="shared" si="17"/>
        <v>2.4000000000000021</v>
      </c>
      <c r="F64" s="77">
        <f t="shared" si="17"/>
        <v>3.6000000000000032</v>
      </c>
      <c r="G64" s="77">
        <f t="shared" si="17"/>
        <v>2.3999999999999986</v>
      </c>
      <c r="H64" s="77">
        <f t="shared" si="17"/>
        <v>6.3999999999999986</v>
      </c>
      <c r="I64" s="77">
        <f t="shared" si="17"/>
        <v>2.3999999999999986</v>
      </c>
      <c r="J64" s="77">
        <f t="shared" si="17"/>
        <v>4.8000000000000043</v>
      </c>
      <c r="K64" s="77">
        <f t="shared" si="17"/>
        <v>4.8000000000000043</v>
      </c>
      <c r="L64" s="77">
        <f t="shared" si="17"/>
        <v>8.8000000000000043</v>
      </c>
      <c r="M64" s="77">
        <f t="shared" si="17"/>
        <v>7.2000000000000028</v>
      </c>
      <c r="N64" s="77">
        <f t="shared" si="17"/>
        <v>3.2000000000000028</v>
      </c>
      <c r="O64" s="77">
        <f t="shared" si="17"/>
        <v>-0.59999999999999787</v>
      </c>
      <c r="P64" s="77">
        <f t="shared" si="17"/>
        <v>1.2000000000000011</v>
      </c>
      <c r="Q64" s="77">
        <f t="shared" si="17"/>
        <v>1.2000000000000011</v>
      </c>
      <c r="R64" s="77">
        <f t="shared" si="17"/>
        <v>-1.2000000000000011</v>
      </c>
      <c r="S64" s="77">
        <f t="shared" si="17"/>
        <v>0</v>
      </c>
      <c r="T64" s="77">
        <f t="shared" si="17"/>
        <v>0.6000000000000032</v>
      </c>
      <c r="U64" s="77">
        <f t="shared" si="17"/>
        <v>3.6000000000000032</v>
      </c>
    </row>
    <row r="65" spans="1:21" s="19" customFormat="1" ht="51" x14ac:dyDescent="0.2">
      <c r="A65" s="112" t="s">
        <v>157</v>
      </c>
      <c r="B65" s="77">
        <f>B63-B64</f>
        <v>1.7999999999999989</v>
      </c>
      <c r="C65" s="77">
        <f t="shared" ref="C65:U65" si="18">C63-C64</f>
        <v>7.2000000000000011</v>
      </c>
      <c r="D65" s="77">
        <f t="shared" si="18"/>
        <v>0</v>
      </c>
      <c r="E65" s="77">
        <f t="shared" si="18"/>
        <v>-2.4000000000000021</v>
      </c>
      <c r="F65" s="77">
        <f t="shared" si="18"/>
        <v>-3.6000000000000032</v>
      </c>
      <c r="G65" s="77">
        <f t="shared" si="18"/>
        <v>-2.3999999999999986</v>
      </c>
      <c r="H65" s="77">
        <f t="shared" si="18"/>
        <v>-6.3999999999999986</v>
      </c>
      <c r="I65" s="77">
        <f t="shared" si="18"/>
        <v>-2.3999999999999986</v>
      </c>
      <c r="J65" s="77">
        <f t="shared" si="18"/>
        <v>-4.8000000000000043</v>
      </c>
      <c r="K65" s="77">
        <f t="shared" si="18"/>
        <v>-4.8000000000000043</v>
      </c>
      <c r="L65" s="77">
        <f t="shared" si="18"/>
        <v>-8.8000000000000043</v>
      </c>
      <c r="M65" s="77">
        <f t="shared" si="18"/>
        <v>-7.2000000000000028</v>
      </c>
      <c r="N65" s="77">
        <f t="shared" si="18"/>
        <v>-3.2000000000000028</v>
      </c>
      <c r="O65" s="77">
        <f t="shared" si="18"/>
        <v>0.59999999999999787</v>
      </c>
      <c r="P65" s="77">
        <f t="shared" si="18"/>
        <v>-1.2000000000000011</v>
      </c>
      <c r="Q65" s="77">
        <f t="shared" si="18"/>
        <v>-1.2000000000000011</v>
      </c>
      <c r="R65" s="77">
        <f t="shared" si="18"/>
        <v>1.2000000000000011</v>
      </c>
      <c r="S65" s="77">
        <f t="shared" si="18"/>
        <v>0</v>
      </c>
      <c r="T65" s="77">
        <f t="shared" si="18"/>
        <v>-0.6000000000000032</v>
      </c>
      <c r="U65" s="77">
        <f t="shared" si="18"/>
        <v>-3.6000000000000032</v>
      </c>
    </row>
    <row r="66" spans="1:21" s="19" customFormat="1" ht="38.25" x14ac:dyDescent="0.2">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UNDER</v>
      </c>
      <c r="R66" s="78" t="str">
        <f t="shared" si="19"/>
        <v>OVER</v>
      </c>
      <c r="S66" s="78" t="str">
        <f t="shared" si="19"/>
        <v>OVER</v>
      </c>
      <c r="T66" s="78" t="str">
        <f t="shared" si="19"/>
        <v>UNDER</v>
      </c>
      <c r="U66" s="78" t="str">
        <f t="shared" si="19"/>
        <v>UNDER</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Beechdean!B29</f>
        <v>Application Rate</v>
      </c>
      <c r="C1" s="38" t="str">
        <f>Beechdean!C29</f>
        <v>Nitrogen Addition</v>
      </c>
      <c r="D1" s="38" t="str">
        <f>Beechdean!D29</f>
        <v>Phosphate Addition</v>
      </c>
      <c r="E1" s="38" t="str">
        <f>Beechdean!E29</f>
        <v>Potash  Addition</v>
      </c>
      <c r="F1" s="38" t="str">
        <f>Beechdean!F29</f>
        <v>Mg Oxide Addition</v>
      </c>
      <c r="G1" s="38" t="str">
        <f>Beechdean!G29</f>
        <v>Copper Addition</v>
      </c>
      <c r="H1" s="38" t="str">
        <f>Beechdean!H29</f>
        <v>Zinc Addition</v>
      </c>
      <c r="I1" s="38" t="str">
        <f>Beechdean!I29</f>
        <v>Lead Addition</v>
      </c>
      <c r="J1" s="38" t="str">
        <f>Beechdean!J29</f>
        <v>Cadmium Addition</v>
      </c>
      <c r="K1" s="38" t="str">
        <f>Beechdean!K29</f>
        <v>Mercury Addition</v>
      </c>
      <c r="L1" s="38" t="str">
        <f>Beechdean!L29</f>
        <v>Nickel Addition</v>
      </c>
      <c r="M1" s="38" t="str">
        <f>Beechdean!M29</f>
        <v>Chromium Addition</v>
      </c>
      <c r="N1" s="38" t="str">
        <f>Beechdean!N29</f>
        <v>Aluminium Addition</v>
      </c>
      <c r="O1" s="38" t="str">
        <f>Beechdean!O29</f>
        <v>Iron Addition</v>
      </c>
      <c r="P1" s="38" t="str">
        <f>Beechdean!P29</f>
        <v xml:space="preserve">Sodium Addition                 </v>
      </c>
      <c r="Q1" s="38" t="str">
        <f>Beechdean!Q29</f>
        <v>SO3  Addition                             kg/ha</v>
      </c>
      <c r="R1" s="38" t="str">
        <f>Beechdean!R29</f>
        <v xml:space="preserve">Selenium Addition </v>
      </c>
      <c r="S1" s="38" t="str">
        <f>Beechdean!S29</f>
        <v xml:space="preserve">Arsenic  Addition  </v>
      </c>
      <c r="T1" s="38" t="str">
        <f>Beechdean!T29</f>
        <v xml:space="preserve">Molybdenum Addition  </v>
      </c>
      <c r="U1" s="38" t="str">
        <f>Beechdean!U29</f>
        <v xml:space="preserve">Fluoride Addition </v>
      </c>
    </row>
    <row r="2" spans="1:21" ht="25.5" x14ac:dyDescent="0.2">
      <c r="A2" s="144"/>
      <c r="B2" s="38" t="str">
        <f>Beechdean!B30</f>
        <v>tonnes/ha</v>
      </c>
      <c r="C2" s="38" t="str">
        <f>Beechdean!C30</f>
        <v>kg/ha</v>
      </c>
      <c r="D2" s="38" t="str">
        <f>Beechdean!D30</f>
        <v>P2O5 
kg/ha</v>
      </c>
      <c r="E2" s="38" t="str">
        <f>Beechdean!E30</f>
        <v>K2O 
kg/ha</v>
      </c>
      <c r="F2" s="38" t="str">
        <f>Beechdean!F30</f>
        <v>MgO 
kg/ha</v>
      </c>
      <c r="G2" s="38" t="str">
        <f>Beechdean!G30</f>
        <v>kg/ha</v>
      </c>
      <c r="H2" s="38" t="str">
        <f>Beechdean!H30</f>
        <v>kg/ha</v>
      </c>
      <c r="I2" s="38" t="str">
        <f>Beechdean!I30</f>
        <v>kg/ha</v>
      </c>
      <c r="J2" s="38" t="str">
        <f>Beechdean!J30</f>
        <v>kg/ha</v>
      </c>
      <c r="K2" s="38" t="str">
        <f>Beechdean!K30</f>
        <v>kg/ha</v>
      </c>
      <c r="L2" s="38" t="str">
        <f>Beechdean!L30</f>
        <v>kg/ha</v>
      </c>
      <c r="M2" s="38" t="str">
        <f>Beechdean!M30</f>
        <v>kg/ha</v>
      </c>
      <c r="N2" s="38" t="str">
        <f>Beechdean!N30</f>
        <v>kg/ha</v>
      </c>
      <c r="O2" s="38" t="str">
        <f>Beechdean!O30</f>
        <v>kg/ha</v>
      </c>
      <c r="P2" s="38" t="str">
        <f>Beechdean!P30</f>
        <v>kg/ha</v>
      </c>
      <c r="Q2" s="38" t="str">
        <f>Beechdean!Q30</f>
        <v>kg/ha</v>
      </c>
      <c r="R2" s="38" t="str">
        <f>Beechdean!R30</f>
        <v>kg/ha</v>
      </c>
      <c r="S2" s="38" t="str">
        <f>Beechdean!S30</f>
        <v>kg/ha</v>
      </c>
      <c r="T2" s="38" t="str">
        <f>Beechdean!T30</f>
        <v>kg/ha</v>
      </c>
      <c r="U2" s="38" t="str">
        <f>Beechdean!U30</f>
        <v>kg/ha</v>
      </c>
    </row>
    <row r="3" spans="1:21" x14ac:dyDescent="0.2">
      <c r="A3" s="36">
        <v>1</v>
      </c>
      <c r="B3" s="33">
        <f>Beechdean!B31</f>
        <v>245</v>
      </c>
      <c r="C3" s="33">
        <f>Beechdean!C31</f>
        <v>147</v>
      </c>
      <c r="D3" s="33">
        <f>Beechdean!D31</f>
        <v>55.455945999999997</v>
      </c>
      <c r="E3" s="33">
        <f>Beechdean!E31</f>
        <v>49.893025000000002</v>
      </c>
      <c r="F3" s="33">
        <f>Beechdean!F31</f>
        <v>10.398975999999999</v>
      </c>
      <c r="G3" s="33">
        <f>Beechdean!G31</f>
        <v>5.4144999999999999E-2</v>
      </c>
      <c r="H3" s="33">
        <f>Beechdean!H31</f>
        <v>0.245</v>
      </c>
      <c r="I3" s="33">
        <f>Beechdean!I31</f>
        <v>0.1225</v>
      </c>
      <c r="J3" s="33">
        <f>Beechdean!J31</f>
        <v>2.4500000000000004E-3</v>
      </c>
      <c r="K3" s="33">
        <f>Beechdean!K31</f>
        <v>1.225E-2</v>
      </c>
      <c r="L3" s="33">
        <f>Beechdean!L31</f>
        <v>4.9000000000000002E-2</v>
      </c>
      <c r="M3" s="33">
        <f>Beechdean!M31</f>
        <v>4.9000000000000002E-2</v>
      </c>
      <c r="N3" s="33">
        <f>Beechdean!N31</f>
        <v>0</v>
      </c>
      <c r="O3" s="33">
        <f>Beechdean!O31</f>
        <v>0</v>
      </c>
      <c r="P3" s="33">
        <f>Beechdean!P31</f>
        <v>82.565000000000012</v>
      </c>
      <c r="Q3" s="33">
        <f>Beechdean!Q31</f>
        <v>47.713750000000005</v>
      </c>
      <c r="R3" s="33">
        <f>Beechdean!R31</f>
        <v>0</v>
      </c>
      <c r="S3" s="33">
        <f>Beechdean!S31</f>
        <v>0</v>
      </c>
      <c r="T3" s="33">
        <f>Beechdean!T31</f>
        <v>0</v>
      </c>
      <c r="U3" s="33">
        <f>Beechdean!U31</f>
        <v>0</v>
      </c>
    </row>
    <row r="4" spans="1:21" x14ac:dyDescent="0.2">
      <c r="A4" s="36">
        <v>2</v>
      </c>
      <c r="B4" s="33">
        <f>'Croda Goole'!B31</f>
        <v>45</v>
      </c>
      <c r="C4" s="33">
        <f>'Croda Goole'!C31</f>
        <v>99.000000000000014</v>
      </c>
      <c r="D4" s="33">
        <f>'Croda Goole'!D31</f>
        <v>54.227969999999999</v>
      </c>
      <c r="E4" s="33">
        <f>'Croda Goole'!E31</f>
        <v>11.604149999999999</v>
      </c>
      <c r="F4" s="33">
        <f>'Croda Goole'!F31</f>
        <v>6.8641199999999989</v>
      </c>
      <c r="G4" s="33">
        <f>'Croda Goole'!G31</f>
        <v>4.41E-2</v>
      </c>
      <c r="H4" s="33">
        <f>'Croda Goole'!H31</f>
        <v>0.4995</v>
      </c>
      <c r="I4" s="33">
        <f>'Croda Goole'!I31</f>
        <v>2.2499999999999999E-2</v>
      </c>
      <c r="J4" s="33">
        <f>'Croda Goole'!J31</f>
        <v>4.5000000000000004E-4</v>
      </c>
      <c r="K4" s="33">
        <f>'Croda Goole'!K31</f>
        <v>2.2500000000000003E-3</v>
      </c>
      <c r="L4" s="33">
        <f>'Croda Goole'!L31</f>
        <v>2.9385000000000001E-2</v>
      </c>
      <c r="M4" s="33">
        <f>'Croda Goole'!M31</f>
        <v>0.22995000000000004</v>
      </c>
      <c r="N4" s="33">
        <f>'Croda Goole'!N31</f>
        <v>0</v>
      </c>
      <c r="O4" s="33">
        <f>'Croda Goole'!O31</f>
        <v>0</v>
      </c>
      <c r="P4" s="33">
        <f>'Croda Goole'!P31</f>
        <v>196.785</v>
      </c>
      <c r="Q4" s="33">
        <f>'Croda Goole'!Q31</f>
        <v>491.96249999999998</v>
      </c>
      <c r="R4" s="33">
        <f>'Croda Goole'!R31</f>
        <v>0</v>
      </c>
      <c r="S4" s="33">
        <f>'Croda Goole'!S31</f>
        <v>0</v>
      </c>
      <c r="T4" s="33">
        <f>'Croda Goole'!T31</f>
        <v>0</v>
      </c>
      <c r="U4" s="33">
        <f>'Croda Goole'!U31</f>
        <v>0</v>
      </c>
    </row>
    <row r="5" spans="1:21" x14ac:dyDescent="0.2">
      <c r="A5" s="36">
        <v>3</v>
      </c>
      <c r="B5" s="33">
        <f>'Croda Widnes'!B31</f>
        <v>35</v>
      </c>
      <c r="C5" s="33">
        <f>'Croda Widnes'!C31</f>
        <v>125.99999999999999</v>
      </c>
      <c r="D5" s="33">
        <f>'Croda Widnes'!D31</f>
        <v>54.605984999999997</v>
      </c>
      <c r="E5" s="33">
        <f>'Croda Widnes'!E31</f>
        <v>11.598125000000001</v>
      </c>
      <c r="F5" s="33">
        <f>'Croda Widnes'!F31</f>
        <v>12.302359999999998</v>
      </c>
      <c r="G5" s="33">
        <f>'Croda Widnes'!G31</f>
        <v>6.93E-2</v>
      </c>
      <c r="H5" s="33">
        <f>'Croda Widnes'!H31</f>
        <v>0.39200000000000002</v>
      </c>
      <c r="I5" s="33">
        <f>'Croda Widnes'!I31</f>
        <v>1.7500000000000002E-2</v>
      </c>
      <c r="J5" s="33">
        <f>'Croda Widnes'!J31</f>
        <v>5.5999999999999995E-4</v>
      </c>
      <c r="K5" s="33">
        <f>'Croda Widnes'!K31</f>
        <v>1.75E-3</v>
      </c>
      <c r="L5" s="33">
        <f>'Croda Widnes'!L31</f>
        <v>1.1130000000000001E-2</v>
      </c>
      <c r="M5" s="33">
        <f>'Croda Widnes'!M31</f>
        <v>1.8655000000000001E-2</v>
      </c>
      <c r="N5" s="33">
        <f>'Croda Widnes'!N31</f>
        <v>0</v>
      </c>
      <c r="O5" s="33">
        <f>'Croda Widnes'!O31</f>
        <v>0</v>
      </c>
      <c r="P5" s="33">
        <f>'Croda Widnes'!P31</f>
        <v>14.525000000000002</v>
      </c>
      <c r="Q5" s="33">
        <f>'Croda Widnes'!Q31</f>
        <v>62.212499999999991</v>
      </c>
      <c r="R5" s="33">
        <f>'Croda Widnes'!R31</f>
        <v>0</v>
      </c>
      <c r="S5" s="33">
        <f>'Croda Widnes'!S31</f>
        <v>0</v>
      </c>
      <c r="T5" s="33">
        <f>'Croda Widnes'!T31</f>
        <v>0</v>
      </c>
      <c r="U5" s="33">
        <f>'Croda Widnes'!U31</f>
        <v>0</v>
      </c>
    </row>
    <row r="6" spans="1:21" x14ac:dyDescent="0.2">
      <c r="A6" s="36">
        <v>4</v>
      </c>
      <c r="B6" s="33">
        <f>D.Wise!B31</f>
        <v>0</v>
      </c>
      <c r="C6" s="33">
        <f>D.Wise!C31</f>
        <v>0</v>
      </c>
      <c r="D6" s="33">
        <f>D.Wise!D31</f>
        <v>0</v>
      </c>
      <c r="E6" s="33">
        <f>D.Wise!E31</f>
        <v>0</v>
      </c>
      <c r="F6" s="33">
        <f>D.Wise!F31</f>
        <v>0</v>
      </c>
      <c r="G6" s="33">
        <f>D.Wise!G31</f>
        <v>0</v>
      </c>
      <c r="H6" s="33">
        <f>D.Wise!H31</f>
        <v>0</v>
      </c>
      <c r="I6" s="33">
        <f>D.Wise!I31</f>
        <v>0</v>
      </c>
      <c r="J6" s="33">
        <f>D.Wise!J31</f>
        <v>0</v>
      </c>
      <c r="K6" s="33">
        <f>D.Wise!K31</f>
        <v>0</v>
      </c>
      <c r="L6" s="33">
        <f>D.Wise!L31</f>
        <v>0</v>
      </c>
      <c r="M6" s="33">
        <f>D.Wise!M31</f>
        <v>0</v>
      </c>
      <c r="N6" s="33">
        <f>D.Wise!N31</f>
        <v>0</v>
      </c>
      <c r="O6" s="33">
        <f>D.Wise!O31</f>
        <v>0</v>
      </c>
      <c r="P6" s="33">
        <f>D.Wise!P31</f>
        <v>0</v>
      </c>
      <c r="Q6" s="33">
        <f>D.Wise!Q31</f>
        <v>0</v>
      </c>
      <c r="R6" s="33">
        <f>D.Wise!R31</f>
        <v>0</v>
      </c>
      <c r="S6" s="33">
        <f>D.Wise!S31</f>
        <v>0</v>
      </c>
      <c r="T6" s="33">
        <f>D.Wise!T31</f>
        <v>0</v>
      </c>
      <c r="U6" s="33">
        <f>D.Wise!U31</f>
        <v>0</v>
      </c>
    </row>
    <row r="7" spans="1:21" x14ac:dyDescent="0.2">
      <c r="A7" s="36">
        <v>5</v>
      </c>
      <c r="B7" s="33">
        <f>Encirc!B31</f>
        <v>14</v>
      </c>
      <c r="C7" s="33">
        <f>Encirc!C31</f>
        <v>100.02874</v>
      </c>
      <c r="D7" s="33">
        <f>Encirc!D31</f>
        <v>52.275808900000001</v>
      </c>
      <c r="E7" s="33">
        <f>Encirc!E31</f>
        <v>10.775290750000002</v>
      </c>
      <c r="F7" s="33">
        <f>Encirc!F31</f>
        <v>5.2964909480000006</v>
      </c>
      <c r="G7" s="33">
        <f>Encirc!G31</f>
        <v>3.6631980000000008E-2</v>
      </c>
      <c r="H7" s="33">
        <f>Encirc!H31</f>
        <v>0.41565580000000008</v>
      </c>
      <c r="I7" s="33">
        <f>Encirc!I31</f>
        <v>5.217282000000001E-3</v>
      </c>
      <c r="J7" s="33">
        <f>Encirc!J31</f>
        <v>1.2334000000000002E-4</v>
      </c>
      <c r="K7" s="33">
        <f>Encirc!K31</f>
        <v>1.2334000000000002E-4</v>
      </c>
      <c r="L7" s="33">
        <f>Encirc!L31</f>
        <v>2.6024740000000005E-2</v>
      </c>
      <c r="M7" s="33">
        <f>Encirc!M31</f>
        <v>8.0911040000000004E-2</v>
      </c>
      <c r="N7" s="33">
        <f>Encirc!N31</f>
        <v>0</v>
      </c>
      <c r="O7" s="33">
        <f>Encirc!O31</f>
        <v>0</v>
      </c>
      <c r="P7" s="33">
        <f>Encirc!P31</f>
        <v>12.827360000000002</v>
      </c>
      <c r="Q7" s="33">
        <f>Encirc!Q31</f>
        <v>52.111150000000002</v>
      </c>
      <c r="R7" s="33">
        <f>Encirc!R31</f>
        <v>0</v>
      </c>
      <c r="S7" s="33">
        <f>Encirc!S31</f>
        <v>0</v>
      </c>
      <c r="T7" s="33">
        <f>Encirc!T31</f>
        <v>0</v>
      </c>
      <c r="U7" s="33">
        <f>Encirc!U31</f>
        <v>0</v>
      </c>
    </row>
    <row r="8" spans="1:21" x14ac:dyDescent="0.2">
      <c r="A8" s="36">
        <v>6</v>
      </c>
      <c r="B8" s="33">
        <f>Penderyn!B31</f>
        <v>170</v>
      </c>
      <c r="C8" s="33">
        <f>Penderyn!C31</f>
        <v>68</v>
      </c>
      <c r="D8" s="33">
        <f>Penderyn!D31</f>
        <v>54.525799999999997</v>
      </c>
      <c r="E8" s="33">
        <f>Penderyn!E31</f>
        <v>57.767700000000012</v>
      </c>
      <c r="F8" s="33">
        <f>Penderyn!F31</f>
        <v>9.6959839999999993</v>
      </c>
      <c r="G8" s="33">
        <f>Penderyn!G31</f>
        <v>0.27710000000000001</v>
      </c>
      <c r="H8" s="33">
        <f>Penderyn!H31</f>
        <v>8.5000000000000006E-2</v>
      </c>
      <c r="I8" s="33">
        <f>Penderyn!I31</f>
        <v>8.5000000000000006E-2</v>
      </c>
      <c r="J8" s="33">
        <f>Penderyn!J31</f>
        <v>1.7000000000000001E-3</v>
      </c>
      <c r="K8" s="33">
        <f>Penderyn!K31</f>
        <v>8.5000000000000006E-3</v>
      </c>
      <c r="L8" s="33">
        <f>Penderyn!L31</f>
        <v>3.4000000000000002E-2</v>
      </c>
      <c r="M8" s="33">
        <f>Penderyn!M31</f>
        <v>3.4000000000000002E-2</v>
      </c>
      <c r="N8" s="33">
        <f>Penderyn!N31</f>
        <v>0</v>
      </c>
      <c r="O8" s="33">
        <f>Penderyn!O31</f>
        <v>0</v>
      </c>
      <c r="P8" s="33">
        <f>Penderyn!P31</f>
        <v>150.96</v>
      </c>
      <c r="Q8" s="33">
        <f>Penderyn!Q31</f>
        <v>18.912499999999998</v>
      </c>
      <c r="R8" s="33">
        <f>Penderyn!R31</f>
        <v>0</v>
      </c>
      <c r="S8" s="33">
        <f>Penderyn!S31</f>
        <v>0</v>
      </c>
      <c r="T8" s="33">
        <f>Penderyn!T31</f>
        <v>0</v>
      </c>
      <c r="U8" s="33">
        <f>Penderyn!U31</f>
        <v>0</v>
      </c>
    </row>
    <row r="9" spans="1:21" x14ac:dyDescent="0.2">
      <c r="A9" s="36">
        <v>7</v>
      </c>
      <c r="B9" s="33">
        <f>Kelloggs!B31</f>
        <v>100</v>
      </c>
      <c r="C9" s="33">
        <f>Kelloggs!C31</f>
        <v>190</v>
      </c>
      <c r="D9" s="33">
        <f>Kelloggs!D31</f>
        <v>55.4422</v>
      </c>
      <c r="E9" s="33">
        <f>Kelloggs!E31</f>
        <v>18.436499999999999</v>
      </c>
      <c r="F9" s="33">
        <f>Kelloggs!F31</f>
        <v>4.6424000000000003</v>
      </c>
      <c r="G9" s="33">
        <f>Kelloggs!G31</f>
        <v>0.25</v>
      </c>
      <c r="H9" s="33">
        <f>Kelloggs!H31</f>
        <v>0.187</v>
      </c>
      <c r="I9" s="33">
        <f>Kelloggs!I31</f>
        <v>7.5299999999999992E-2</v>
      </c>
      <c r="J9" s="33">
        <f>Kelloggs!J31</f>
        <v>1E-3</v>
      </c>
      <c r="K9" s="33">
        <f>Kelloggs!K31</f>
        <v>5.0000000000000001E-3</v>
      </c>
      <c r="L9" s="33">
        <f>Kelloggs!L31</f>
        <v>0.02</v>
      </c>
      <c r="M9" s="33">
        <f>Kelloggs!M31</f>
        <v>3.2300000000000002E-2</v>
      </c>
      <c r="N9" s="33">
        <f>Kelloggs!N31</f>
        <v>0</v>
      </c>
      <c r="O9" s="33">
        <f>Kelloggs!O31</f>
        <v>0</v>
      </c>
      <c r="P9" s="33">
        <f>Kelloggs!P31</f>
        <v>16</v>
      </c>
      <c r="Q9" s="33">
        <f>Kelloggs!Q31</f>
        <v>26.75</v>
      </c>
      <c r="R9" s="33">
        <f>Kelloggs!R31</f>
        <v>0</v>
      </c>
      <c r="S9" s="33">
        <f>Kelloggs!S31</f>
        <v>0</v>
      </c>
      <c r="T9" s="33">
        <f>Kelloggs!T31</f>
        <v>0</v>
      </c>
      <c r="U9" s="33">
        <f>Kelloggs!U31</f>
        <v>0</v>
      </c>
    </row>
    <row r="10" spans="1:21" x14ac:dyDescent="0.2">
      <c r="A10" s="36">
        <v>8</v>
      </c>
      <c r="B10" s="33">
        <f>Rowan!B31</f>
        <v>250</v>
      </c>
      <c r="C10" s="33">
        <f>Rowan!C31</f>
        <v>75</v>
      </c>
      <c r="D10" s="33">
        <f>Rowan!D31</f>
        <v>35.224125000000001</v>
      </c>
      <c r="E10" s="33">
        <f>Rowan!E31</f>
        <v>22.533500000000004</v>
      </c>
      <c r="F10" s="33">
        <f>Rowan!F31</f>
        <v>9.9480000000000004</v>
      </c>
      <c r="G10" s="33">
        <f>Rowan!G31</f>
        <v>5.2999999999999999E-2</v>
      </c>
      <c r="H10" s="33">
        <f>Rowan!H31</f>
        <v>0.4425</v>
      </c>
      <c r="I10" s="33">
        <f>Rowan!I31</f>
        <v>0.125</v>
      </c>
      <c r="J10" s="33">
        <f>Rowan!J31</f>
        <v>2.5000000000000001E-3</v>
      </c>
      <c r="K10" s="33">
        <f>Rowan!K31</f>
        <v>1.2500000000000001E-2</v>
      </c>
      <c r="L10" s="33">
        <f>Rowan!L31</f>
        <v>5.7250000000000002E-2</v>
      </c>
      <c r="M10" s="33">
        <f>Rowan!M31</f>
        <v>6.9000000000000006E-2</v>
      </c>
      <c r="N10" s="33">
        <f>Rowan!N31</f>
        <v>0</v>
      </c>
      <c r="O10" s="33">
        <f>Rowan!O31</f>
        <v>0</v>
      </c>
      <c r="P10" s="33">
        <f>Rowan!P31</f>
        <v>71.000000000000014</v>
      </c>
      <c r="Q10" s="33">
        <f>Rowan!Q31</f>
        <v>78.125</v>
      </c>
      <c r="R10" s="33">
        <f>Rowan!R31</f>
        <v>0</v>
      </c>
      <c r="S10" s="33">
        <f>Rowan!S31</f>
        <v>0</v>
      </c>
      <c r="T10" s="33">
        <f>Rowan!T31</f>
        <v>0</v>
      </c>
      <c r="U10" s="33">
        <f>Rowan!U31</f>
        <v>0</v>
      </c>
    </row>
    <row r="11" spans="1:21" x14ac:dyDescent="0.2">
      <c r="A11" s="36">
        <v>9</v>
      </c>
      <c r="B11" s="33">
        <f>Maelor!B31</f>
        <v>32</v>
      </c>
      <c r="C11" s="33">
        <f>Maelor!C31</f>
        <v>118.4</v>
      </c>
      <c r="D11" s="33">
        <f>Maelor!D31</f>
        <v>54.177568000000001</v>
      </c>
      <c r="E11" s="33">
        <f>Maelor!E31</f>
        <v>6.6708800000000013</v>
      </c>
      <c r="F11" s="33">
        <f>Maelor!F31</f>
        <v>12.20288</v>
      </c>
      <c r="G11" s="33">
        <f>Maelor!G31</f>
        <v>0.10368000000000001</v>
      </c>
      <c r="H11" s="33">
        <f>Maelor!H31</f>
        <v>0.52160000000000006</v>
      </c>
      <c r="I11" s="33">
        <f>Maelor!I31</f>
        <v>1.6E-2</v>
      </c>
      <c r="J11" s="33">
        <f>Maelor!J31</f>
        <v>3.2000000000000003E-4</v>
      </c>
      <c r="K11" s="33">
        <f>Maelor!K31</f>
        <v>1.6000000000000001E-3</v>
      </c>
      <c r="L11" s="33">
        <f>Maelor!L31</f>
        <v>2.8128E-2</v>
      </c>
      <c r="M11" s="33">
        <f>Maelor!M31</f>
        <v>2.9664000000000003E-2</v>
      </c>
      <c r="N11" s="33">
        <f>Maelor!N31</f>
        <v>0</v>
      </c>
      <c r="O11" s="33">
        <f>Maelor!O31</f>
        <v>0</v>
      </c>
      <c r="P11" s="33">
        <f>Maelor!P31</f>
        <v>23.52</v>
      </c>
      <c r="Q11" s="33">
        <f>Maelor!Q31</f>
        <v>46.559999999999995</v>
      </c>
      <c r="R11" s="33">
        <f>Maelor!R31</f>
        <v>0</v>
      </c>
      <c r="S11" s="33">
        <f>Maelor!S31</f>
        <v>0</v>
      </c>
      <c r="T11" s="33">
        <f>Maelor!T31</f>
        <v>0</v>
      </c>
      <c r="U11" s="33">
        <f>Maelor!U31</f>
        <v>0</v>
      </c>
    </row>
    <row r="12" spans="1:21" x14ac:dyDescent="0.2">
      <c r="A12" s="36">
        <v>10</v>
      </c>
      <c r="B12" s="33">
        <f>Secanim!B31</f>
        <v>200</v>
      </c>
      <c r="C12" s="33">
        <f>Secanim!C31</f>
        <v>140</v>
      </c>
      <c r="D12" s="33">
        <f>Secanim!D31</f>
        <v>54.983999999999995</v>
      </c>
      <c r="E12" s="33">
        <f>Secanim!E31</f>
        <v>42.898000000000003</v>
      </c>
      <c r="F12" s="33">
        <f>Secanim!F31</f>
        <v>7.5273199999999996</v>
      </c>
      <c r="G12" s="33">
        <f>Secanim!G31</f>
        <v>0.15460000000000002</v>
      </c>
      <c r="H12" s="33">
        <f>Secanim!H31</f>
        <v>0.42799999999999999</v>
      </c>
      <c r="I12" s="33">
        <f>Secanim!I31</f>
        <v>0.1</v>
      </c>
      <c r="J12" s="33">
        <f>Secanim!J31</f>
        <v>2E-3</v>
      </c>
      <c r="K12" s="33">
        <f>Secanim!K31</f>
        <v>0.01</v>
      </c>
      <c r="L12" s="33">
        <f>Secanim!L31</f>
        <v>0.04</v>
      </c>
      <c r="M12" s="33">
        <f>Secanim!M31</f>
        <v>0.04</v>
      </c>
      <c r="N12" s="33">
        <f>Secanim!N31</f>
        <v>0</v>
      </c>
      <c r="O12" s="33">
        <f>Secanim!O31</f>
        <v>0</v>
      </c>
      <c r="P12" s="33">
        <f>Secanim!P31</f>
        <v>259.60000000000002</v>
      </c>
      <c r="Q12" s="33">
        <f>Secanim!Q31</f>
        <v>221.5</v>
      </c>
      <c r="R12" s="33">
        <f>Secanim!R31</f>
        <v>0</v>
      </c>
      <c r="S12" s="33">
        <f>Secanim!S31</f>
        <v>0</v>
      </c>
      <c r="T12" s="33">
        <f>Secanim!T31</f>
        <v>0</v>
      </c>
      <c r="U12" s="33">
        <f>Secanim!U31</f>
        <v>0</v>
      </c>
    </row>
    <row r="13" spans="1:21" s="82" customFormat="1" ht="15.75" x14ac:dyDescent="0.25">
      <c r="A13" s="80" t="s">
        <v>85</v>
      </c>
      <c r="B13" s="81">
        <f>SUM(B3:B12)</f>
        <v>1091</v>
      </c>
      <c r="C13" s="81">
        <f t="shared" ref="C13:U13" si="0">SUM(C3:C12)</f>
        <v>1063.4287399999998</v>
      </c>
      <c r="D13" s="81">
        <f t="shared" si="0"/>
        <v>470.91940290000002</v>
      </c>
      <c r="E13" s="81">
        <f t="shared" si="0"/>
        <v>232.17717075000002</v>
      </c>
      <c r="F13" s="81">
        <f t="shared" si="0"/>
        <v>78.878530947999991</v>
      </c>
      <c r="G13" s="81">
        <f t="shared" si="0"/>
        <v>1.0425569800000001</v>
      </c>
      <c r="H13" s="81">
        <f t="shared" si="0"/>
        <v>3.2162557999999999</v>
      </c>
      <c r="I13" s="81">
        <f t="shared" si="0"/>
        <v>0.56901728200000001</v>
      </c>
      <c r="J13" s="81">
        <f t="shared" si="0"/>
        <v>1.1103340000000001E-2</v>
      </c>
      <c r="K13" s="81">
        <f t="shared" si="0"/>
        <v>5.3973340000000002E-2</v>
      </c>
      <c r="L13" s="81">
        <f t="shared" si="0"/>
        <v>0.29491773999999998</v>
      </c>
      <c r="M13" s="81">
        <f t="shared" si="0"/>
        <v>0.58348004000000009</v>
      </c>
      <c r="N13" s="81">
        <f t="shared" si="0"/>
        <v>0</v>
      </c>
      <c r="O13" s="81">
        <f t="shared" si="0"/>
        <v>0</v>
      </c>
      <c r="P13" s="81">
        <f t="shared" si="0"/>
        <v>827.78236000000004</v>
      </c>
      <c r="Q13" s="81">
        <f t="shared" si="0"/>
        <v>1045.8473999999999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Beechdean!B29</f>
        <v>Application Rate</v>
      </c>
      <c r="D1" s="35" t="str">
        <f>Beechdean!C29</f>
        <v>Nitrogen Addition</v>
      </c>
      <c r="E1" s="35" t="str">
        <f>Beechdean!D29</f>
        <v>Phosphate Addition</v>
      </c>
      <c r="F1" s="35" t="str">
        <f>Beechdean!E29</f>
        <v>Potash  Addition</v>
      </c>
      <c r="G1" s="35" t="str">
        <f>Beechdean!F29</f>
        <v>Mg Oxide Addition</v>
      </c>
      <c r="H1" s="35" t="str">
        <f>Beechdean!G29</f>
        <v>Copper Addition</v>
      </c>
      <c r="I1" s="35" t="str">
        <f>Beechdean!H29</f>
        <v>Zinc Addition</v>
      </c>
      <c r="J1" s="35" t="str">
        <f>Beechdean!I29</f>
        <v>Lead Addition</v>
      </c>
      <c r="K1" s="35" t="str">
        <f>Beechdean!J29</f>
        <v>Cadmium Addition</v>
      </c>
      <c r="L1" s="35" t="str">
        <f>Beechdean!K29</f>
        <v>Mercury Addition</v>
      </c>
      <c r="M1" s="35" t="str">
        <f>Beechdean!L29</f>
        <v>Nickel Addition</v>
      </c>
      <c r="N1" s="35" t="str">
        <f>Beechdean!M29</f>
        <v>Chromium Addition</v>
      </c>
      <c r="O1" s="35" t="str">
        <f>Beechdean!N29</f>
        <v>Aluminium Addition</v>
      </c>
      <c r="P1" s="35" t="str">
        <f>Beechdean!O29</f>
        <v>Iron Addition</v>
      </c>
      <c r="Q1" s="35" t="str">
        <f>Beechdean!P29</f>
        <v xml:space="preserve">Sodium Addition                 </v>
      </c>
      <c r="R1" s="35" t="str">
        <f>Beechdean!Q29</f>
        <v>SO3  Addition                             kg/ha</v>
      </c>
      <c r="S1" s="35" t="str">
        <f>Beechdean!R29</f>
        <v xml:space="preserve">Selenium Addition </v>
      </c>
      <c r="T1" s="35" t="str">
        <f>Beechdean!S29</f>
        <v xml:space="preserve">Arsenic  Addition  </v>
      </c>
      <c r="U1" s="35" t="str">
        <f>Beechdean!T29</f>
        <v xml:space="preserve">Molybdenum Addition  </v>
      </c>
      <c r="V1" s="35" t="str">
        <f>Beechdean!U29</f>
        <v xml:space="preserve">Fluoride Addition </v>
      </c>
    </row>
    <row r="2" spans="1:22" s="83" customFormat="1" ht="25.5" x14ac:dyDescent="0.25">
      <c r="A2" s="145"/>
      <c r="B2" s="32" t="s">
        <v>46</v>
      </c>
      <c r="C2" s="35" t="str">
        <f>Beechdean!B30</f>
        <v>tonnes/ha</v>
      </c>
      <c r="D2" s="35" t="str">
        <f>Beechdean!C30</f>
        <v>kg/ha</v>
      </c>
      <c r="E2" s="35" t="str">
        <f>Beechdean!D30</f>
        <v>P2O5 
kg/ha</v>
      </c>
      <c r="F2" s="35" t="str">
        <f>Beechdean!E30</f>
        <v>K2O 
kg/ha</v>
      </c>
      <c r="G2" s="35" t="str">
        <f>Beechdean!F30</f>
        <v>MgO 
kg/ha</v>
      </c>
      <c r="H2" s="35" t="str">
        <f>Beechdean!G30</f>
        <v>kg/ha</v>
      </c>
      <c r="I2" s="35" t="str">
        <f>Beechdean!H30</f>
        <v>kg/ha</v>
      </c>
      <c r="J2" s="35" t="str">
        <f>Beechdean!I30</f>
        <v>kg/ha</v>
      </c>
      <c r="K2" s="35" t="str">
        <f>Beechdean!J30</f>
        <v>kg/ha</v>
      </c>
      <c r="L2" s="35" t="str">
        <f>Beechdean!K30</f>
        <v>kg/ha</v>
      </c>
      <c r="M2" s="35" t="str">
        <f>Beechdean!L30</f>
        <v>kg/ha</v>
      </c>
      <c r="N2" s="35" t="str">
        <f>Beechdean!M30</f>
        <v>kg/ha</v>
      </c>
      <c r="O2" s="35" t="str">
        <f>Beechdean!N30</f>
        <v>kg/ha</v>
      </c>
      <c r="P2" s="35" t="str">
        <f>Beechdean!O30</f>
        <v>kg/ha</v>
      </c>
      <c r="Q2" s="35" t="str">
        <f>Beechdean!P30</f>
        <v>kg/ha</v>
      </c>
      <c r="R2" s="35" t="str">
        <f>Beechdean!Q30</f>
        <v>kg/ha</v>
      </c>
      <c r="S2" s="35" t="str">
        <f>Beechdean!R30</f>
        <v>kg/ha</v>
      </c>
      <c r="T2" s="35" t="str">
        <f>Beechdean!S30</f>
        <v>kg/ha</v>
      </c>
      <c r="U2" s="35" t="str">
        <f>Beechdean!T30</f>
        <v>kg/ha</v>
      </c>
      <c r="V2" s="35" t="str">
        <f>Beechdean!U30</f>
        <v>kg/ha</v>
      </c>
    </row>
    <row r="3" spans="1:22" x14ac:dyDescent="0.2">
      <c r="A3" s="36">
        <v>1</v>
      </c>
      <c r="B3" s="91"/>
      <c r="C3" s="33">
        <f>Beechdean!B31</f>
        <v>245</v>
      </c>
      <c r="D3" s="33">
        <f>Beechdean!C31</f>
        <v>147</v>
      </c>
      <c r="E3" s="33">
        <f>Beechdean!D31</f>
        <v>55.455945999999997</v>
      </c>
      <c r="F3" s="33">
        <f>Beechdean!E31</f>
        <v>49.893025000000002</v>
      </c>
      <c r="G3" s="33">
        <f>Beechdean!F31</f>
        <v>10.398975999999999</v>
      </c>
      <c r="H3" s="33">
        <f>Beechdean!G31</f>
        <v>5.4144999999999999E-2</v>
      </c>
      <c r="I3" s="33">
        <f>Beechdean!H31</f>
        <v>0.245</v>
      </c>
      <c r="J3" s="33">
        <f>Beechdean!I31</f>
        <v>0.1225</v>
      </c>
      <c r="K3" s="33">
        <f>Beechdean!J31</f>
        <v>2.4500000000000004E-3</v>
      </c>
      <c r="L3" s="33">
        <f>Beechdean!K31</f>
        <v>1.225E-2</v>
      </c>
      <c r="M3" s="33">
        <f>Beechdean!L31</f>
        <v>4.9000000000000002E-2</v>
      </c>
      <c r="N3" s="33">
        <f>Beechdean!M31</f>
        <v>4.9000000000000002E-2</v>
      </c>
      <c r="O3" s="33">
        <f>Beechdean!N31</f>
        <v>0</v>
      </c>
      <c r="P3" s="33">
        <f>Beechdean!O31</f>
        <v>0</v>
      </c>
      <c r="Q3" s="33">
        <f>Beechdean!P31</f>
        <v>82.565000000000012</v>
      </c>
      <c r="R3" s="33">
        <f>Beechdean!Q31</f>
        <v>47.713750000000005</v>
      </c>
      <c r="S3" s="33">
        <f>Beechdean!R31</f>
        <v>0</v>
      </c>
      <c r="T3" s="33">
        <f>Beechdean!S31</f>
        <v>0</v>
      </c>
      <c r="U3" s="33">
        <f>Beechdean!T31</f>
        <v>0</v>
      </c>
      <c r="V3" s="33">
        <f>Beechdean!U31</f>
        <v>0</v>
      </c>
    </row>
    <row r="4" spans="1:22" x14ac:dyDescent="0.2">
      <c r="A4" s="36">
        <v>2</v>
      </c>
      <c r="B4" s="91"/>
      <c r="C4" s="33">
        <f>'Croda Goole'!B31</f>
        <v>45</v>
      </c>
      <c r="D4" s="33">
        <f>'Croda Goole'!C31</f>
        <v>99.000000000000014</v>
      </c>
      <c r="E4" s="33">
        <f>'Croda Goole'!D31</f>
        <v>54.227969999999999</v>
      </c>
      <c r="F4" s="33">
        <f>'Croda Goole'!E31</f>
        <v>11.604149999999999</v>
      </c>
      <c r="G4" s="33">
        <f>'Croda Goole'!F31</f>
        <v>6.8641199999999989</v>
      </c>
      <c r="H4" s="33">
        <f>'Croda Goole'!G31</f>
        <v>4.41E-2</v>
      </c>
      <c r="I4" s="33">
        <f>'Croda Goole'!H31</f>
        <v>0.4995</v>
      </c>
      <c r="J4" s="33">
        <f>'Croda Goole'!I31</f>
        <v>2.2499999999999999E-2</v>
      </c>
      <c r="K4" s="33">
        <f>'Croda Goole'!J31</f>
        <v>4.5000000000000004E-4</v>
      </c>
      <c r="L4" s="33">
        <f>'Croda Goole'!K31</f>
        <v>2.2500000000000003E-3</v>
      </c>
      <c r="M4" s="33">
        <f>'Croda Goole'!L31</f>
        <v>2.9385000000000001E-2</v>
      </c>
      <c r="N4" s="33">
        <f>'Croda Goole'!M31</f>
        <v>0.22995000000000004</v>
      </c>
      <c r="O4" s="33">
        <f>'Croda Goole'!N31</f>
        <v>0</v>
      </c>
      <c r="P4" s="33">
        <f>'Croda Goole'!O31</f>
        <v>0</v>
      </c>
      <c r="Q4" s="33">
        <f>'Croda Goole'!P31</f>
        <v>196.785</v>
      </c>
      <c r="R4" s="33">
        <f>'Croda Goole'!Q31</f>
        <v>491.96249999999998</v>
      </c>
      <c r="S4" s="33">
        <f>'Croda Goole'!R31</f>
        <v>0</v>
      </c>
      <c r="T4" s="33">
        <f>'Croda Goole'!S31</f>
        <v>0</v>
      </c>
      <c r="U4" s="33">
        <f>'Croda Goole'!T31</f>
        <v>0</v>
      </c>
      <c r="V4" s="33">
        <f>'Croda Goole'!U31</f>
        <v>0</v>
      </c>
    </row>
    <row r="5" spans="1:22" x14ac:dyDescent="0.2">
      <c r="A5" s="36">
        <v>3</v>
      </c>
      <c r="B5" s="91"/>
      <c r="C5" s="33">
        <f>'Croda Widnes'!B31</f>
        <v>35</v>
      </c>
      <c r="D5" s="33">
        <f>'Croda Widnes'!C31</f>
        <v>125.99999999999999</v>
      </c>
      <c r="E5" s="33">
        <f>'Croda Widnes'!D31</f>
        <v>54.605984999999997</v>
      </c>
      <c r="F5" s="33">
        <f>'Croda Widnes'!E31</f>
        <v>11.598125000000001</v>
      </c>
      <c r="G5" s="33">
        <f>'Croda Widnes'!F31</f>
        <v>12.302359999999998</v>
      </c>
      <c r="H5" s="33">
        <f>'Croda Widnes'!G31</f>
        <v>6.93E-2</v>
      </c>
      <c r="I5" s="33">
        <f>'Croda Widnes'!H31</f>
        <v>0.39200000000000002</v>
      </c>
      <c r="J5" s="33">
        <f>'Croda Widnes'!I31</f>
        <v>1.7500000000000002E-2</v>
      </c>
      <c r="K5" s="33">
        <f>'Croda Widnes'!J31</f>
        <v>5.5999999999999995E-4</v>
      </c>
      <c r="L5" s="33">
        <f>'Croda Widnes'!K31</f>
        <v>1.75E-3</v>
      </c>
      <c r="M5" s="33">
        <f>'Croda Widnes'!L31</f>
        <v>1.1130000000000001E-2</v>
      </c>
      <c r="N5" s="33">
        <f>'Croda Widnes'!M31</f>
        <v>1.8655000000000001E-2</v>
      </c>
      <c r="O5" s="33">
        <f>'Croda Widnes'!N31</f>
        <v>0</v>
      </c>
      <c r="P5" s="33">
        <f>'Croda Widnes'!O31</f>
        <v>0</v>
      </c>
      <c r="Q5" s="33">
        <f>'Croda Widnes'!P31</f>
        <v>14.525000000000002</v>
      </c>
      <c r="R5" s="33">
        <f>'Croda Widnes'!Q31</f>
        <v>62.212499999999991</v>
      </c>
      <c r="S5" s="33">
        <f>'Croda Widnes'!R31</f>
        <v>0</v>
      </c>
      <c r="T5" s="33">
        <f>'Croda Widnes'!S31</f>
        <v>0</v>
      </c>
      <c r="U5" s="33">
        <f>'Croda Widnes'!T31</f>
        <v>0</v>
      </c>
      <c r="V5" s="33">
        <f>'Croda Widnes'!U31</f>
        <v>0</v>
      </c>
    </row>
    <row r="6" spans="1:22" x14ac:dyDescent="0.2">
      <c r="A6" s="36">
        <v>4</v>
      </c>
      <c r="B6" s="91"/>
      <c r="C6" s="33">
        <f>D.Wise!B31</f>
        <v>0</v>
      </c>
      <c r="D6" s="33">
        <f>D.Wise!C31</f>
        <v>0</v>
      </c>
      <c r="E6" s="33">
        <f>D.Wise!D31</f>
        <v>0</v>
      </c>
      <c r="F6" s="33">
        <f>D.Wise!E31</f>
        <v>0</v>
      </c>
      <c r="G6" s="33">
        <f>D.Wise!F31</f>
        <v>0</v>
      </c>
      <c r="H6" s="33">
        <f>D.Wise!G31</f>
        <v>0</v>
      </c>
      <c r="I6" s="33">
        <f>D.Wise!H31</f>
        <v>0</v>
      </c>
      <c r="J6" s="33">
        <f>D.Wise!I31</f>
        <v>0</v>
      </c>
      <c r="K6" s="33">
        <f>D.Wise!J31</f>
        <v>0</v>
      </c>
      <c r="L6" s="33">
        <f>D.Wise!K31</f>
        <v>0</v>
      </c>
      <c r="M6" s="33">
        <f>D.Wise!L31</f>
        <v>0</v>
      </c>
      <c r="N6" s="33">
        <f>D.Wise!M31</f>
        <v>0</v>
      </c>
      <c r="O6" s="33">
        <f>D.Wise!N31</f>
        <v>0</v>
      </c>
      <c r="P6" s="33">
        <f>D.Wise!O31</f>
        <v>0</v>
      </c>
      <c r="Q6" s="33">
        <f>D.Wise!P31</f>
        <v>0</v>
      </c>
      <c r="R6" s="33">
        <f>D.Wise!Q31</f>
        <v>0</v>
      </c>
      <c r="S6" s="33">
        <f>D.Wise!R31</f>
        <v>0</v>
      </c>
      <c r="T6" s="33">
        <f>D.Wise!S31</f>
        <v>0</v>
      </c>
      <c r="U6" s="33">
        <f>D.Wise!T31</f>
        <v>0</v>
      </c>
      <c r="V6" s="33">
        <f>D.Wise!U31</f>
        <v>0</v>
      </c>
    </row>
    <row r="7" spans="1:22" x14ac:dyDescent="0.2">
      <c r="A7" s="36">
        <v>5</v>
      </c>
      <c r="B7" s="91"/>
      <c r="C7" s="33">
        <f>Encirc!B31</f>
        <v>14</v>
      </c>
      <c r="D7" s="33">
        <f>Encirc!C31</f>
        <v>100.02874</v>
      </c>
      <c r="E7" s="33">
        <f>Encirc!D31</f>
        <v>52.275808900000001</v>
      </c>
      <c r="F7" s="33">
        <f>Encirc!E31</f>
        <v>10.775290750000002</v>
      </c>
      <c r="G7" s="33">
        <f>Encirc!F31</f>
        <v>5.2964909480000006</v>
      </c>
      <c r="H7" s="33">
        <f>Encirc!G31</f>
        <v>3.6631980000000008E-2</v>
      </c>
      <c r="I7" s="33">
        <f>Encirc!H31</f>
        <v>0.41565580000000008</v>
      </c>
      <c r="J7" s="33">
        <f>Encirc!I31</f>
        <v>5.217282000000001E-3</v>
      </c>
      <c r="K7" s="33">
        <f>Encirc!J31</f>
        <v>1.2334000000000002E-4</v>
      </c>
      <c r="L7" s="33">
        <f>Encirc!K31</f>
        <v>1.2334000000000002E-4</v>
      </c>
      <c r="M7" s="33">
        <f>Encirc!L31</f>
        <v>2.6024740000000005E-2</v>
      </c>
      <c r="N7" s="33">
        <f>Encirc!M31</f>
        <v>8.0911040000000004E-2</v>
      </c>
      <c r="O7" s="33">
        <f>Encirc!N31</f>
        <v>0</v>
      </c>
      <c r="P7" s="33">
        <f>Encirc!O31</f>
        <v>0</v>
      </c>
      <c r="Q7" s="33">
        <f>Encirc!P31</f>
        <v>12.827360000000002</v>
      </c>
      <c r="R7" s="33">
        <f>Encirc!Q31</f>
        <v>52.111150000000002</v>
      </c>
      <c r="S7" s="33">
        <f>Encirc!R31</f>
        <v>0</v>
      </c>
      <c r="T7" s="33">
        <f>Encirc!S31</f>
        <v>0</v>
      </c>
      <c r="U7" s="33">
        <f>Encirc!T31</f>
        <v>0</v>
      </c>
      <c r="V7" s="33">
        <f>Encirc!U31</f>
        <v>0</v>
      </c>
    </row>
    <row r="8" spans="1:22" x14ac:dyDescent="0.2">
      <c r="A8" s="36">
        <v>6</v>
      </c>
      <c r="B8" s="91"/>
      <c r="C8" s="33">
        <f>Penderyn!B31</f>
        <v>170</v>
      </c>
      <c r="D8" s="33">
        <f>Penderyn!C31</f>
        <v>68</v>
      </c>
      <c r="E8" s="33">
        <f>Penderyn!D31</f>
        <v>54.525799999999997</v>
      </c>
      <c r="F8" s="33">
        <f>Penderyn!E31</f>
        <v>57.767700000000012</v>
      </c>
      <c r="G8" s="33">
        <f>Penderyn!F31</f>
        <v>9.6959839999999993</v>
      </c>
      <c r="H8" s="33">
        <f>Penderyn!G31</f>
        <v>0.27710000000000001</v>
      </c>
      <c r="I8" s="33">
        <f>Penderyn!H31</f>
        <v>8.5000000000000006E-2</v>
      </c>
      <c r="J8" s="33">
        <f>Penderyn!I31</f>
        <v>8.5000000000000006E-2</v>
      </c>
      <c r="K8" s="33">
        <f>Penderyn!J31</f>
        <v>1.7000000000000001E-3</v>
      </c>
      <c r="L8" s="33">
        <f>Penderyn!K31</f>
        <v>8.5000000000000006E-3</v>
      </c>
      <c r="M8" s="33">
        <f>Penderyn!L31</f>
        <v>3.4000000000000002E-2</v>
      </c>
      <c r="N8" s="33">
        <f>Penderyn!M31</f>
        <v>3.4000000000000002E-2</v>
      </c>
      <c r="O8" s="33">
        <f>Penderyn!N31</f>
        <v>0</v>
      </c>
      <c r="P8" s="33">
        <f>Penderyn!O31</f>
        <v>0</v>
      </c>
      <c r="Q8" s="33">
        <f>Penderyn!P31</f>
        <v>150.96</v>
      </c>
      <c r="R8" s="33">
        <f>Penderyn!Q31</f>
        <v>18.912499999999998</v>
      </c>
      <c r="S8" s="33">
        <f>Penderyn!R31</f>
        <v>0</v>
      </c>
      <c r="T8" s="33">
        <f>Penderyn!S31</f>
        <v>0</v>
      </c>
      <c r="U8" s="33">
        <f>Penderyn!T31</f>
        <v>0</v>
      </c>
      <c r="V8" s="33">
        <f>Penderyn!U31</f>
        <v>0</v>
      </c>
    </row>
    <row r="9" spans="1:22" x14ac:dyDescent="0.2">
      <c r="A9" s="36">
        <v>7</v>
      </c>
      <c r="B9" s="91"/>
      <c r="C9" s="33">
        <f>Kelloggs!B31</f>
        <v>100</v>
      </c>
      <c r="D9" s="33">
        <f>Kelloggs!C31</f>
        <v>190</v>
      </c>
      <c r="E9" s="33">
        <f>Kelloggs!D31</f>
        <v>55.4422</v>
      </c>
      <c r="F9" s="33">
        <f>Kelloggs!E31</f>
        <v>18.436499999999999</v>
      </c>
      <c r="G9" s="33">
        <f>Kelloggs!F31</f>
        <v>4.6424000000000003</v>
      </c>
      <c r="H9" s="33">
        <f>Kelloggs!G31</f>
        <v>0.25</v>
      </c>
      <c r="I9" s="33">
        <f>Kelloggs!H31</f>
        <v>0.187</v>
      </c>
      <c r="J9" s="33">
        <f>Kelloggs!I31</f>
        <v>7.5299999999999992E-2</v>
      </c>
      <c r="K9" s="33">
        <f>Kelloggs!J31</f>
        <v>1E-3</v>
      </c>
      <c r="L9" s="33">
        <f>Kelloggs!K31</f>
        <v>5.0000000000000001E-3</v>
      </c>
      <c r="M9" s="33">
        <f>Kelloggs!L31</f>
        <v>0.02</v>
      </c>
      <c r="N9" s="33">
        <f>Kelloggs!M31</f>
        <v>3.2300000000000002E-2</v>
      </c>
      <c r="O9" s="33">
        <f>Kelloggs!N31</f>
        <v>0</v>
      </c>
      <c r="P9" s="33">
        <f>Kelloggs!O31</f>
        <v>0</v>
      </c>
      <c r="Q9" s="33">
        <f>Kelloggs!P31</f>
        <v>16</v>
      </c>
      <c r="R9" s="33">
        <f>Kelloggs!Q31</f>
        <v>26.75</v>
      </c>
      <c r="S9" s="33">
        <f>Kelloggs!R31</f>
        <v>0</v>
      </c>
      <c r="T9" s="33">
        <f>Kelloggs!S31</f>
        <v>0</v>
      </c>
      <c r="U9" s="33">
        <f>Kelloggs!T31</f>
        <v>0</v>
      </c>
      <c r="V9" s="33">
        <f>Kelloggs!U31</f>
        <v>0</v>
      </c>
    </row>
    <row r="10" spans="1:22" x14ac:dyDescent="0.2">
      <c r="A10" s="36">
        <v>8</v>
      </c>
      <c r="B10" s="91"/>
      <c r="C10" s="33">
        <f>Rowan!B31</f>
        <v>250</v>
      </c>
      <c r="D10" s="33">
        <f>Rowan!C31</f>
        <v>75</v>
      </c>
      <c r="E10" s="33">
        <f>Rowan!D31</f>
        <v>35.224125000000001</v>
      </c>
      <c r="F10" s="33">
        <f>Rowan!E31</f>
        <v>22.533500000000004</v>
      </c>
      <c r="G10" s="33">
        <f>Rowan!F31</f>
        <v>9.9480000000000004</v>
      </c>
      <c r="H10" s="33">
        <f>Rowan!G31</f>
        <v>5.2999999999999999E-2</v>
      </c>
      <c r="I10" s="33">
        <f>Rowan!H31</f>
        <v>0.4425</v>
      </c>
      <c r="J10" s="33">
        <f>Rowan!I31</f>
        <v>0.125</v>
      </c>
      <c r="K10" s="33">
        <f>Rowan!J31</f>
        <v>2.5000000000000001E-3</v>
      </c>
      <c r="L10" s="33">
        <f>Rowan!K31</f>
        <v>1.2500000000000001E-2</v>
      </c>
      <c r="M10" s="33">
        <f>Rowan!L31</f>
        <v>5.7250000000000002E-2</v>
      </c>
      <c r="N10" s="33">
        <f>Rowan!M31</f>
        <v>6.9000000000000006E-2</v>
      </c>
      <c r="O10" s="33">
        <f>Rowan!N31</f>
        <v>0</v>
      </c>
      <c r="P10" s="33">
        <f>Rowan!O31</f>
        <v>0</v>
      </c>
      <c r="Q10" s="33">
        <f>Rowan!P31</f>
        <v>71.000000000000014</v>
      </c>
      <c r="R10" s="33">
        <f>Rowan!Q31</f>
        <v>78.125</v>
      </c>
      <c r="S10" s="33">
        <f>Rowan!R31</f>
        <v>0</v>
      </c>
      <c r="T10" s="33">
        <f>Rowan!S31</f>
        <v>0</v>
      </c>
      <c r="U10" s="33">
        <f>Rowan!T31</f>
        <v>0</v>
      </c>
      <c r="V10" s="33">
        <f>Rowan!U31</f>
        <v>0</v>
      </c>
    </row>
    <row r="11" spans="1:22" x14ac:dyDescent="0.2">
      <c r="A11" s="36">
        <v>9</v>
      </c>
      <c r="B11" s="91"/>
      <c r="C11" s="33">
        <f>Maelor!B31</f>
        <v>32</v>
      </c>
      <c r="D11" s="33">
        <f>Maelor!C31</f>
        <v>118.4</v>
      </c>
      <c r="E11" s="33">
        <f>Maelor!D31</f>
        <v>54.177568000000001</v>
      </c>
      <c r="F11" s="33">
        <f>Maelor!E31</f>
        <v>6.6708800000000013</v>
      </c>
      <c r="G11" s="33">
        <f>Maelor!F31</f>
        <v>12.20288</v>
      </c>
      <c r="H11" s="33">
        <f>Maelor!G31</f>
        <v>0.10368000000000001</v>
      </c>
      <c r="I11" s="33">
        <f>Maelor!H31</f>
        <v>0.52160000000000006</v>
      </c>
      <c r="J11" s="33">
        <f>Maelor!I31</f>
        <v>1.6E-2</v>
      </c>
      <c r="K11" s="33">
        <f>Maelor!J31</f>
        <v>3.2000000000000003E-4</v>
      </c>
      <c r="L11" s="33">
        <f>Maelor!K31</f>
        <v>1.6000000000000001E-3</v>
      </c>
      <c r="M11" s="33">
        <f>Maelor!L31</f>
        <v>2.8128E-2</v>
      </c>
      <c r="N11" s="33">
        <f>Maelor!M31</f>
        <v>2.9664000000000003E-2</v>
      </c>
      <c r="O11" s="33">
        <f>Maelor!N31</f>
        <v>0</v>
      </c>
      <c r="P11" s="33">
        <f>Maelor!O31</f>
        <v>0</v>
      </c>
      <c r="Q11" s="33">
        <f>Maelor!P31</f>
        <v>23.52</v>
      </c>
      <c r="R11" s="33">
        <f>Maelor!Q31</f>
        <v>46.559999999999995</v>
      </c>
      <c r="S11" s="33">
        <f>Maelor!R31</f>
        <v>0</v>
      </c>
      <c r="T11" s="33">
        <f>Maelor!S31</f>
        <v>0</v>
      </c>
      <c r="U11" s="33">
        <f>Maelor!T31</f>
        <v>0</v>
      </c>
      <c r="V11" s="33">
        <f>Maelor!U31</f>
        <v>0</v>
      </c>
    </row>
    <row r="12" spans="1:22" x14ac:dyDescent="0.2">
      <c r="A12" s="36">
        <v>10</v>
      </c>
      <c r="B12" s="91"/>
      <c r="C12" s="33">
        <f>Secanim!B31</f>
        <v>200</v>
      </c>
      <c r="D12" s="33">
        <f>Secanim!C31</f>
        <v>140</v>
      </c>
      <c r="E12" s="33">
        <f>Secanim!D31</f>
        <v>54.983999999999995</v>
      </c>
      <c r="F12" s="33">
        <f>Secanim!E31</f>
        <v>42.898000000000003</v>
      </c>
      <c r="G12" s="33">
        <f>Secanim!F31</f>
        <v>7.5273199999999996</v>
      </c>
      <c r="H12" s="33">
        <f>Secanim!G31</f>
        <v>0.15460000000000002</v>
      </c>
      <c r="I12" s="33">
        <f>Secanim!H31</f>
        <v>0.42799999999999999</v>
      </c>
      <c r="J12" s="33">
        <f>Secanim!I31</f>
        <v>0.1</v>
      </c>
      <c r="K12" s="33">
        <f>Secanim!J31</f>
        <v>2E-3</v>
      </c>
      <c r="L12" s="33">
        <f>Secanim!K31</f>
        <v>0.01</v>
      </c>
      <c r="M12" s="33">
        <f>Secanim!L31</f>
        <v>0.04</v>
      </c>
      <c r="N12" s="33">
        <f>Secanim!M31</f>
        <v>0.04</v>
      </c>
      <c r="O12" s="33">
        <f>Secanim!N31</f>
        <v>0</v>
      </c>
      <c r="P12" s="33">
        <f>Secanim!O31</f>
        <v>0</v>
      </c>
      <c r="Q12" s="33">
        <f>Secanim!P31</f>
        <v>259.60000000000002</v>
      </c>
      <c r="R12" s="33">
        <f>Secanim!Q31</f>
        <v>221.5</v>
      </c>
      <c r="S12" s="33">
        <f>Secanim!R31</f>
        <v>0</v>
      </c>
      <c r="T12" s="33">
        <f>Secanim!S31</f>
        <v>0</v>
      </c>
      <c r="U12" s="33">
        <f>Secanim!T31</f>
        <v>0</v>
      </c>
      <c r="V12" s="33">
        <f>Secanim!U31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Beechdean!B43</f>
        <v>200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Beechdean!B44</f>
        <v>245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245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45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14</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170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32</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200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REGU-204-2745087</_dlc_DocId>
    <_dlc_DocIdUrl xmlns="9be56660-2c31-41ef-bc00-23e72f632f2a">
      <Url>https://cyfoethnaturiolcymru.sharepoint.com/teams/Regulatory/Permitting/_layouts/15/DocIdRedir.aspx?ID=REGU-204-2745087</Url>
      <Description>REGU-204-2745087</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2022-06-06T23:00:00+00:00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12CCD81D-9A5F-46A4-A6A3-60BB74CF7078}"/>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07032145-982E-4C16-A26B-936960226D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Beechdean</vt:lpstr>
      <vt:lpstr>Croda Goole</vt:lpstr>
      <vt:lpstr>Croda Widnes</vt:lpstr>
      <vt:lpstr>D.Wise</vt:lpstr>
      <vt:lpstr>Encirc</vt:lpstr>
      <vt:lpstr>Penderyn</vt:lpstr>
      <vt:lpstr>Kelloggs</vt:lpstr>
      <vt:lpstr>Rowan</vt:lpstr>
      <vt:lpstr>Maelor</vt:lpstr>
      <vt:lpstr>Secanim</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2022-06-01T13:17:57Z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45b1924b-bae1-4166-b99d-cced04727677</vt:lpwstr>
  </property>
</Properties>
</file>