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7904/"/>
    </mc:Choice>
  </mc:AlternateContent>
  <xr:revisionPtr revIDLastSave="0" documentId="13_ncr:1_{BA765B24-9A87-4C78-A1C0-93FC55AD68DB}" xr6:coauthVersionLast="47" xr6:coauthVersionMax="47" xr10:uidLastSave="{00000000-0000-0000-0000-000000000000}"/>
  <bookViews>
    <workbookView xWindow="-28920" yWindow="-120" windowWidth="29040" windowHeight="15840" tabRatio="870" xr2:uid="{00000000-000D-0000-FFFF-FFFF00000000}"/>
  </bookViews>
  <sheets>
    <sheet name="Bontgoch" sheetId="1" r:id="rId1"/>
    <sheet name="Bryngwyn liquid" sheetId="21" r:id="rId2"/>
    <sheet name="Cefn Dryscoed" sheetId="27" r:id="rId3"/>
    <sheet name="Crai" sheetId="28" r:id="rId4"/>
    <sheet name="Elan valley" sheetId="30" r:id="rId5"/>
    <sheet name="Llyswen" sheetId="26" r:id="rId6"/>
    <sheet name="Strata florida" sheetId="24" r:id="rId7"/>
    <sheet name="Talybont" sheetId="29" r:id="rId8"/>
    <sheet name="Whitbourne" sheetId="23" r:id="rId9"/>
    <sheet name="Andigestion"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20" l="1"/>
  <c r="L3" i="22"/>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S22" i="30"/>
  <c r="Q22" i="30"/>
  <c r="K22" i="30"/>
  <c r="V20" i="30"/>
  <c r="U20" i="30"/>
  <c r="T20" i="30"/>
  <c r="S20" i="30"/>
  <c r="R20" i="30"/>
  <c r="Q20" i="30"/>
  <c r="P20" i="30"/>
  <c r="O20" i="30"/>
  <c r="T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S22" i="29"/>
  <c r="Q22" i="29"/>
  <c r="J22" i="29"/>
  <c r="V20" i="29"/>
  <c r="U20" i="29"/>
  <c r="T20" i="29"/>
  <c r="S20" i="29"/>
  <c r="R20" i="29"/>
  <c r="Q20" i="29"/>
  <c r="P20" i="29"/>
  <c r="O20" i="29"/>
  <c r="N20" i="29"/>
  <c r="M20" i="29"/>
  <c r="L20" i="29"/>
  <c r="J20" i="29"/>
  <c r="I20" i="29"/>
  <c r="H20" i="29"/>
  <c r="F20" i="29"/>
  <c r="E20" i="29"/>
  <c r="D20" i="29"/>
  <c r="V18" i="29"/>
  <c r="U18" i="29"/>
  <c r="T18" i="29"/>
  <c r="N18" i="29"/>
  <c r="L18" i="29"/>
  <c r="I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U22" i="28"/>
  <c r="M22" i="28"/>
  <c r="V20" i="28"/>
  <c r="U20" i="28"/>
  <c r="T20" i="28"/>
  <c r="S20" i="28"/>
  <c r="R20" i="28"/>
  <c r="Q20" i="28"/>
  <c r="P20" i="28"/>
  <c r="O20" i="28"/>
  <c r="N20" i="28"/>
  <c r="U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I22" i="27"/>
  <c r="V20" i="27"/>
  <c r="U20" i="27"/>
  <c r="T20" i="27"/>
  <c r="S20" i="27"/>
  <c r="R20" i="27"/>
  <c r="Q20" i="27"/>
  <c r="P20" i="27"/>
  <c r="O20" i="27"/>
  <c r="N20" i="27"/>
  <c r="M20" i="27"/>
  <c r="L20" i="27"/>
  <c r="J20" i="27"/>
  <c r="I20" i="27"/>
  <c r="H20" i="27"/>
  <c r="F20" i="27"/>
  <c r="E20" i="27"/>
  <c r="D20" i="27"/>
  <c r="U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V20" i="26"/>
  <c r="U20" i="26"/>
  <c r="T20" i="26"/>
  <c r="S20" i="26"/>
  <c r="R20" i="26"/>
  <c r="Q20" i="26"/>
  <c r="P20" i="26"/>
  <c r="O20" i="26"/>
  <c r="N20" i="26"/>
  <c r="M20" i="26"/>
  <c r="L20" i="26"/>
  <c r="J20" i="26"/>
  <c r="I20" i="26"/>
  <c r="H20" i="26"/>
  <c r="F20" i="26"/>
  <c r="E20" i="26"/>
  <c r="D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Q22" i="24"/>
  <c r="V20" i="24"/>
  <c r="U20" i="24"/>
  <c r="T20" i="24"/>
  <c r="S20" i="24"/>
  <c r="R20" i="24"/>
  <c r="Q20" i="24"/>
  <c r="P20" i="24"/>
  <c r="O20" i="24"/>
  <c r="N20" i="24"/>
  <c r="M20" i="24"/>
  <c r="L20" i="24"/>
  <c r="J20" i="24"/>
  <c r="I20" i="24"/>
  <c r="H20" i="24"/>
  <c r="F20" i="24"/>
  <c r="E20" i="24"/>
  <c r="D20" i="24"/>
  <c r="V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I22" i="23"/>
  <c r="V20" i="23"/>
  <c r="U20" i="23"/>
  <c r="T20" i="23"/>
  <c r="S20" i="23"/>
  <c r="R20" i="23"/>
  <c r="Q20" i="23"/>
  <c r="P20" i="23"/>
  <c r="O20" i="23"/>
  <c r="S18"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S22" i="22"/>
  <c r="V20" i="22"/>
  <c r="U20" i="22"/>
  <c r="T20" i="22"/>
  <c r="S20" i="22"/>
  <c r="R20" i="22"/>
  <c r="Q20" i="22"/>
  <c r="P20" i="22"/>
  <c r="O20" i="22"/>
  <c r="V18"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F63" i="28" l="1"/>
  <c r="N63" i="28"/>
  <c r="H10" i="19"/>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23" i="26" s="1"/>
  <c r="V17" i="26"/>
  <c r="V19" i="26" s="1"/>
  <c r="C8" i="20"/>
  <c r="D8" i="19"/>
  <c r="D22" i="19" s="1"/>
  <c r="K8" i="20"/>
  <c r="L8" i="19"/>
  <c r="L22" i="19" s="1"/>
  <c r="S8" i="20"/>
  <c r="T8" i="19"/>
  <c r="T22" i="19" s="1"/>
  <c r="C59" i="29"/>
  <c r="D21" i="29"/>
  <c r="D23" i="29" s="1"/>
  <c r="D17" i="29"/>
  <c r="D19" i="29" s="1"/>
  <c r="K59" i="29"/>
  <c r="L21" i="29"/>
  <c r="L17" i="29"/>
  <c r="S59" i="29"/>
  <c r="T21" i="29"/>
  <c r="T17" i="29"/>
  <c r="T19" i="2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T59" i="28"/>
  <c r="U17" i="28"/>
  <c r="U21" i="28"/>
  <c r="U23" i="28" s="1"/>
  <c r="I4" i="20"/>
  <c r="J4" i="19"/>
  <c r="J18" i="19" s="1"/>
  <c r="I59" i="21"/>
  <c r="J17" i="21"/>
  <c r="J19" i="21" s="1"/>
  <c r="J20" i="21" s="1"/>
  <c r="J21" i="21"/>
  <c r="C59" i="22"/>
  <c r="D21" i="22"/>
  <c r="D23" i="22" s="1"/>
  <c r="D24" i="22" s="1"/>
  <c r="D17" i="22"/>
  <c r="D19" i="22" s="1"/>
  <c r="D20"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I23" i="21" s="1"/>
  <c r="I24" i="21" s="1"/>
  <c r="D59" i="22"/>
  <c r="E21" i="22"/>
  <c r="E23" i="22" s="1"/>
  <c r="E24" i="22" s="1"/>
  <c r="E17" i="22"/>
  <c r="L59" i="22"/>
  <c r="M21" i="22"/>
  <c r="M23" i="22" s="1"/>
  <c r="M17" i="22"/>
  <c r="T59" i="22"/>
  <c r="U21" i="22"/>
  <c r="U17" i="22"/>
  <c r="U19" i="22" s="1"/>
  <c r="D59" i="27"/>
  <c r="E17" i="27"/>
  <c r="E19" i="27" s="1"/>
  <c r="L59" i="27"/>
  <c r="M17" i="27"/>
  <c r="M19" i="27" s="1"/>
  <c r="T59" i="27"/>
  <c r="U17" i="27"/>
  <c r="S59" i="22"/>
  <c r="T21" i="22"/>
  <c r="T17" i="22"/>
  <c r="T19" i="22" s="1"/>
  <c r="G21" i="23"/>
  <c r="G23" i="23" s="1"/>
  <c r="G24" i="23" s="1"/>
  <c r="G17" i="23"/>
  <c r="G19" i="23" s="1"/>
  <c r="G20"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K19" i="21" s="1"/>
  <c r="K20" i="21" s="1"/>
  <c r="J59" i="22"/>
  <c r="K17" i="22"/>
  <c r="K19" i="22" s="1"/>
  <c r="K20" i="22" s="1"/>
  <c r="K21" i="22"/>
  <c r="R59" i="22"/>
  <c r="S17" i="22"/>
  <c r="S21" i="22"/>
  <c r="S23" i="22" s="1"/>
  <c r="D59" i="23"/>
  <c r="E17" i="23"/>
  <c r="E19" i="23" s="1"/>
  <c r="E20" i="23" s="1"/>
  <c r="E21" i="23"/>
  <c r="L59" i="23"/>
  <c r="M17" i="23"/>
  <c r="M21" i="23"/>
  <c r="M23" i="23" s="1"/>
  <c r="T59" i="23"/>
  <c r="U17" i="23"/>
  <c r="U19" i="23" s="1"/>
  <c r="U21" i="23"/>
  <c r="U23" i="23" s="1"/>
  <c r="H21" i="24"/>
  <c r="H17" i="24"/>
  <c r="H19" i="24" s="1"/>
  <c r="P17" i="24"/>
  <c r="P21" i="24"/>
  <c r="C59" i="26"/>
  <c r="D21" i="26"/>
  <c r="D23" i="26" s="1"/>
  <c r="D17" i="26"/>
  <c r="D19" i="26" s="1"/>
  <c r="K59" i="26"/>
  <c r="L21" i="26"/>
  <c r="L17" i="26"/>
  <c r="S59" i="26"/>
  <c r="T21" i="26"/>
  <c r="T17" i="26"/>
  <c r="T19" i="26" s="1"/>
  <c r="N63" i="26"/>
  <c r="J59" i="27"/>
  <c r="K17" i="27"/>
  <c r="K19" i="27" s="1"/>
  <c r="K20" i="27" s="1"/>
  <c r="R59" i="27"/>
  <c r="S17" i="27"/>
  <c r="S19" i="27" s="1"/>
  <c r="J59" i="28"/>
  <c r="K17" i="28"/>
  <c r="K19" i="28" s="1"/>
  <c r="K20" i="28" s="1"/>
  <c r="K21" i="28"/>
  <c r="K23" i="28" s="1"/>
  <c r="R59" i="28"/>
  <c r="S17" i="28"/>
  <c r="S19" i="28" s="1"/>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17" i="23"/>
  <c r="N19" i="23" s="1"/>
  <c r="N20" i="23" s="1"/>
  <c r="U59" i="23"/>
  <c r="V21" i="23"/>
  <c r="V23" i="23" s="1"/>
  <c r="V17" i="23"/>
  <c r="I17" i="24"/>
  <c r="I19" i="24" s="1"/>
  <c r="I21" i="24"/>
  <c r="I23" i="24" s="1"/>
  <c r="Q17" i="24"/>
  <c r="Q19" i="24" s="1"/>
  <c r="Q21" i="24"/>
  <c r="Q23" i="24" s="1"/>
  <c r="D59" i="26"/>
  <c r="E21" i="26"/>
  <c r="E23" i="26" s="1"/>
  <c r="E17" i="26"/>
  <c r="E19" i="26" s="1"/>
  <c r="L59" i="26"/>
  <c r="M21" i="26"/>
  <c r="M17" i="26"/>
  <c r="M19" i="26" s="1"/>
  <c r="T59" i="26"/>
  <c r="U21" i="26"/>
  <c r="U23" i="26" s="1"/>
  <c r="U17" i="26"/>
  <c r="U19" i="26" s="1"/>
  <c r="C59" i="27"/>
  <c r="D17" i="27"/>
  <c r="D19" i="27" s="1"/>
  <c r="K59" i="27"/>
  <c r="L17" i="27"/>
  <c r="S59" i="27"/>
  <c r="T17" i="27"/>
  <c r="T19" i="27" s="1"/>
  <c r="C59" i="28"/>
  <c r="D21" i="28"/>
  <c r="D23" i="28" s="1"/>
  <c r="D24" i="28" s="1"/>
  <c r="D17" i="28"/>
  <c r="D19" i="28" s="1"/>
  <c r="D20" i="28" s="1"/>
  <c r="K59" i="28"/>
  <c r="L21" i="28"/>
  <c r="L23" i="28" s="1"/>
  <c r="L17" i="28"/>
  <c r="L19" i="28" s="1"/>
  <c r="L20" i="28" s="1"/>
  <c r="S59" i="28"/>
  <c r="T21" i="28"/>
  <c r="T23" i="28" s="1"/>
  <c r="T17" i="28"/>
  <c r="T19" i="28" s="1"/>
  <c r="J59" i="29"/>
  <c r="K17" i="29"/>
  <c r="K21" i="29"/>
  <c r="R59" i="29"/>
  <c r="S21" i="29"/>
  <c r="S17" i="29"/>
  <c r="S19" i="29" s="1"/>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O59" i="21"/>
  <c r="O64" i="21" s="1"/>
  <c r="O65" i="21" s="1"/>
  <c r="P21" i="21"/>
  <c r="P23" i="21" s="1"/>
  <c r="P24" i="21" s="1"/>
  <c r="P17" i="21"/>
  <c r="H21" i="21"/>
  <c r="H17" i="21"/>
  <c r="H19" i="21" s="1"/>
  <c r="H20" i="21" s="1"/>
  <c r="E59" i="22"/>
  <c r="F21" i="22"/>
  <c r="F23" i="22" s="1"/>
  <c r="F24" i="22" s="1"/>
  <c r="F17" i="22"/>
  <c r="F19" i="22" s="1"/>
  <c r="F20" i="22" s="1"/>
  <c r="M59" i="22"/>
  <c r="N21" i="22"/>
  <c r="N23" i="22" s="1"/>
  <c r="N17" i="22"/>
  <c r="N19" i="22" s="1"/>
  <c r="N20" i="22" s="1"/>
  <c r="U59" i="22"/>
  <c r="V17" i="22"/>
  <c r="V19" i="22" s="1"/>
  <c r="V21" i="22"/>
  <c r="C18" i="22"/>
  <c r="H21" i="23"/>
  <c r="H23" i="23" s="1"/>
  <c r="H24" i="23" s="1"/>
  <c r="H17" i="23"/>
  <c r="P17" i="23"/>
  <c r="P19" i="23" s="1"/>
  <c r="P21" i="23"/>
  <c r="J59" i="24"/>
  <c r="K21" i="24"/>
  <c r="K23" i="24" s="1"/>
  <c r="K17" i="24"/>
  <c r="R59" i="24"/>
  <c r="S21" i="24"/>
  <c r="S23" i="24" s="1"/>
  <c r="S17" i="24"/>
  <c r="G21" i="26"/>
  <c r="G17" i="26"/>
  <c r="G19" i="26" s="1"/>
  <c r="G20" i="26" s="1"/>
  <c r="O17" i="26"/>
  <c r="O21" i="26"/>
  <c r="O23" i="26" s="1"/>
  <c r="E59" i="27"/>
  <c r="F17" i="27"/>
  <c r="F19" i="27" s="1"/>
  <c r="M59" i="27"/>
  <c r="N17" i="27"/>
  <c r="U59" i="27"/>
  <c r="V17" i="27"/>
  <c r="E59" i="28"/>
  <c r="F17" i="28"/>
  <c r="F19" i="28" s="1"/>
  <c r="F20" i="28" s="1"/>
  <c r="F21" i="28"/>
  <c r="F23" i="28" s="1"/>
  <c r="F24" i="28" s="1"/>
  <c r="M59" i="28"/>
  <c r="N17" i="28"/>
  <c r="N19" i="28" s="1"/>
  <c r="N21" i="28"/>
  <c r="U59" i="28"/>
  <c r="V17" i="28"/>
  <c r="V21" i="28"/>
  <c r="V23" i="28" s="1"/>
  <c r="D59" i="29"/>
  <c r="E17" i="29"/>
  <c r="E19" i="29" s="1"/>
  <c r="E21" i="29"/>
  <c r="E23" i="29" s="1"/>
  <c r="L59" i="29"/>
  <c r="M17" i="29"/>
  <c r="M19" i="29" s="1"/>
  <c r="M21" i="29"/>
  <c r="T59" i="29"/>
  <c r="U17" i="29"/>
  <c r="U21" i="29"/>
  <c r="U23" i="29" s="1"/>
  <c r="C59" i="30"/>
  <c r="D17" i="30"/>
  <c r="D19" i="30" s="1"/>
  <c r="D20" i="30" s="1"/>
  <c r="D21" i="30"/>
  <c r="D23" i="30" s="1"/>
  <c r="D24" i="30" s="1"/>
  <c r="K59" i="30"/>
  <c r="L17" i="30"/>
  <c r="L19" i="30" s="1"/>
  <c r="L20" i="30" s="1"/>
  <c r="L21" i="30"/>
  <c r="L23" i="30" s="1"/>
  <c r="S59" i="30"/>
  <c r="T17" i="30"/>
  <c r="T19" i="30" s="1"/>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A34" i="21"/>
  <c r="N59" i="21"/>
  <c r="O21" i="21"/>
  <c r="O23" i="21" s="1"/>
  <c r="O24" i="21" s="1"/>
  <c r="O17" i="21"/>
  <c r="O19" i="21" s="1"/>
  <c r="F59" i="21"/>
  <c r="G21" i="21"/>
  <c r="G23" i="21" s="1"/>
  <c r="G24" i="21" s="1"/>
  <c r="G17" i="21"/>
  <c r="G17" i="22"/>
  <c r="G19" i="22" s="1"/>
  <c r="G20" i="22" s="1"/>
  <c r="G21" i="22"/>
  <c r="G23" i="22" s="1"/>
  <c r="G24" i="22" s="1"/>
  <c r="O17" i="22"/>
  <c r="O19" i="22" s="1"/>
  <c r="O21" i="22"/>
  <c r="O23" i="22" s="1"/>
  <c r="H59" i="23"/>
  <c r="I21" i="23"/>
  <c r="I23" i="23" s="1"/>
  <c r="I24" i="23" s="1"/>
  <c r="I17" i="23"/>
  <c r="I19" i="23" s="1"/>
  <c r="I20" i="23" s="1"/>
  <c r="P59" i="23"/>
  <c r="Q17" i="23"/>
  <c r="Q19" i="23" s="1"/>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O23" i="28" s="1"/>
  <c r="E59" i="29"/>
  <c r="F17" i="29"/>
  <c r="F19" i="29" s="1"/>
  <c r="F21" i="29"/>
  <c r="M59" i="29"/>
  <c r="N17" i="29"/>
  <c r="N21" i="29"/>
  <c r="N23" i="29" s="1"/>
  <c r="U59" i="29"/>
  <c r="V17" i="29"/>
  <c r="V21" i="29"/>
  <c r="V23" i="29" s="1"/>
  <c r="D59" i="30"/>
  <c r="E17" i="30"/>
  <c r="E19" i="30" s="1"/>
  <c r="E20" i="30" s="1"/>
  <c r="E21" i="30"/>
  <c r="E23" i="30" s="1"/>
  <c r="E24" i="30" s="1"/>
  <c r="L59" i="30"/>
  <c r="M17" i="30"/>
  <c r="M19" i="30" s="1"/>
  <c r="M20"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23" i="22" s="1"/>
  <c r="H24" i="22" s="1"/>
  <c r="H17" i="22"/>
  <c r="H19" i="22" s="1"/>
  <c r="H20" i="22" s="1"/>
  <c r="I59" i="23"/>
  <c r="J21" i="23"/>
  <c r="J23" i="23" s="1"/>
  <c r="J24" i="23" s="1"/>
  <c r="J17" i="23"/>
  <c r="J19" i="23" s="1"/>
  <c r="J20" i="23" s="1"/>
  <c r="Q59" i="23"/>
  <c r="R21" i="23"/>
  <c r="R17" i="23"/>
  <c r="D59" i="24"/>
  <c r="E17" i="24"/>
  <c r="E19" i="24" s="1"/>
  <c r="E21" i="24"/>
  <c r="E23" i="24" s="1"/>
  <c r="L59" i="24"/>
  <c r="M17" i="24"/>
  <c r="M19" i="24" s="1"/>
  <c r="M21" i="24"/>
  <c r="M23" i="24" s="1"/>
  <c r="T59" i="24"/>
  <c r="U21" i="24"/>
  <c r="U17" i="24"/>
  <c r="H59" i="26"/>
  <c r="I17" i="26"/>
  <c r="I19" i="26" s="1"/>
  <c r="I21" i="26"/>
  <c r="I23" i="26" s="1"/>
  <c r="P59" i="26"/>
  <c r="Q17" i="26"/>
  <c r="Q19" i="26" s="1"/>
  <c r="Q21" i="26"/>
  <c r="E63" i="26"/>
  <c r="H17" i="27"/>
  <c r="H19" i="27" s="1"/>
  <c r="P17" i="27"/>
  <c r="P19" i="27" s="1"/>
  <c r="H21" i="28"/>
  <c r="H23" i="28" s="1"/>
  <c r="H24" i="28" s="1"/>
  <c r="H17" i="28"/>
  <c r="H19" i="28" s="1"/>
  <c r="H20" i="28" s="1"/>
  <c r="P21" i="28"/>
  <c r="P23" i="28" s="1"/>
  <c r="P17" i="28"/>
  <c r="P19" i="28" s="1"/>
  <c r="G17" i="29"/>
  <c r="G19" i="29" s="1"/>
  <c r="G20" i="29" s="1"/>
  <c r="G21" i="29"/>
  <c r="G23" i="29" s="1"/>
  <c r="O17" i="29"/>
  <c r="O19" i="29" s="1"/>
  <c r="O21" i="29"/>
  <c r="E59" i="30"/>
  <c r="F21" i="30"/>
  <c r="F23" i="30" s="1"/>
  <c r="F24" i="30" s="1"/>
  <c r="F17" i="30"/>
  <c r="F19" i="30" s="1"/>
  <c r="F20" i="30" s="1"/>
  <c r="M59" i="30"/>
  <c r="N21" i="30"/>
  <c r="N17" i="30"/>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T59" i="21"/>
  <c r="T64" i="21" s="1"/>
  <c r="T65" i="21" s="1"/>
  <c r="U17" i="21"/>
  <c r="U19" i="21" s="1"/>
  <c r="U21" i="21"/>
  <c r="U23" i="21" s="1"/>
  <c r="U24" i="21" s="1"/>
  <c r="M17" i="21"/>
  <c r="M19" i="21" s="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24" i="28" s="1"/>
  <c r="I17" i="28"/>
  <c r="I19" i="28" s="1"/>
  <c r="I20" i="28" s="1"/>
  <c r="Q21" i="28"/>
  <c r="Q23" i="28" s="1"/>
  <c r="Q17" i="28"/>
  <c r="Q19" i="28" s="1"/>
  <c r="H21" i="29"/>
  <c r="H23" i="29" s="1"/>
  <c r="H17" i="29"/>
  <c r="H19" i="29" s="1"/>
  <c r="P21" i="29"/>
  <c r="P23"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19" i="23" s="1"/>
  <c r="T21" i="23"/>
  <c r="G17" i="24"/>
  <c r="G19" i="24" s="1"/>
  <c r="G20" i="24" s="1"/>
  <c r="G21" i="24"/>
  <c r="G23" i="24" s="1"/>
  <c r="O17" i="24"/>
  <c r="O19" i="24" s="1"/>
  <c r="O21" i="24"/>
  <c r="O23" i="24" s="1"/>
  <c r="J59" i="26"/>
  <c r="K17" i="26"/>
  <c r="K19" i="26" s="1"/>
  <c r="K20" i="26" s="1"/>
  <c r="K21" i="26"/>
  <c r="K23" i="26" s="1"/>
  <c r="R59" i="26"/>
  <c r="S17" i="26"/>
  <c r="S19" i="26" s="1"/>
  <c r="S21" i="26"/>
  <c r="S23" i="26" s="1"/>
  <c r="M63" i="26"/>
  <c r="I59" i="27"/>
  <c r="J17" i="27"/>
  <c r="J19" i="27" s="1"/>
  <c r="Q59" i="27"/>
  <c r="R17" i="27"/>
  <c r="R19" i="27" s="1"/>
  <c r="I59" i="28"/>
  <c r="J17" i="28"/>
  <c r="J19" i="28" s="1"/>
  <c r="J20" i="28" s="1"/>
  <c r="J21" i="28"/>
  <c r="J23" i="28" s="1"/>
  <c r="J24" i="28" s="1"/>
  <c r="Q59" i="28"/>
  <c r="R21" i="28"/>
  <c r="R23" i="28" s="1"/>
  <c r="R17" i="28"/>
  <c r="R19" i="28" s="1"/>
  <c r="I21" i="29"/>
  <c r="I23" i="29" s="1"/>
  <c r="I17" i="29"/>
  <c r="I19" i="29" s="1"/>
  <c r="Q21" i="29"/>
  <c r="Q17" i="29"/>
  <c r="Q19" i="29" s="1"/>
  <c r="H17" i="30"/>
  <c r="H19" i="30" s="1"/>
  <c r="H20"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K65" i="21" s="1"/>
  <c r="R19" i="24"/>
  <c r="I21" i="27"/>
  <c r="I23" i="27" s="1"/>
  <c r="Q21" i="27"/>
  <c r="R58" i="21"/>
  <c r="R61" i="21" s="1"/>
  <c r="R64" i="21" s="1"/>
  <c r="R65" i="21" s="1"/>
  <c r="O57" i="21"/>
  <c r="A43" i="21"/>
  <c r="J58" i="21"/>
  <c r="J61" i="21" s="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R19" i="23"/>
  <c r="J58" i="27"/>
  <c r="J61" i="27" s="1"/>
  <c r="R58" i="27"/>
  <c r="R61" i="27" s="1"/>
  <c r="R64" i="27" s="1"/>
  <c r="R65" i="27" s="1"/>
  <c r="R58" i="28"/>
  <c r="R61" i="28" s="1"/>
  <c r="R64" i="28" s="1"/>
  <c r="R65" i="28" s="1"/>
  <c r="F58" i="22"/>
  <c r="F61" i="22" s="1"/>
  <c r="N58" i="22"/>
  <c r="N61" i="22" s="1"/>
  <c r="F58" i="23"/>
  <c r="F61" i="23" s="1"/>
  <c r="N58" i="23"/>
  <c r="N61" i="23" s="1"/>
  <c r="L21" i="27"/>
  <c r="L23" i="27" s="1"/>
  <c r="T21" i="27"/>
  <c r="H57" i="29"/>
  <c r="P58" i="21"/>
  <c r="P61" i="21" s="1"/>
  <c r="H58" i="21"/>
  <c r="H61" i="21" s="1"/>
  <c r="N59" i="23"/>
  <c r="R58" i="26"/>
  <c r="R61" i="26" s="1"/>
  <c r="R57" i="21"/>
  <c r="H58" i="22"/>
  <c r="H61" i="22" s="1"/>
  <c r="H64" i="22" s="1"/>
  <c r="P58" i="22"/>
  <c r="P61" i="22" s="1"/>
  <c r="P64" i="22" s="1"/>
  <c r="P65" i="22" s="1"/>
  <c r="F59" i="22"/>
  <c r="K58" i="29"/>
  <c r="K61" i="29" s="1"/>
  <c r="I58" i="23"/>
  <c r="I61" i="23" s="1"/>
  <c r="Q58" i="23"/>
  <c r="Q61" i="23" s="1"/>
  <c r="L58" i="29"/>
  <c r="L61" i="29" s="1"/>
  <c r="T58" i="29"/>
  <c r="T61" i="29" s="1"/>
  <c r="T64" i="29" s="1"/>
  <c r="T65" i="29" s="1"/>
  <c r="I23" i="30"/>
  <c r="I24" i="30" s="1"/>
  <c r="Q23" i="30"/>
  <c r="U23" i="30"/>
  <c r="J58" i="28"/>
  <c r="J61" i="28" s="1"/>
  <c r="J64" i="28" s="1"/>
  <c r="R58" i="22"/>
  <c r="R61" i="22" s="1"/>
  <c r="J58" i="23"/>
  <c r="J61" i="23" s="1"/>
  <c r="J64" i="23" s="1"/>
  <c r="J58" i="24"/>
  <c r="J61" i="24" s="1"/>
  <c r="J64" i="24" s="1"/>
  <c r="R58" i="24"/>
  <c r="R61" i="24" s="1"/>
  <c r="F57" i="24"/>
  <c r="T58" i="30"/>
  <c r="T61" i="30" s="1"/>
  <c r="T64" i="30" s="1"/>
  <c r="T65" i="30" s="1"/>
  <c r="C58" i="23"/>
  <c r="C61" i="23" s="1"/>
  <c r="K58" i="23"/>
  <c r="K61" i="23" s="1"/>
  <c r="S58" i="23"/>
  <c r="S61" i="23" s="1"/>
  <c r="F58" i="26"/>
  <c r="F61" i="26" s="1"/>
  <c r="D58" i="27"/>
  <c r="D61" i="27" s="1"/>
  <c r="L58" i="27"/>
  <c r="L61" i="27" s="1"/>
  <c r="T58" i="27"/>
  <c r="T61" i="27" s="1"/>
  <c r="T64" i="27" s="1"/>
  <c r="T65" i="27" s="1"/>
  <c r="J58" i="30"/>
  <c r="J61" i="30" s="1"/>
  <c r="J64" i="30" s="1"/>
  <c r="R58" i="30"/>
  <c r="R61" i="30" s="1"/>
  <c r="R64" i="30" s="1"/>
  <c r="R65" i="30" s="1"/>
  <c r="P57" i="30"/>
  <c r="J57" i="21"/>
  <c r="H59" i="21"/>
  <c r="Q23" i="22"/>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T23" i="30"/>
  <c r="G58" i="30"/>
  <c r="G61" i="30" s="1"/>
  <c r="O58" i="30"/>
  <c r="O61" i="30" s="1"/>
  <c r="Q57" i="30"/>
  <c r="A36" i="22"/>
  <c r="G58" i="27"/>
  <c r="G61" i="27" s="1"/>
  <c r="T58" i="28"/>
  <c r="T61" i="28" s="1"/>
  <c r="T64" i="28" s="1"/>
  <c r="T65" i="28" s="1"/>
  <c r="C58" i="29"/>
  <c r="C61" i="29" s="1"/>
  <c r="H58" i="30"/>
  <c r="H61" i="30" s="1"/>
  <c r="N59" i="30"/>
  <c r="Q57" i="21"/>
  <c r="B58" i="21"/>
  <c r="B61" i="21" s="1"/>
  <c r="I58" i="22"/>
  <c r="I61" i="22" s="1"/>
  <c r="Q58" i="22"/>
  <c r="Q61" i="22" s="1"/>
  <c r="D58" i="23"/>
  <c r="D61" i="23" s="1"/>
  <c r="L58" i="23"/>
  <c r="L61"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L64" i="24" s="1"/>
  <c r="L65" i="24" s="1"/>
  <c r="P58" i="26"/>
  <c r="P61" i="26" s="1"/>
  <c r="F59" i="26"/>
  <c r="O58" i="27"/>
  <c r="O61" i="27" s="1"/>
  <c r="A38" i="21"/>
  <c r="F57" i="22"/>
  <c r="N59" i="22"/>
  <c r="E58" i="23"/>
  <c r="E61" i="23" s="1"/>
  <c r="E64" i="23" s="1"/>
  <c r="M58" i="23"/>
  <c r="M61" i="23" s="1"/>
  <c r="U58" i="23"/>
  <c r="U61" i="23" s="1"/>
  <c r="U64" i="23" s="1"/>
  <c r="U65" i="23" s="1"/>
  <c r="V19" i="23"/>
  <c r="F58" i="24"/>
  <c r="F61" i="24" s="1"/>
  <c r="N58" i="24"/>
  <c r="N61" i="24" s="1"/>
  <c r="F59" i="24"/>
  <c r="I58" i="27"/>
  <c r="I61" i="27" s="1"/>
  <c r="I64" i="27" s="1"/>
  <c r="I65" i="27" s="1"/>
  <c r="Q58" i="27"/>
  <c r="Q61" i="27" s="1"/>
  <c r="Q64" i="27" s="1"/>
  <c r="Q65"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S64" i="29" s="1"/>
  <c r="S65" i="29" s="1"/>
  <c r="P19" i="21"/>
  <c r="C58" i="22"/>
  <c r="C61" i="22" s="1"/>
  <c r="K58" i="22"/>
  <c r="K61" i="22" s="1"/>
  <c r="S58" i="22"/>
  <c r="S61" i="22" s="1"/>
  <c r="S64" i="22" s="1"/>
  <c r="S65" i="22" s="1"/>
  <c r="F57" i="23"/>
  <c r="L23" i="24"/>
  <c r="T23" i="24"/>
  <c r="G58" i="24"/>
  <c r="G61" i="24" s="1"/>
  <c r="O58" i="24"/>
  <c r="O61" i="24" s="1"/>
  <c r="N59" i="24"/>
  <c r="C58" i="26"/>
  <c r="C61" i="26" s="1"/>
  <c r="K58" i="26"/>
  <c r="K61" i="26" s="1"/>
  <c r="S58" i="26"/>
  <c r="S61" i="26" s="1"/>
  <c r="S64" i="26" s="1"/>
  <c r="S65"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D58" i="26"/>
  <c r="D61" i="26" s="1"/>
  <c r="L58" i="26"/>
  <c r="L61" i="26" s="1"/>
  <c r="T58" i="26"/>
  <c r="T61" i="26" s="1"/>
  <c r="F57" i="26"/>
  <c r="C58" i="27"/>
  <c r="C61" i="27" s="1"/>
  <c r="K58" i="27"/>
  <c r="K61" i="27" s="1"/>
  <c r="K64" i="27" s="1"/>
  <c r="K65" i="27" s="1"/>
  <c r="S58" i="27"/>
  <c r="S61" i="27" s="1"/>
  <c r="P57" i="27"/>
  <c r="N59" i="27"/>
  <c r="H58" i="28"/>
  <c r="H61" i="28" s="1"/>
  <c r="P58" i="28"/>
  <c r="P61" i="28" s="1"/>
  <c r="N57" i="28"/>
  <c r="L23" i="29"/>
  <c r="T23" i="29"/>
  <c r="G58" i="29"/>
  <c r="G61" i="29" s="1"/>
  <c r="O58" i="29"/>
  <c r="O61" i="29" s="1"/>
  <c r="P59" i="29"/>
  <c r="I57" i="30"/>
  <c r="G57" i="21"/>
  <c r="J19" i="22"/>
  <c r="J20" i="22" s="1"/>
  <c r="E58" i="22"/>
  <c r="E61" i="22" s="1"/>
  <c r="M58" i="22"/>
  <c r="M61" i="22" s="1"/>
  <c r="M64" i="22" s="1"/>
  <c r="U58" i="22"/>
  <c r="U61" i="22" s="1"/>
  <c r="A45" i="22"/>
  <c r="O57" i="22"/>
  <c r="H58" i="23"/>
  <c r="H61" i="23" s="1"/>
  <c r="H64"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I64" i="28" s="1"/>
  <c r="Q58" i="28"/>
  <c r="Q61" i="28" s="1"/>
  <c r="Q64" i="28" s="1"/>
  <c r="H58" i="29"/>
  <c r="H61" i="29" s="1"/>
  <c r="P58" i="29"/>
  <c r="P61" i="29" s="1"/>
  <c r="E58" i="30"/>
  <c r="E61" i="30" s="1"/>
  <c r="M58" i="30"/>
  <c r="M61" i="30" s="1"/>
  <c r="U58" i="30"/>
  <c r="U61" i="30" s="1"/>
  <c r="U64"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H24" i="30" s="1"/>
  <c r="G23" i="30"/>
  <c r="G24" i="30" s="1"/>
  <c r="R19" i="30"/>
  <c r="F63" i="30"/>
  <c r="N63" i="30"/>
  <c r="S19" i="30"/>
  <c r="A31" i="30"/>
  <c r="A33" i="30"/>
  <c r="A39" i="30"/>
  <c r="A41" i="30"/>
  <c r="A47" i="30"/>
  <c r="A49" i="30"/>
  <c r="G57" i="30"/>
  <c r="O57" i="30"/>
  <c r="G59" i="30"/>
  <c r="G64" i="30" s="1"/>
  <c r="O59" i="30"/>
  <c r="G63" i="30"/>
  <c r="O63" i="30"/>
  <c r="P63" i="30"/>
  <c r="I63" i="30"/>
  <c r="Q63" i="30"/>
  <c r="N19" i="30"/>
  <c r="N20" i="30" s="1"/>
  <c r="N23" i="30"/>
  <c r="B63" i="30"/>
  <c r="J63" i="30"/>
  <c r="R63" i="30"/>
  <c r="A32" i="30"/>
  <c r="A34" i="30"/>
  <c r="A40" i="30"/>
  <c r="A42" i="30"/>
  <c r="A48" i="30"/>
  <c r="A50" i="30"/>
  <c r="C63" i="30"/>
  <c r="K63" i="30"/>
  <c r="S63" i="30"/>
  <c r="P19" i="30"/>
  <c r="D63" i="30"/>
  <c r="L63" i="30"/>
  <c r="T63" i="30"/>
  <c r="H63" i="30"/>
  <c r="Q19" i="30"/>
  <c r="E63" i="30"/>
  <c r="M63" i="30"/>
  <c r="Q23" i="29"/>
  <c r="O23" i="29"/>
  <c r="P63" i="29"/>
  <c r="J19" i="29"/>
  <c r="R19" i="29"/>
  <c r="J23" i="29"/>
  <c r="F57" i="29"/>
  <c r="N57" i="29"/>
  <c r="F59" i="29"/>
  <c r="N59" i="29"/>
  <c r="F63" i="29"/>
  <c r="N63" i="29"/>
  <c r="H63" i="29"/>
  <c r="K19" i="29"/>
  <c r="K20" i="29" s="1"/>
  <c r="K23" i="29"/>
  <c r="S23" i="29"/>
  <c r="A31" i="29"/>
  <c r="A33" i="29"/>
  <c r="A39" i="29"/>
  <c r="A41" i="29"/>
  <c r="A47" i="29"/>
  <c r="A49" i="29"/>
  <c r="G57" i="29"/>
  <c r="O57" i="29"/>
  <c r="G59" i="29"/>
  <c r="O59" i="29"/>
  <c r="G63" i="29"/>
  <c r="O63" i="29"/>
  <c r="U19" i="29"/>
  <c r="M23" i="29"/>
  <c r="I57" i="29"/>
  <c r="Q57" i="29"/>
  <c r="I63" i="29"/>
  <c r="Q63" i="29"/>
  <c r="N19" i="29"/>
  <c r="V19" i="29"/>
  <c r="F23" i="29"/>
  <c r="B63" i="29"/>
  <c r="J63" i="29"/>
  <c r="R63" i="29"/>
  <c r="L19" i="29"/>
  <c r="A32" i="29"/>
  <c r="A34" i="29"/>
  <c r="A40" i="29"/>
  <c r="A42" i="29"/>
  <c r="A48" i="29"/>
  <c r="A50" i="29"/>
  <c r="C63" i="29"/>
  <c r="K63" i="29"/>
  <c r="S63" i="29"/>
  <c r="P19" i="29"/>
  <c r="D63" i="29"/>
  <c r="L63" i="29"/>
  <c r="T63" i="29"/>
  <c r="E63" i="29"/>
  <c r="M63" i="29"/>
  <c r="A31" i="28"/>
  <c r="A33" i="28"/>
  <c r="A37" i="28"/>
  <c r="A39" i="28"/>
  <c r="A41" i="28"/>
  <c r="A45" i="28"/>
  <c r="A47" i="28"/>
  <c r="A49" i="28"/>
  <c r="G57" i="28"/>
  <c r="O57" i="28"/>
  <c r="G59" i="28"/>
  <c r="O59" i="28"/>
  <c r="G63" i="28"/>
  <c r="O63" i="28"/>
  <c r="H59" i="28"/>
  <c r="P59" i="28"/>
  <c r="H63" i="28"/>
  <c r="P63" i="28"/>
  <c r="U19" i="28"/>
  <c r="M23" i="28"/>
  <c r="I57" i="28"/>
  <c r="Q57" i="28"/>
  <c r="I63" i="28"/>
  <c r="Q63" i="28"/>
  <c r="V19" i="28"/>
  <c r="N23" i="28"/>
  <c r="B63" i="28"/>
  <c r="J63" i="28"/>
  <c r="R63" i="28"/>
  <c r="A32" i="28"/>
  <c r="A34" i="28"/>
  <c r="A40" i="28"/>
  <c r="A42" i="28"/>
  <c r="A48" i="28"/>
  <c r="A50" i="28"/>
  <c r="C63" i="28"/>
  <c r="K63" i="28"/>
  <c r="S63" i="28"/>
  <c r="D63" i="28"/>
  <c r="L63" i="28"/>
  <c r="T63" i="28"/>
  <c r="E63" i="28"/>
  <c r="M63" i="28"/>
  <c r="Q23" i="27"/>
  <c r="T23"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D63" i="27"/>
  <c r="L63" i="27"/>
  <c r="T63" i="27"/>
  <c r="H63" i="27"/>
  <c r="Q19" i="27"/>
  <c r="E63" i="27"/>
  <c r="M63" i="27"/>
  <c r="C19" i="26"/>
  <c r="C20" i="26" s="1"/>
  <c r="A31" i="26"/>
  <c r="A33" i="26"/>
  <c r="A37" i="26"/>
  <c r="A39" i="26"/>
  <c r="A41" i="26"/>
  <c r="A45" i="26"/>
  <c r="A47" i="26"/>
  <c r="A49" i="26"/>
  <c r="G57" i="26"/>
  <c r="O57" i="26"/>
  <c r="G59" i="26"/>
  <c r="O59" i="26"/>
  <c r="G63" i="26"/>
  <c r="O63" i="26"/>
  <c r="L19" i="26"/>
  <c r="L23" i="26"/>
  <c r="T23" i="26"/>
  <c r="H63" i="26"/>
  <c r="P63" i="26"/>
  <c r="M23" i="26"/>
  <c r="I57" i="26"/>
  <c r="Q57" i="26"/>
  <c r="I59" i="26"/>
  <c r="Q59" i="26"/>
  <c r="Q64" i="26" s="1"/>
  <c r="Q65" i="26" s="1"/>
  <c r="I63" i="26"/>
  <c r="Q63" i="26"/>
  <c r="N19" i="26"/>
  <c r="N23" i="26"/>
  <c r="B63" i="26"/>
  <c r="J63" i="26"/>
  <c r="R63" i="26"/>
  <c r="O19" i="26"/>
  <c r="A32" i="26"/>
  <c r="A34" i="26"/>
  <c r="A40" i="26"/>
  <c r="A42" i="26"/>
  <c r="A48" i="26"/>
  <c r="A50" i="26"/>
  <c r="C63" i="26"/>
  <c r="K63" i="26"/>
  <c r="S63" i="26"/>
  <c r="H19" i="26"/>
  <c r="P19" i="26"/>
  <c r="D63" i="26"/>
  <c r="L63" i="26"/>
  <c r="H23" i="24"/>
  <c r="P23" i="24"/>
  <c r="K19" i="24"/>
  <c r="K20" i="24" s="1"/>
  <c r="S19" i="24"/>
  <c r="A31" i="24"/>
  <c r="A33" i="24"/>
  <c r="A37" i="24"/>
  <c r="A39" i="24"/>
  <c r="A41" i="24"/>
  <c r="A45" i="24"/>
  <c r="A47" i="24"/>
  <c r="A49" i="24"/>
  <c r="G57" i="24"/>
  <c r="O57" i="24"/>
  <c r="G59" i="24"/>
  <c r="O59" i="24"/>
  <c r="G63" i="24"/>
  <c r="O63" i="24"/>
  <c r="H59" i="24"/>
  <c r="P59" i="24"/>
  <c r="H63" i="24"/>
  <c r="P63" i="24"/>
  <c r="U19" i="24"/>
  <c r="U23" i="24"/>
  <c r="I57" i="24"/>
  <c r="Q57" i="24"/>
  <c r="I63" i="24"/>
  <c r="Q63" i="24"/>
  <c r="F19"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L20" i="23" s="1"/>
  <c r="L23" i="23"/>
  <c r="T23" i="23"/>
  <c r="M19" i="23"/>
  <c r="M20" i="23" s="1"/>
  <c r="E23" i="23"/>
  <c r="E24" i="23" s="1"/>
  <c r="I57" i="23"/>
  <c r="Q57" i="23"/>
  <c r="F23" i="23"/>
  <c r="F24" i="23" s="1"/>
  <c r="O19" i="23"/>
  <c r="A32" i="23"/>
  <c r="A34" i="23"/>
  <c r="A40" i="23"/>
  <c r="A42" i="23"/>
  <c r="A48" i="23"/>
  <c r="A50" i="23"/>
  <c r="H19" i="23"/>
  <c r="H20" i="23" s="1"/>
  <c r="U63" i="22"/>
  <c r="M63" i="22"/>
  <c r="E63" i="22"/>
  <c r="F63" i="22"/>
  <c r="T63" i="22"/>
  <c r="L63" i="22"/>
  <c r="D63" i="22"/>
  <c r="S63" i="22"/>
  <c r="K63" i="22"/>
  <c r="C63" i="22"/>
  <c r="N63" i="22"/>
  <c r="R63" i="22"/>
  <c r="J63" i="22"/>
  <c r="B63" i="22"/>
  <c r="Q63" i="22"/>
  <c r="I63" i="22"/>
  <c r="P63" i="22"/>
  <c r="H63" i="22"/>
  <c r="O63" i="22"/>
  <c r="G63" i="22"/>
  <c r="S19" i="22"/>
  <c r="L23" i="22"/>
  <c r="T23" i="22"/>
  <c r="K23" i="22"/>
  <c r="A31" i="22"/>
  <c r="A33" i="22"/>
  <c r="A41" i="22"/>
  <c r="A47" i="22"/>
  <c r="E19" i="22"/>
  <c r="E20" i="22" s="1"/>
  <c r="M19" i="22"/>
  <c r="M20" i="22" s="1"/>
  <c r="U23" i="22"/>
  <c r="I57" i="22"/>
  <c r="Q57" i="22"/>
  <c r="A39" i="22"/>
  <c r="A49" i="22"/>
  <c r="V23" i="22"/>
  <c r="A32" i="22"/>
  <c r="A34" i="22"/>
  <c r="A40" i="22"/>
  <c r="A42" i="22"/>
  <c r="A48" i="22"/>
  <c r="A50" i="22"/>
  <c r="P19" i="22"/>
  <c r="P64" i="21"/>
  <c r="P65" i="21" s="1"/>
  <c r="H23" i="21"/>
  <c r="H24" i="21" s="1"/>
  <c r="L23" i="21"/>
  <c r="L24" i="21" s="1"/>
  <c r="F23" i="21"/>
  <c r="F24" i="21" s="1"/>
  <c r="A33" i="21"/>
  <c r="A37" i="21"/>
  <c r="A41" i="21"/>
  <c r="A45" i="21"/>
  <c r="A49" i="21"/>
  <c r="E58" i="21"/>
  <c r="E61" i="21" s="1"/>
  <c r="M58" i="21"/>
  <c r="M61" i="21" s="1"/>
  <c r="U58" i="21"/>
  <c r="U61" i="21" s="1"/>
  <c r="U64" i="21" s="1"/>
  <c r="S19" i="21"/>
  <c r="C57" i="21"/>
  <c r="K57" i="21"/>
  <c r="S57" i="21"/>
  <c r="G19" i="21"/>
  <c r="G20" i="21" s="1"/>
  <c r="Q19" i="21"/>
  <c r="J23" i="21"/>
  <c r="J24" i="21" s="1"/>
  <c r="R23" i="21"/>
  <c r="R24" i="21" s="1"/>
  <c r="I19" i="21"/>
  <c r="I20" i="21" s="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2" l="1"/>
  <c r="C65" i="30"/>
  <c r="I65" i="30"/>
  <c r="K65" i="30"/>
  <c r="J65" i="30"/>
  <c r="G65" i="30"/>
  <c r="K65" i="28"/>
  <c r="Q65" i="28"/>
  <c r="L64" i="26"/>
  <c r="L65" i="26" s="1"/>
  <c r="L64" i="23"/>
  <c r="L65" i="23" s="1"/>
  <c r="I64" i="26"/>
  <c r="I65" i="26" s="1"/>
  <c r="E64" i="22"/>
  <c r="E65" i="22" s="1"/>
  <c r="C64" i="21"/>
  <c r="C65" i="21" s="1"/>
  <c r="C64" i="26"/>
  <c r="C65" i="26" s="1"/>
  <c r="K64" i="22"/>
  <c r="K65" i="22" s="1"/>
  <c r="H64" i="30"/>
  <c r="H65" i="30" s="1"/>
  <c r="S64" i="27"/>
  <c r="S65" i="27" s="1"/>
  <c r="D64" i="27"/>
  <c r="D65" i="27" s="1"/>
  <c r="U66" i="21"/>
  <c r="U65" i="21"/>
  <c r="U66" i="30"/>
  <c r="U65" i="30"/>
  <c r="R64" i="22"/>
  <c r="R65" i="22" s="1"/>
  <c r="U66" i="26"/>
  <c r="U65" i="26"/>
  <c r="I64" i="22"/>
  <c r="I66" i="22" s="1"/>
  <c r="N64" i="21"/>
  <c r="N66" i="21" s="1"/>
  <c r="D64" i="28"/>
  <c r="D65" i="28" s="1"/>
  <c r="C64" i="22"/>
  <c r="C65" i="22" s="1"/>
  <c r="C23" i="22"/>
  <c r="C24" i="22" s="1"/>
  <c r="M65" i="22"/>
  <c r="J65" i="23"/>
  <c r="H65" i="23"/>
  <c r="E65" i="23"/>
  <c r="J65" i="24"/>
  <c r="L65" i="30"/>
  <c r="J65" i="28"/>
  <c r="I65" i="28"/>
  <c r="C23" i="21"/>
  <c r="C24" i="21" s="1"/>
  <c r="E64" i="30"/>
  <c r="E65" i="30" s="1"/>
  <c r="F64" i="26"/>
  <c r="F65" i="26" s="1"/>
  <c r="I64" i="23"/>
  <c r="I65" i="23" s="1"/>
  <c r="C64" i="27"/>
  <c r="C65" i="27" s="1"/>
  <c r="C64" i="29"/>
  <c r="C65" i="29" s="1"/>
  <c r="C64" i="23"/>
  <c r="C65" i="23" s="1"/>
  <c r="N64" i="22"/>
  <c r="N65" i="22" s="1"/>
  <c r="M66" i="26"/>
  <c r="M65" i="26"/>
  <c r="J64" i="27"/>
  <c r="J65" i="27" s="1"/>
  <c r="L64" i="28"/>
  <c r="L65" i="28" s="1"/>
  <c r="B64" i="30"/>
  <c r="B65" i="30"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L66" i="30"/>
  <c r="J66" i="28"/>
  <c r="G64" i="26"/>
  <c r="G64" i="29"/>
  <c r="F64" i="22"/>
  <c r="O64" i="26"/>
  <c r="T66" i="24"/>
  <c r="U66" i="23"/>
  <c r="P64" i="30"/>
  <c r="P66" i="23"/>
  <c r="E66" i="22"/>
  <c r="T66" i="23"/>
  <c r="Q66" i="21"/>
  <c r="P66" i="21"/>
  <c r="K66" i="27"/>
  <c r="G64" i="23"/>
  <c r="Q66" i="24"/>
  <c r="R66" i="27"/>
  <c r="H66" i="23"/>
  <c r="G64" i="27"/>
  <c r="G66" i="30"/>
  <c r="J66" i="30"/>
  <c r="F64" i="27"/>
  <c r="T66" i="27"/>
  <c r="T66" i="21"/>
  <c r="S66" i="24"/>
  <c r="L66" i="21"/>
  <c r="S66" i="26"/>
  <c r="T66" i="30"/>
  <c r="H66" i="22"/>
  <c r="R66" i="28"/>
  <c r="N64" i="26"/>
  <c r="O64" i="29"/>
  <c r="P64" i="29"/>
  <c r="S64" i="1"/>
  <c r="R66" i="26"/>
  <c r="N64" i="29"/>
  <c r="R66" i="30"/>
  <c r="O66" i="22"/>
  <c r="R64" i="1"/>
  <c r="J66" i="23"/>
  <c r="Q64" i="1"/>
  <c r="U64" i="1"/>
  <c r="P64" i="1"/>
  <c r="E66" i="27"/>
  <c r="J66" i="24"/>
  <c r="Q66" i="29"/>
  <c r="F64" i="29"/>
  <c r="O64" i="23"/>
  <c r="O64" i="30"/>
  <c r="N64" i="24"/>
  <c r="B66" i="24"/>
  <c r="K66" i="30"/>
  <c r="C66" i="30"/>
  <c r="I66" i="30"/>
  <c r="R66" i="29"/>
  <c r="I66" i="29"/>
  <c r="S66" i="29"/>
  <c r="T66" i="28"/>
  <c r="Q66" i="28"/>
  <c r="I66" i="28"/>
  <c r="S66" i="28"/>
  <c r="K66" i="28"/>
  <c r="Q66" i="27"/>
  <c r="I66" i="27"/>
  <c r="Q66" i="26"/>
  <c r="H66" i="26"/>
  <c r="L66" i="24"/>
  <c r="D66" i="24"/>
  <c r="E66" i="23"/>
  <c r="M66" i="22"/>
  <c r="S66" i="22"/>
  <c r="T66" i="22"/>
  <c r="K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P66" i="24" l="1"/>
  <c r="L66" i="23"/>
  <c r="I66" i="26"/>
  <c r="C66" i="26"/>
  <c r="L66" i="26"/>
  <c r="H66" i="30"/>
  <c r="G65" i="1"/>
  <c r="Q66" i="22"/>
  <c r="I65" i="1"/>
  <c r="P66" i="27"/>
  <c r="N65" i="1"/>
  <c r="R66" i="22"/>
  <c r="O65" i="1"/>
  <c r="K66" i="22"/>
  <c r="J66" i="26"/>
  <c r="C66" i="21"/>
  <c r="T65" i="1"/>
  <c r="P65" i="1"/>
  <c r="C65" i="1"/>
  <c r="Q65" i="1"/>
  <c r="S65" i="1"/>
  <c r="R65" i="1"/>
  <c r="D65" i="1"/>
  <c r="U65" i="1"/>
  <c r="O66" i="29"/>
  <c r="O65" i="29"/>
  <c r="T66" i="26"/>
  <c r="T65" i="26"/>
  <c r="U66" i="29"/>
  <c r="U65" i="29"/>
  <c r="P66" i="26"/>
  <c r="O66" i="26"/>
  <c r="O65" i="26"/>
  <c r="O66" i="28"/>
  <c r="O65" i="28"/>
  <c r="U66" i="24"/>
  <c r="U65" i="24"/>
  <c r="S66" i="21"/>
  <c r="S65" i="21"/>
  <c r="U66" i="22"/>
  <c r="U65" i="22"/>
  <c r="D66" i="28"/>
  <c r="S66" i="23"/>
  <c r="O66" i="27"/>
  <c r="O65" i="27"/>
  <c r="U66" i="28"/>
  <c r="U65" i="28"/>
  <c r="I65" i="22"/>
  <c r="U66" i="27"/>
  <c r="U65" i="27"/>
  <c r="Q66" i="23"/>
  <c r="Q65" i="23"/>
  <c r="S66" i="30"/>
  <c r="S65" i="30"/>
  <c r="R66" i="24"/>
  <c r="R65" i="24"/>
  <c r="D66" i="27"/>
  <c r="O66" i="24"/>
  <c r="O65" i="24"/>
  <c r="P66" i="29"/>
  <c r="P65" i="29"/>
  <c r="O66" i="30"/>
  <c r="O65" i="30"/>
  <c r="P66" i="28"/>
  <c r="P65" i="28"/>
  <c r="O66" i="23"/>
  <c r="O65" i="23"/>
  <c r="L66" i="28"/>
  <c r="P66" i="30"/>
  <c r="P65" i="30"/>
  <c r="R66" i="23"/>
  <c r="R65" i="23"/>
  <c r="N65" i="21"/>
  <c r="C66" i="22"/>
  <c r="M65" i="1"/>
  <c r="L65" i="1"/>
  <c r="K65" i="1"/>
  <c r="J65" i="1"/>
  <c r="H65" i="1"/>
  <c r="F65" i="1"/>
  <c r="E65" i="1"/>
  <c r="B65" i="1"/>
  <c r="N66" i="22"/>
  <c r="M66" i="28"/>
  <c r="K66" i="24"/>
  <c r="D66" i="22"/>
  <c r="H66" i="21"/>
  <c r="D66" i="23"/>
  <c r="I66" i="24"/>
  <c r="E66" i="30"/>
  <c r="F66" i="26"/>
  <c r="D66" i="26"/>
  <c r="I66" i="23"/>
  <c r="C66" i="27"/>
  <c r="C66" i="23"/>
  <c r="C66" i="29"/>
  <c r="M66" i="21"/>
  <c r="N66" i="23"/>
  <c r="L66" i="29"/>
  <c r="D66" i="29"/>
  <c r="L66" i="22"/>
  <c r="M66" i="24"/>
  <c r="M66" i="29"/>
  <c r="G66" i="28"/>
  <c r="G65" i="28"/>
  <c r="K66" i="29"/>
  <c r="K65" i="29"/>
  <c r="F66" i="27"/>
  <c r="F65" i="27"/>
  <c r="F66" i="22"/>
  <c r="F65" i="22"/>
  <c r="M66" i="27"/>
  <c r="M65" i="27"/>
  <c r="H66" i="29"/>
  <c r="H65" i="29"/>
  <c r="N66" i="29"/>
  <c r="N65" i="29"/>
  <c r="N66" i="27"/>
  <c r="N65" i="27"/>
  <c r="F66" i="21"/>
  <c r="F65" i="21"/>
  <c r="F66" i="23"/>
  <c r="F65" i="23"/>
  <c r="F66" i="29"/>
  <c r="F65" i="29"/>
  <c r="G66" i="23"/>
  <c r="G65" i="23"/>
  <c r="G66" i="29"/>
  <c r="G65" i="29"/>
  <c r="L66" i="27"/>
  <c r="L65" i="27"/>
  <c r="J66" i="22"/>
  <c r="J65" i="22"/>
  <c r="G66" i="21"/>
  <c r="G65" i="21"/>
  <c r="G66" i="22"/>
  <c r="G65" i="22"/>
  <c r="H66" i="28"/>
  <c r="H65" i="28"/>
  <c r="G66" i="26"/>
  <c r="G65" i="26"/>
  <c r="I66" i="21"/>
  <c r="I65" i="21"/>
  <c r="C66" i="24"/>
  <c r="C65" i="24"/>
  <c r="E66" i="24"/>
  <c r="E65" i="24"/>
  <c r="F66" i="28"/>
  <c r="F65" i="28"/>
  <c r="N66" i="24"/>
  <c r="N65" i="24"/>
  <c r="J66" i="29"/>
  <c r="J65" i="29"/>
  <c r="G66" i="27"/>
  <c r="G65" i="27"/>
  <c r="C66" i="28"/>
  <c r="C65" i="28"/>
  <c r="H66" i="24"/>
  <c r="H65" i="24"/>
  <c r="F66" i="24"/>
  <c r="F65" i="24"/>
  <c r="M66" i="23"/>
  <c r="M65" i="23"/>
  <c r="H66" i="27"/>
  <c r="H65" i="27"/>
  <c r="N66" i="26"/>
  <c r="N65" i="26"/>
  <c r="J66" i="27"/>
  <c r="K66" i="26"/>
  <c r="K65" i="26"/>
  <c r="G66" i="24"/>
  <c r="G65" i="24"/>
  <c r="E66" i="28"/>
  <c r="E65" i="28"/>
  <c r="K66" i="23"/>
  <c r="K65" i="23"/>
  <c r="J66" i="21"/>
  <c r="J65" i="21"/>
  <c r="E66" i="21"/>
  <c r="E65" i="21"/>
  <c r="N66" i="30"/>
  <c r="N65" i="30"/>
  <c r="E66" i="29"/>
  <c r="E65" i="29"/>
  <c r="M66" i="30"/>
  <c r="M65" i="30"/>
  <c r="F66" i="30"/>
  <c r="F65" i="30"/>
  <c r="N66" i="28"/>
  <c r="N65" i="28"/>
  <c r="E66" i="26"/>
  <c r="E65" i="26"/>
  <c r="B66" i="30"/>
  <c r="B66" i="26"/>
  <c r="B65" i="26"/>
  <c r="B66" i="21"/>
  <c r="B65" i="21"/>
  <c r="B66" i="29"/>
  <c r="B65" i="29"/>
  <c r="B66" i="27"/>
  <c r="B65" i="27"/>
  <c r="B66" i="22"/>
  <c r="B65" i="22"/>
  <c r="B66" i="28"/>
  <c r="B65" i="28"/>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<sst xmlns="http://schemas.openxmlformats.org/spreadsheetml/2006/main" count="2247" uniqueCount="170">
  <si>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</si>
  <si>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</si>
  <si>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</si>
  <si>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</si>
  <si>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</si>
  <si>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</si>
  <si>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</si>
  <si>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</si>
  <si>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</si>
  <si>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</si>
  <si>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</si>
  <si>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</si>
  <si>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</si>
  <si>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</si>
  <si>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</si>
  <si>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</si>
  <si>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</si>
  <si>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</si>
  <si>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</si>
  <si>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</si>
  <si>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</si>
  <si>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</si>
  <si>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</si>
  <si>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</si>
  <si>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</si>
  <si>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</si>
  <si>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</si>
  <si>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</si>
  <si>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</si>
  <si>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</si>
  <si>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</si>
  <si>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</si>
  <si>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</si>
  <si>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</si>
  <si>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</si>
  <si>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</si>
  <si>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</si>
  <si>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</si>
  <si>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</si>
  <si>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</si>
  <si>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</si>
  <si>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</si>
  <si>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</si>
  <si>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</si>
  <si>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</si>
  <si>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</si>
  <si>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</si>
  <si>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</si>
  <si>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</si>
  <si>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</si>
  <si>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</si>
  <si>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</si>
  <si>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</si>
  <si>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</si>
  <si>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</si>
  <si>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</si>
  <si>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</si>
  <si>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</si>
  <si>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</si>
  <si>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</si>
  <si>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</si>
  <si>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</si>
  <si>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</si>
  <si>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</si>
  <si>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</si>
  <si>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</si>
  <si>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</si>
  <si>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</si>
  <si>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</si>
  <si>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</si>
  <si>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</si>
  <si>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</si>
  <si>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</si>
  <si>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</si>
  <si>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</si>
  <si>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</si>
  <si>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</si>
  <si>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</si>
  <si>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</si>
  <si>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</si>
  <si>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</si>
  <si>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</si>
  <si>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</si>
  <si>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</si>
  <si>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</si>
  <si>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</si>
  <si>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</si>
  <si>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</si>
  <si>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</si>
  <si>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</si>
  <si>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</si>
  <si>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</si>
  <si>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</si>
  <si>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</si>
  <si>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</si>
  <si>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</si>
  <si>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</si>
  <si>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</si>
  <si>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</si>
  <si>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</si>
  <si>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</si>
  <si>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</si>
  <si>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</si>
  <si>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</si>
  <si>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</si>
  <si>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</si>
  <si>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</si>
  <si>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</si>
  <si>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</si>
  <si>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</si>
  <si>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</si>
  <si>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</si>
  <si>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</si>
  <si>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</si>
  <si>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</si>
  <si>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</si>
  <si>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</si>
  <si>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</si>
  <si>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</si>
  <si>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</si>
  <si>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</si>
  <si>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</si>
  <si>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</si>
  <si>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</si>
  <si>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</si>
  <si>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</si>
  <si>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</si>
  <si>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</si>
  <si>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</si>
  <si>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</si>
  <si>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</si>
  <si>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</si>
  <si>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</si>
  <si>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</si>
  <si>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</si>
  <si>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</si>
  <si>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</si>
  <si>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</si>
  <si>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</si>
  <si>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</si>
  <si>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</si>
  <si>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</si>
  <si>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</si>
  <si>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</si>
  <si>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</si>
  <si>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</si>
  <si>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</si>
  <si>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</si>
  <si>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</si>
  <si>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</si>
  <si>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</si>
  <si>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</si>
  <si>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</si>
  <si>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</si>
  <si>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</si>
  <si>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</si>
  <si>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</si>
  <si>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</si>
  <si>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</si>
  <si>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</si>
  <si>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PAN-017904</t>
  </si>
  <si>
    <t>EPR/GP3792SK</t>
  </si>
  <si>
    <t>Mr Richard Evans</t>
  </si>
  <si>
    <t>Noyadd Farm Rhayader, Powys, LD6 5HH</t>
  </si>
  <si>
    <t>Owen Clee</t>
  </si>
  <si>
    <t>19 09 02</t>
  </si>
  <si>
    <t>Potable water
treatment
sludge</t>
  </si>
  <si>
    <t xml:space="preserve">Moderate </t>
  </si>
  <si>
    <t>19 06 06</t>
  </si>
  <si>
    <t>Anaerobic digestate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</si>
</sst>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86" zoomScaleNormal="86" workbookViewId="0">
      <selection activeCell="B37" sqref="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2" t="s">
        <v>45</v>
      </c>
      <c r="F1" s="95">
        <v>25.1</v>
      </c>
      <c r="G1" s="124" t="s">
        <v>43</v>
      </c>
      <c r="H1" s="125"/>
      <c r="I1" s="95">
        <v>6.8</v>
      </c>
      <c r="J1" s="128" t="s">
        <v>153</v>
      </c>
      <c r="K1" s="128"/>
      <c r="L1" s="95">
        <v>214</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161</v>
      </c>
      <c r="D2" s="121"/>
      <c r="E2" s="92" t="s">
        <v>109</v>
      </c>
      <c r="F2" s="95" t="s">
        <v>165</v>
      </c>
      <c r="G2" s="126" t="s">
        <v>110</v>
      </c>
      <c r="H2" s="127"/>
      <c r="I2" s="95"/>
      <c r="J2" s="128" t="s">
        <v>158</v>
      </c>
      <c r="K2" s="128"/>
      <c r="L2" s="95">
        <v>0.746</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162</v>
      </c>
      <c r="D3" s="121"/>
      <c r="E3" s="92" t="s">
        <v>108</v>
      </c>
      <c r="F3" s="30" t="s">
        <v>78</v>
      </c>
      <c r="G3" s="128" t="s">
        <v>159</v>
      </c>
      <c r="H3" s="128"/>
      <c r="I3" s="95"/>
      <c r="J3" s="124" t="s">
        <v>154</v>
      </c>
      <c r="K3" s="125"/>
      <c r="L3" s="95">
        <f>(L1/(L2*10000))*100</f>
        <v>2.8686327077747991</v>
      </c>
      <c r="AB3" s="29" t="s">
        <v>57</v>
      </c>
      <c r="AC3" s="17"/>
      <c r="AD3" s="29" t="s">
        <v>71</v>
      </c>
      <c r="AE3" s="17"/>
      <c r="AF3" s="17"/>
      <c r="AG3" s="43" t="s">
        <v>77</v>
      </c>
      <c r="AH3" s="18"/>
      <c r="AI3" s="47" t="s">
        <v>113</v>
      </c>
      <c r="AJ3" s="48">
        <v>1.7</v>
      </c>
      <c r="AK3" s="49">
        <v>6</v>
      </c>
      <c r="AL3" s="50">
        <v>1</v>
      </c>
      <c r="AM3" s="11">
        <v>6.2</v>
      </c>
      <c r="AN3" s="11" t="s">
        <v>112</v>
      </c>
    </row>
    <row r="4" spans="1:40" ht="37.5" x14ac:dyDescent="0.25">
      <c r="A4" s="128" t="s">
        <v>0</v>
      </c>
      <c r="B4" s="128"/>
      <c r="C4" s="122" t="s">
        <v>163</v>
      </c>
      <c r="D4" s="123"/>
      <c r="E4" s="93" t="s">
        <v>1</v>
      </c>
      <c r="F4" s="118" t="s">
        <v>166</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29" t="s">
        <v>164</v>
      </c>
      <c r="D5" s="129"/>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v>29</v>
      </c>
      <c r="D8" s="15">
        <v>31</v>
      </c>
      <c r="E8" s="15">
        <v>33</v>
      </c>
      <c r="F8" s="15">
        <v>34</v>
      </c>
      <c r="G8" s="15">
        <v>35</v>
      </c>
      <c r="H8" s="15">
        <v>36</v>
      </c>
      <c r="I8" s="15">
        <v>37</v>
      </c>
      <c r="J8" s="15">
        <v>38</v>
      </c>
      <c r="K8" s="15"/>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167</v>
      </c>
      <c r="D9" s="15" t="s">
        <v>167</v>
      </c>
      <c r="E9" s="15" t="s">
        <v>167</v>
      </c>
      <c r="F9" s="15" t="s">
        <v>167</v>
      </c>
      <c r="G9" s="15" t="s">
        <v>167</v>
      </c>
      <c r="H9" s="15" t="s">
        <v>167</v>
      </c>
      <c r="I9" s="15" t="s">
        <v>167</v>
      </c>
      <c r="J9" s="15" t="s">
        <v>167</v>
      </c>
      <c r="K9" s="15"/>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5.7</v>
      </c>
      <c r="D10" s="15">
        <v>5.7</v>
      </c>
      <c r="E10" s="15">
        <v>5.7</v>
      </c>
      <c r="F10" s="15">
        <v>5.6</v>
      </c>
      <c r="G10" s="15">
        <v>6.1</v>
      </c>
      <c r="H10" s="15">
        <v>5.6</v>
      </c>
      <c r="I10" s="15">
        <v>5.7</v>
      </c>
      <c r="J10" s="15">
        <v>5.7</v>
      </c>
      <c r="K10" s="15"/>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1</v>
      </c>
      <c r="D11" s="15">
        <v>0</v>
      </c>
      <c r="E11" s="15">
        <v>1</v>
      </c>
      <c r="F11" s="15">
        <v>1</v>
      </c>
      <c r="G11" s="15">
        <v>0</v>
      </c>
      <c r="H11" s="15">
        <v>2</v>
      </c>
      <c r="I11" s="15">
        <v>1</v>
      </c>
      <c r="J11" s="15">
        <v>1</v>
      </c>
      <c r="K11" s="15"/>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2</v>
      </c>
      <c r="D12" s="15">
        <v>0</v>
      </c>
      <c r="E12" s="15">
        <v>1</v>
      </c>
      <c r="F12" s="15">
        <v>0</v>
      </c>
      <c r="G12" s="15">
        <v>0</v>
      </c>
      <c r="H12" s="15">
        <v>2</v>
      </c>
      <c r="I12" s="15">
        <v>2</v>
      </c>
      <c r="J12" s="15">
        <v>1</v>
      </c>
      <c r="K12" s="15"/>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2</v>
      </c>
      <c r="D13" s="15">
        <v>1</v>
      </c>
      <c r="E13" s="15">
        <v>1</v>
      </c>
      <c r="F13" s="15">
        <v>1</v>
      </c>
      <c r="G13" s="15">
        <v>1</v>
      </c>
      <c r="H13" s="15">
        <v>2</v>
      </c>
      <c r="I13" s="15">
        <v>2</v>
      </c>
      <c r="J13" s="15">
        <v>2</v>
      </c>
      <c r="K13" s="15"/>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7" t="s">
        <v>8</v>
      </c>
      <c r="B14" s="137"/>
      <c r="C14" s="99" t="s">
        <v>113</v>
      </c>
      <c r="D14" s="99" t="s">
        <v>113</v>
      </c>
      <c r="E14" s="99" t="s">
        <v>113</v>
      </c>
      <c r="F14" s="99" t="s">
        <v>113</v>
      </c>
      <c r="G14" s="99" t="s">
        <v>113</v>
      </c>
      <c r="H14" s="99" t="s">
        <v>113</v>
      </c>
      <c r="I14" s="99" t="s">
        <v>113</v>
      </c>
      <c r="J14" s="99" t="s">
        <v>113</v>
      </c>
      <c r="K14" s="99"/>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6" t="s">
        <v>9</v>
      </c>
      <c r="B15" s="136"/>
      <c r="C15" s="15">
        <v>38</v>
      </c>
      <c r="D15" s="15">
        <v>38</v>
      </c>
      <c r="E15" s="15">
        <v>38</v>
      </c>
      <c r="F15" s="15">
        <v>38</v>
      </c>
      <c r="G15" s="15">
        <v>38</v>
      </c>
      <c r="H15" s="15">
        <v>38</v>
      </c>
      <c r="I15" s="15">
        <v>38</v>
      </c>
      <c r="J15" s="15">
        <v>38</v>
      </c>
      <c r="K15" s="15"/>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8" t="s">
        <v>44</v>
      </c>
      <c r="B16" s="138"/>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(VLOOKUP(D$14,$AI2:$AK26,2,FALSE))*D$15</f>
        <v>64.599999999999994</v>
      </c>
      <c r="E17" s="27">
        <f>(VLOOKUP(E$14,$AI2:$AK26,2,FALSE))*E$15</f>
        <v>64.599999999999994</v>
      </c>
      <c r="F17" s="27">
        <f>(VLOOKUP(F$14,$AI2:$AK26,2,FALSE))*F$15</f>
        <v>64.599999999999994</v>
      </c>
      <c r="G17" s="27">
        <f>(VLOOKUP(G$14,$AI2:$AK26,2,FALSE))*G$15</f>
        <v>64.599999999999994</v>
      </c>
      <c r="H17" s="27">
        <f t="shared" ref="H17:V17" si="0">(VLOOKUP(H$14,$AI2:$AK26,2,FALSE))*H$15</f>
        <v>64.599999999999994</v>
      </c>
      <c r="I17" s="27">
        <f>(VLOOKUP(I$14,$AI2:$AK26,2,FALSE))*I$15</f>
        <v>64.599999999999994</v>
      </c>
      <c r="J17" s="27">
        <f>(VLOOKUP(J$14,$AI2:$AK26,2,FALSE))*J$15</f>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124.22088375000001</v>
      </c>
      <c r="D18" s="16">
        <f>$D32</f>
        <v>124.22088375000001</v>
      </c>
      <c r="E18" s="16">
        <f>$D33</f>
        <v>124.22088375000001</v>
      </c>
      <c r="F18" s="16">
        <f>$D34</f>
        <v>124.22088375000001</v>
      </c>
      <c r="G18" s="16">
        <f>$D35</f>
        <v>124.22088375000001</v>
      </c>
      <c r="H18" s="16">
        <f>$D36</f>
        <v>64.594859549999995</v>
      </c>
      <c r="I18" s="16">
        <f>$D37</f>
        <v>124.22088375000001</v>
      </c>
      <c r="J18" s="16">
        <f>$D38</f>
        <v>124.22088375000001</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59.620883750000019</v>
      </c>
      <c r="D19" s="16">
        <f t="shared" ref="D19:V19" si="1">D18-D17</f>
        <v>59.620883750000019</v>
      </c>
      <c r="E19" s="16">
        <f t="shared" si="1"/>
        <v>59.620883750000019</v>
      </c>
      <c r="F19" s="16">
        <f t="shared" si="1"/>
        <v>59.620883750000019</v>
      </c>
      <c r="G19" s="16">
        <f t="shared" si="1"/>
        <v>59.620883750000019</v>
      </c>
      <c r="H19" s="16">
        <f t="shared" si="1"/>
        <v>-5.1404499999989639E-3</v>
      </c>
      <c r="I19" s="16">
        <f t="shared" si="1"/>
        <v>59.620883750000019</v>
      </c>
      <c r="J19" s="16">
        <f t="shared" si="1"/>
        <v>59.620883750000019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DECREASE</v>
      </c>
      <c r="I20" s="25" t="str">
        <f>IF($B37="","",IF(I$19&gt;=0,"INCREASE","DECREASE"))</f>
        <v>INCREASE</v>
      </c>
      <c r="J20" s="25" t="str">
        <f>IF($B38="","",IF(J$19&gt;=0,"INCREASE","DECREASE"))</f>
        <v>INCREASE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(VLOOKUP(D$14,$AI2:$AK26,3,FALSE))*D$15</f>
        <v>228</v>
      </c>
      <c r="E21" s="27">
        <f>(VLOOKUP(E$14,$AI2:$AK26,3,FALSE))*E$15</f>
        <v>228</v>
      </c>
      <c r="F21" s="27">
        <f>(VLOOKUP(F$14,$AI2:$AK26,3,FALSE))*F$15</f>
        <v>228</v>
      </c>
      <c r="G21" s="27">
        <f>(VLOOKUP(G$14,$AI2:$AK26,3,FALSE))*G$15</f>
        <v>228</v>
      </c>
      <c r="H21" s="27">
        <f t="shared" ref="H21:V21" si="2">(VLOOKUP(H$14,$AI2:$AK26,3,FALSE))*H$15</f>
        <v>228</v>
      </c>
      <c r="I21" s="27">
        <f>(VLOOKUP(I$14,$AI2:$AK26,3,FALSE))*I$15</f>
        <v>228</v>
      </c>
      <c r="J21" s="27">
        <f>(VLOOKUP(J$14,$AI2:$AK26,3,FALSE))*J$15</f>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1.0989600000000002</v>
      </c>
      <c r="D22" s="16">
        <f>$E32</f>
        <v>1.0989600000000002</v>
      </c>
      <c r="E22" s="16">
        <f>$E33</f>
        <v>1.0989600000000002</v>
      </c>
      <c r="F22" s="16">
        <f>$E34</f>
        <v>1.0989600000000002</v>
      </c>
      <c r="G22" s="16">
        <f>$E35</f>
        <v>1.0989600000000002</v>
      </c>
      <c r="H22" s="16">
        <f>$E36</f>
        <v>0.57145920000000006</v>
      </c>
      <c r="I22" s="16">
        <f>$E37</f>
        <v>1.0989600000000002</v>
      </c>
      <c r="J22" s="16">
        <f>$E38</f>
        <v>1.0989600000000002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-226.90103999999999</v>
      </c>
      <c r="D23" s="16">
        <f t="shared" ref="D23:V23" si="3">D22-D21</f>
        <v>-226.90103999999999</v>
      </c>
      <c r="E23" s="16">
        <f t="shared" si="3"/>
        <v>-226.90103999999999</v>
      </c>
      <c r="F23" s="16">
        <f t="shared" si="3"/>
        <v>-226.90103999999999</v>
      </c>
      <c r="G23" s="16">
        <f t="shared" si="3"/>
        <v>-226.90103999999999</v>
      </c>
      <c r="H23" s="16">
        <f t="shared" si="3"/>
        <v>-227.42854080000001</v>
      </c>
      <c r="I23" s="16">
        <f t="shared" si="3"/>
        <v>-226.90103999999999</v>
      </c>
      <c r="J23" s="16">
        <f t="shared" si="3"/>
        <v>-226.90103999999999</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6" customFormat="1" x14ac:dyDescent="0.35">
      <c r="A28" s="107"/>
      <c r="B28" s="23">
        <v>2.85</v>
      </c>
      <c r="C28" s="15">
        <v>0.746</v>
      </c>
      <c r="D28" s="15">
        <v>0.76100000000000001</v>
      </c>
      <c r="E28" s="15">
        <v>1.2800000000000001E-2</v>
      </c>
      <c r="F28" s="15">
        <v>1320</v>
      </c>
      <c r="G28" s="15">
        <v>7.8</v>
      </c>
      <c r="H28" s="15">
        <v>631</v>
      </c>
      <c r="I28" s="15">
        <v>36.9</v>
      </c>
      <c r="J28" s="15">
        <v>2.4500000000000002</v>
      </c>
      <c r="K28" s="15">
        <v>0.71</v>
      </c>
      <c r="L28" s="15">
        <v>39.299999999999997</v>
      </c>
      <c r="M28" s="15">
        <v>12</v>
      </c>
      <c r="N28" s="15">
        <v>6060</v>
      </c>
      <c r="O28" s="15">
        <v>338000</v>
      </c>
      <c r="P28" s="15"/>
      <c r="Q28" s="15">
        <v>2510</v>
      </c>
      <c r="R28" s="15"/>
      <c r="S28" s="15">
        <v>16.399999999999999</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v>250</v>
      </c>
      <c r="C31" s="76">
        <f t="shared" ref="C31:C42" si="5">IF(C$27="%w/w SAR",((C$28*10)*$B31),IF(C$27="%w/w DM",(((C$28*10)*($B$28/100))*$B31),IF(C$27="kg/t SAR",(C$28*$B31),IF(C$27="kg/t DM",((C$28*($B$28/100))*$B31),IF(C$27="mg/kg SAR",((C$28*0.001)*$B31),IF(C$27="mg/kg DM",(((C$28*0.001)*($B$28/100))*$B31),0))))))</f>
        <v>53.152499999999996</v>
      </c>
      <c r="D31" s="76">
        <f t="shared" ref="D31:D42" si="6">(IF(D$27="%w/w SAR",((D$28*10)*$B31),IF(D$27="%w/w DM",(((D$28*10)*($B$28/100))*$B31),IF(D$27="kg/t SAR",(D$28*$B31),IF(D$27="kg/t DM",((D$28*($B$28/100))*$B31),IF(D$27="mg/kg SAR",((D$28*0.001)*$B31),IF(D$27="mg/kg DM",(((D$28*0.001)*($B$28/100))*$B31),"0")))))))*2.291</f>
        <v>124.22088375000001</v>
      </c>
      <c r="E31" s="76">
        <f t="shared" ref="E31:E42" si="7">(IF(E$27="%w/w SAR",((E$28*10)*$B31),IF(E$27="%w/w DM",(((E$28*10)*($B$28/100))*$B31),IF(E$27="kg/t SAR",(E$28*$B31),IF(E$27="kg/t DM",((E$28*($B$28/100))*$B31),IF(E$27="mg/kg SAR",((E$28*0.001)*$B31),IF(E$27="mg/kg DM",(((E$28*0.001)*($B$28/100))*$B31),"0")))))))*1.205</f>
        <v>1.0989600000000002</v>
      </c>
      <c r="F31" s="76">
        <f t="shared" ref="F31:F42" si="8">(IF(F$27="%w/w SAR",((F$28*10)*$B31),IF(F$27="%w/w DM",(((F$28*10)*($B$28/100))*$B31),IF(F$27="kg/t SAR",(F$28*$B31),IF(F$27="kg/t DM",((F$28*($B$28/100))*$B31),IF(F$27="mg/kg SAR",((F$28*0.001)*$B31),IF(F$27="mg/kg DM",(((F$28*0.001)*($B$28/100))*$B31),"0")))))))*1.658</f>
        <v>15.593489999999997</v>
      </c>
      <c r="G31" s="76">
        <f t="shared" ref="G31:P31" si="9">IF(G$27="%w/w SAR",((G$28*10)*$B31),IF(G$27="%w/w DM",(((G$28*10)*($B$28/100))*$B31),IF(G$27="kg/t SAR",(G$28*$B31),IF(G$27="kg/t DM",((G$28*($B$28/100))*$B31),IF(G$27="mg/kg SAR",((G$28*0.001)*$B31),IF(G$27="mg/kg DM",(((G$28*0.001)*($B$28/100))*$B31),0))))))</f>
        <v>5.5574999999999999E-2</v>
      </c>
      <c r="H31" s="76">
        <f t="shared" si="9"/>
        <v>4.4958749999999998</v>
      </c>
      <c r="I31" s="76">
        <f t="shared" si="9"/>
        <v>0.26291250000000005</v>
      </c>
      <c r="J31" s="76">
        <f t="shared" si="9"/>
        <v>1.7456250000000003E-2</v>
      </c>
      <c r="K31" s="76">
        <f t="shared" si="9"/>
        <v>5.0587500000000007E-3</v>
      </c>
      <c r="L31" s="76">
        <f t="shared" si="9"/>
        <v>0.28001249999999994</v>
      </c>
      <c r="M31" s="76">
        <f t="shared" si="9"/>
        <v>8.5500000000000007E-2</v>
      </c>
      <c r="N31" s="76">
        <f t="shared" si="9"/>
        <v>43.177500000000009</v>
      </c>
      <c r="O31" s="76">
        <f t="shared" si="9"/>
        <v>2408.25</v>
      </c>
      <c r="P31" s="76">
        <f t="shared" si="9"/>
        <v>0</v>
      </c>
      <c r="Q31" s="76">
        <f t="shared" ref="Q31:Q42" si="10">(IF(Q$27="%w/w SAR",((Q$28*10)*$B31),IF(Q$27="%w/w DM",(((Q$28*10)*($B$28/100))*$B31),IF(Q$27="kg/t SAR",(Q$28*$B31),IF(Q$27="kg/t DM",((Q$28*($B$28/100))*$B31),IF(Q$27="mg/kg SAR",((Q$28*0.001)*$B31),IF(Q$27="mg/kg DM",(((Q$28*0.001)*($B$28/100))*$B31),0)))))))*2.5</f>
        <v>44.709375000000009</v>
      </c>
      <c r="R31" s="76">
        <f t="shared" ref="R31:U42" si="11">IF(R$27="%w/w SAR",((R$28*10)*$B31),IF(R$27="%w/w DM",(((R$28*10)*($B$28/100))*$B31),IF(R$27="kg/t SAR",(R$28*$B31),IF(R$27="kg/t DM",((R$28*($B$28/100))*$B31),IF(R$27="mg/kg SAR",((R$28*0.001)*$B31),IF(R$27="mg/kg DM",(((R$28*0.001)*($B$28/100))*$B31),0))))))</f>
        <v>0</v>
      </c>
      <c r="S31" s="76">
        <f t="shared" si="11"/>
        <v>0.11685</v>
      </c>
      <c r="T31" s="76">
        <f t="shared" si="11"/>
        <v>0</v>
      </c>
      <c r="U31" s="76">
        <f t="shared" si="11"/>
        <v>0</v>
      </c>
      <c r="AB31" s="58"/>
      <c r="AC31" s="58"/>
      <c r="AD31" s="58"/>
      <c r="AE31" s="58"/>
      <c r="AF31" s="58"/>
      <c r="AG31" s="58"/>
      <c r="AH31" s="58"/>
      <c r="AI31" s="58"/>
    </row>
    <row r="32" spans="1:40" s="71" customFormat="1" ht="13" x14ac:dyDescent="0.35">
      <c r="A32" s="13">
        <f>D8</f>
        <v>31</v>
      </c>
      <c r="B32" s="15">
        <v>250</v>
      </c>
      <c r="C32" s="76">
        <f t="shared" si="5"/>
        <v>53.152499999999996</v>
      </c>
      <c r="D32" s="76">
        <f t="shared" si="6"/>
        <v>124.22088375000001</v>
      </c>
      <c r="E32" s="76">
        <f t="shared" si="7"/>
        <v>1.0989600000000002</v>
      </c>
      <c r="F32" s="76">
        <f t="shared" si="8"/>
        <v>15.593489999999997</v>
      </c>
      <c r="G32" s="76">
        <f t="shared" ref="G32:P42" si="12">IF(G$27="%w/w SAR",((G$28*10)*$B32),IF(G$27="%w/w DM",(((G$28*10)*($B$28/100))*$B32),IF(G$27="kg/t SAR",(G$28*$B32),IF(G$27="kg/t DM",((G$28*($B$28/100))*$B32),IF(G$27="mg/kg SAR",((G$28*0.001)*$B32),IF(G$27="mg/kg DM",(((G$28*0.001)*($B$28/100))*$B32),0))))))</f>
        <v>5.5574999999999999E-2</v>
      </c>
      <c r="H32" s="76">
        <f t="shared" si="12"/>
        <v>4.4958749999999998</v>
      </c>
      <c r="I32" s="76">
        <f t="shared" si="12"/>
        <v>0.26291250000000005</v>
      </c>
      <c r="J32" s="76">
        <f t="shared" si="12"/>
        <v>1.7456250000000003E-2</v>
      </c>
      <c r="K32" s="76">
        <f t="shared" si="12"/>
        <v>5.0587500000000007E-3</v>
      </c>
      <c r="L32" s="76">
        <f t="shared" si="12"/>
        <v>0.28001249999999994</v>
      </c>
      <c r="M32" s="76">
        <f t="shared" si="12"/>
        <v>8.5500000000000007E-2</v>
      </c>
      <c r="N32" s="76">
        <f t="shared" si="12"/>
        <v>43.177500000000009</v>
      </c>
      <c r="O32" s="76">
        <f t="shared" si="12"/>
        <v>2408.25</v>
      </c>
      <c r="P32" s="76">
        <f t="shared" si="12"/>
        <v>0</v>
      </c>
      <c r="Q32" s="76">
        <f t="shared" si="10"/>
        <v>44.709375000000009</v>
      </c>
      <c r="R32" s="76">
        <f t="shared" si="11"/>
        <v>0</v>
      </c>
      <c r="S32" s="76">
        <f t="shared" si="11"/>
        <v>0.11685</v>
      </c>
      <c r="T32" s="76">
        <f t="shared" si="11"/>
        <v>0</v>
      </c>
      <c r="U32" s="76">
        <f t="shared" si="11"/>
        <v>0</v>
      </c>
      <c r="AB32" s="58"/>
      <c r="AC32" s="58"/>
      <c r="AD32" s="58"/>
      <c r="AE32" s="58"/>
      <c r="AF32" s="58"/>
      <c r="AG32" s="58"/>
      <c r="AH32" s="58"/>
      <c r="AI32" s="58"/>
    </row>
    <row r="33" spans="1:35" s="71" customFormat="1" ht="13" x14ac:dyDescent="0.35">
      <c r="A33" s="13">
        <f>E8</f>
        <v>33</v>
      </c>
      <c r="B33" s="15">
        <v>250</v>
      </c>
      <c r="C33" s="76">
        <f t="shared" si="5"/>
        <v>53.152499999999996</v>
      </c>
      <c r="D33" s="76">
        <f t="shared" si="6"/>
        <v>124.22088375000001</v>
      </c>
      <c r="E33" s="76">
        <f t="shared" si="7"/>
        <v>1.0989600000000002</v>
      </c>
      <c r="F33" s="76">
        <f t="shared" si="8"/>
        <v>15.593489999999997</v>
      </c>
      <c r="G33" s="76">
        <f t="shared" si="12"/>
        <v>5.5574999999999999E-2</v>
      </c>
      <c r="H33" s="76">
        <f t="shared" si="12"/>
        <v>4.4958749999999998</v>
      </c>
      <c r="I33" s="76">
        <f t="shared" si="12"/>
        <v>0.26291250000000005</v>
      </c>
      <c r="J33" s="76">
        <f t="shared" si="12"/>
        <v>1.7456250000000003E-2</v>
      </c>
      <c r="K33" s="76">
        <f t="shared" si="12"/>
        <v>5.0587500000000007E-3</v>
      </c>
      <c r="L33" s="76">
        <f t="shared" si="12"/>
        <v>0.28001249999999994</v>
      </c>
      <c r="M33" s="76">
        <f t="shared" si="12"/>
        <v>8.5500000000000007E-2</v>
      </c>
      <c r="N33" s="76">
        <f t="shared" si="12"/>
        <v>43.177500000000009</v>
      </c>
      <c r="O33" s="76">
        <f t="shared" si="12"/>
        <v>2408.25</v>
      </c>
      <c r="P33" s="76">
        <f t="shared" si="12"/>
        <v>0</v>
      </c>
      <c r="Q33" s="76">
        <f t="shared" si="10"/>
        <v>44.709375000000009</v>
      </c>
      <c r="R33" s="76">
        <f t="shared" si="11"/>
        <v>0</v>
      </c>
      <c r="S33" s="76">
        <f t="shared" si="11"/>
        <v>0.11685</v>
      </c>
      <c r="T33" s="76">
        <f t="shared" si="11"/>
        <v>0</v>
      </c>
      <c r="U33" s="76">
        <f t="shared" si="11"/>
        <v>0</v>
      </c>
      <c r="AB33" s="58"/>
      <c r="AC33" s="58"/>
      <c r="AD33" s="58"/>
      <c r="AE33" s="58"/>
      <c r="AF33" s="58"/>
      <c r="AG33" s="58"/>
      <c r="AH33" s="58"/>
      <c r="AI33" s="58"/>
    </row>
    <row r="34" spans="1:35" s="71" customFormat="1" ht="13" x14ac:dyDescent="0.35">
      <c r="A34" s="13">
        <f>F8</f>
        <v>34</v>
      </c>
      <c r="B34" s="15">
        <v>250</v>
      </c>
      <c r="C34" s="76">
        <f t="shared" si="5"/>
        <v>53.152499999999996</v>
      </c>
      <c r="D34" s="76">
        <f t="shared" si="6"/>
        <v>124.22088375000001</v>
      </c>
      <c r="E34" s="76">
        <f t="shared" si="7"/>
        <v>1.0989600000000002</v>
      </c>
      <c r="F34" s="76">
        <f t="shared" si="8"/>
        <v>15.593489999999997</v>
      </c>
      <c r="G34" s="76">
        <f t="shared" si="12"/>
        <v>5.5574999999999999E-2</v>
      </c>
      <c r="H34" s="76">
        <f t="shared" si="12"/>
        <v>4.4958749999999998</v>
      </c>
      <c r="I34" s="76">
        <f t="shared" si="12"/>
        <v>0.26291250000000005</v>
      </c>
      <c r="J34" s="76">
        <f t="shared" si="12"/>
        <v>1.7456250000000003E-2</v>
      </c>
      <c r="K34" s="76">
        <f t="shared" si="12"/>
        <v>5.0587500000000007E-3</v>
      </c>
      <c r="L34" s="76">
        <f t="shared" si="12"/>
        <v>0.28001249999999994</v>
      </c>
      <c r="M34" s="76">
        <f t="shared" si="12"/>
        <v>8.5500000000000007E-2</v>
      </c>
      <c r="N34" s="76">
        <f t="shared" si="12"/>
        <v>43.177500000000009</v>
      </c>
      <c r="O34" s="76">
        <f t="shared" si="12"/>
        <v>2408.25</v>
      </c>
      <c r="P34" s="76">
        <f t="shared" si="12"/>
        <v>0</v>
      </c>
      <c r="Q34" s="76">
        <f t="shared" si="10"/>
        <v>44.709375000000009</v>
      </c>
      <c r="R34" s="76">
        <f t="shared" si="11"/>
        <v>0</v>
      </c>
      <c r="S34" s="76">
        <f t="shared" si="11"/>
        <v>0.11685</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5"/>
        <v>53.152499999999996</v>
      </c>
      <c r="D35" s="76">
        <f t="shared" si="6"/>
        <v>124.22088375000001</v>
      </c>
      <c r="E35" s="76">
        <f t="shared" si="7"/>
        <v>1.0989600000000002</v>
      </c>
      <c r="F35" s="76">
        <f t="shared" si="8"/>
        <v>15.593489999999997</v>
      </c>
      <c r="G35" s="76">
        <f t="shared" si="12"/>
        <v>5.5574999999999999E-2</v>
      </c>
      <c r="H35" s="76">
        <f t="shared" si="12"/>
        <v>4.4958749999999998</v>
      </c>
      <c r="I35" s="76">
        <f t="shared" si="12"/>
        <v>0.26291250000000005</v>
      </c>
      <c r="J35" s="76">
        <f t="shared" si="12"/>
        <v>1.7456250000000003E-2</v>
      </c>
      <c r="K35" s="76">
        <f t="shared" si="12"/>
        <v>5.0587500000000007E-3</v>
      </c>
      <c r="L35" s="76">
        <f t="shared" si="12"/>
        <v>0.28001249999999994</v>
      </c>
      <c r="M35" s="76">
        <f t="shared" si="12"/>
        <v>8.5500000000000007E-2</v>
      </c>
      <c r="N35" s="76">
        <f t="shared" si="12"/>
        <v>43.177500000000009</v>
      </c>
      <c r="O35" s="76">
        <f t="shared" si="12"/>
        <v>2408.25</v>
      </c>
      <c r="P35" s="76">
        <f t="shared" si="12"/>
        <v>0</v>
      </c>
      <c r="Q35" s="76">
        <f t="shared" si="10"/>
        <v>44.709375000000009</v>
      </c>
      <c r="R35" s="76">
        <f t="shared" si="11"/>
        <v>0</v>
      </c>
      <c r="S35" s="76">
        <f t="shared" si="11"/>
        <v>0.11685</v>
      </c>
      <c r="T35" s="76">
        <f t="shared" si="11"/>
        <v>0</v>
      </c>
      <c r="U35" s="76">
        <f t="shared" si="11"/>
        <v>0</v>
      </c>
      <c r="AB35" s="58"/>
      <c r="AC35" s="58"/>
      <c r="AD35" s="58"/>
      <c r="AE35" s="58"/>
      <c r="AF35" s="58"/>
      <c r="AG35" s="58"/>
      <c r="AH35" s="58"/>
      <c r="AI35" s="58"/>
    </row>
    <row r="36" spans="1:35" s="71" customFormat="1" ht="13" x14ac:dyDescent="0.35">
      <c r="A36" s="13">
        <f>H8</f>
        <v>36</v>
      </c>
      <c r="B36" s="15">
        <v>130</v>
      </c>
      <c r="C36" s="76">
        <f t="shared" si="5"/>
        <v>27.639299999999999</v>
      </c>
      <c r="D36" s="76">
        <f t="shared" si="6"/>
        <v>64.594859549999995</v>
      </c>
      <c r="E36" s="76">
        <f t="shared" si="7"/>
        <v>0.57145920000000006</v>
      </c>
      <c r="F36" s="76">
        <f t="shared" si="8"/>
        <v>8.1086147999999998</v>
      </c>
      <c r="G36" s="76">
        <f t="shared" si="12"/>
        <v>2.8899000000000001E-2</v>
      </c>
      <c r="H36" s="76">
        <f t="shared" si="12"/>
        <v>2.3378549999999998</v>
      </c>
      <c r="I36" s="76">
        <f t="shared" si="12"/>
        <v>0.13671450000000002</v>
      </c>
      <c r="J36" s="76">
        <f t="shared" si="12"/>
        <v>9.077250000000002E-3</v>
      </c>
      <c r="K36" s="76">
        <f t="shared" si="12"/>
        <v>2.6305500000000002E-3</v>
      </c>
      <c r="L36" s="76">
        <f t="shared" si="12"/>
        <v>0.14560649999999997</v>
      </c>
      <c r="M36" s="76">
        <f t="shared" si="12"/>
        <v>4.446E-2</v>
      </c>
      <c r="N36" s="76">
        <f t="shared" si="12"/>
        <v>22.452300000000005</v>
      </c>
      <c r="O36" s="76">
        <f t="shared" si="12"/>
        <v>1252.2900000000002</v>
      </c>
      <c r="P36" s="76">
        <f t="shared" si="12"/>
        <v>0</v>
      </c>
      <c r="Q36" s="76">
        <f t="shared" si="10"/>
        <v>23.248875000000005</v>
      </c>
      <c r="R36" s="76">
        <f t="shared" si="11"/>
        <v>0</v>
      </c>
      <c r="S36" s="76">
        <f t="shared" si="11"/>
        <v>6.0761999999999997E-2</v>
      </c>
      <c r="T36" s="76">
        <f t="shared" si="11"/>
        <v>0</v>
      </c>
      <c r="U36" s="76">
        <f t="shared" si="11"/>
        <v>0</v>
      </c>
      <c r="AB36" s="58"/>
      <c r="AC36" s="58"/>
      <c r="AD36" s="58"/>
      <c r="AE36" s="58"/>
      <c r="AF36" s="58"/>
      <c r="AG36" s="58"/>
      <c r="AH36" s="58"/>
      <c r="AI36" s="58"/>
    </row>
    <row r="37" spans="1:35" s="71" customFormat="1" ht="13" x14ac:dyDescent="0.35">
      <c r="A37" s="13">
        <f>I8</f>
        <v>37</v>
      </c>
      <c r="B37" s="15">
        <v>250</v>
      </c>
      <c r="C37" s="76">
        <f t="shared" si="5"/>
        <v>53.152499999999996</v>
      </c>
      <c r="D37" s="76">
        <f t="shared" si="6"/>
        <v>124.22088375000001</v>
      </c>
      <c r="E37" s="76">
        <f t="shared" si="7"/>
        <v>1.0989600000000002</v>
      </c>
      <c r="F37" s="76">
        <f t="shared" si="8"/>
        <v>15.593489999999997</v>
      </c>
      <c r="G37" s="76">
        <f t="shared" si="12"/>
        <v>5.5574999999999999E-2</v>
      </c>
      <c r="H37" s="76">
        <f t="shared" si="12"/>
        <v>4.4958749999999998</v>
      </c>
      <c r="I37" s="76">
        <f t="shared" si="12"/>
        <v>0.26291250000000005</v>
      </c>
      <c r="J37" s="76">
        <f t="shared" si="12"/>
        <v>1.7456250000000003E-2</v>
      </c>
      <c r="K37" s="76">
        <f t="shared" si="12"/>
        <v>5.0587500000000007E-3</v>
      </c>
      <c r="L37" s="76">
        <f t="shared" si="12"/>
        <v>0.28001249999999994</v>
      </c>
      <c r="M37" s="76">
        <f t="shared" si="12"/>
        <v>8.5500000000000007E-2</v>
      </c>
      <c r="N37" s="76">
        <f t="shared" si="12"/>
        <v>43.177500000000009</v>
      </c>
      <c r="O37" s="76">
        <f t="shared" si="12"/>
        <v>2408.25</v>
      </c>
      <c r="P37" s="76">
        <f t="shared" si="12"/>
        <v>0</v>
      </c>
      <c r="Q37" s="76">
        <f t="shared" si="10"/>
        <v>44.709375000000009</v>
      </c>
      <c r="R37" s="76">
        <f t="shared" si="11"/>
        <v>0</v>
      </c>
      <c r="S37" s="76">
        <f t="shared" si="11"/>
        <v>0.11685</v>
      </c>
      <c r="T37" s="76">
        <f t="shared" si="11"/>
        <v>0</v>
      </c>
      <c r="U37" s="76">
        <f t="shared" si="11"/>
        <v>0</v>
      </c>
      <c r="AB37" s="58"/>
      <c r="AC37" s="58"/>
      <c r="AD37" s="58"/>
      <c r="AE37" s="58"/>
      <c r="AF37" s="58"/>
      <c r="AG37" s="58"/>
      <c r="AH37" s="58"/>
      <c r="AI37" s="58"/>
    </row>
    <row r="38" spans="1:35" s="71" customFormat="1" ht="13" x14ac:dyDescent="0.35">
      <c r="A38" s="13">
        <f>J8</f>
        <v>38</v>
      </c>
      <c r="B38" s="15">
        <v>250</v>
      </c>
      <c r="C38" s="76">
        <f t="shared" si="5"/>
        <v>53.152499999999996</v>
      </c>
      <c r="D38" s="76">
        <f t="shared" si="6"/>
        <v>124.22088375000001</v>
      </c>
      <c r="E38" s="76">
        <f t="shared" si="7"/>
        <v>1.0989600000000002</v>
      </c>
      <c r="F38" s="76">
        <f t="shared" si="8"/>
        <v>15.593489999999997</v>
      </c>
      <c r="G38" s="76">
        <f t="shared" si="12"/>
        <v>5.5574999999999999E-2</v>
      </c>
      <c r="H38" s="76">
        <f t="shared" si="12"/>
        <v>4.4958749999999998</v>
      </c>
      <c r="I38" s="76">
        <f t="shared" si="12"/>
        <v>0.26291250000000005</v>
      </c>
      <c r="J38" s="76">
        <f t="shared" si="12"/>
        <v>1.7456250000000003E-2</v>
      </c>
      <c r="K38" s="76">
        <f t="shared" si="12"/>
        <v>5.0587500000000007E-3</v>
      </c>
      <c r="L38" s="76">
        <f t="shared" si="12"/>
        <v>0.28001249999999994</v>
      </c>
      <c r="M38" s="76">
        <f t="shared" si="12"/>
        <v>8.5500000000000007E-2</v>
      </c>
      <c r="N38" s="76">
        <f t="shared" si="12"/>
        <v>43.177500000000009</v>
      </c>
      <c r="O38" s="76">
        <f t="shared" si="12"/>
        <v>2408.25</v>
      </c>
      <c r="P38" s="76">
        <f t="shared" si="12"/>
        <v>0</v>
      </c>
      <c r="Q38" s="76">
        <f t="shared" si="10"/>
        <v>44.709375000000009</v>
      </c>
      <c r="R38" s="76">
        <f t="shared" si="11"/>
        <v>0</v>
      </c>
      <c r="S38" s="76">
        <f t="shared" si="11"/>
        <v>0.11685</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5"/>
        <v>0</v>
      </c>
      <c r="D39" s="76">
        <f t="shared" si="6"/>
        <v>0</v>
      </c>
      <c r="E39" s="76">
        <f t="shared" si="7"/>
        <v>0</v>
      </c>
      <c r="F39" s="76">
        <f t="shared" si="8"/>
        <v>0</v>
      </c>
      <c r="G39" s="76">
        <f t="shared" si="12"/>
        <v>0</v>
      </c>
      <c r="H39" s="76">
        <f t="shared" si="12"/>
        <v>0</v>
      </c>
      <c r="I39" s="76">
        <f t="shared" si="12"/>
        <v>0</v>
      </c>
      <c r="J39" s="76">
        <f t="shared" si="12"/>
        <v>0</v>
      </c>
      <c r="K39" s="76">
        <f t="shared" si="12"/>
        <v>0</v>
      </c>
      <c r="L39" s="76">
        <f t="shared" si="12"/>
        <v>0</v>
      </c>
      <c r="M39" s="76">
        <f t="shared" si="12"/>
        <v>0</v>
      </c>
      <c r="N39" s="76">
        <f t="shared" si="12"/>
        <v>0</v>
      </c>
      <c r="O39" s="76">
        <f t="shared" si="12"/>
        <v>0</v>
      </c>
      <c r="P39" s="76">
        <f t="shared" si="12"/>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5"/>
        <v>0</v>
      </c>
      <c r="D40" s="76">
        <f t="shared" si="6"/>
        <v>0</v>
      </c>
      <c r="E40" s="76">
        <f t="shared" si="7"/>
        <v>0</v>
      </c>
      <c r="F40" s="76">
        <f t="shared" si="8"/>
        <v>0</v>
      </c>
      <c r="G40" s="76">
        <f t="shared" si="12"/>
        <v>0</v>
      </c>
      <c r="H40" s="76">
        <f t="shared" si="12"/>
        <v>0</v>
      </c>
      <c r="I40" s="76">
        <f t="shared" si="12"/>
        <v>0</v>
      </c>
      <c r="J40" s="76">
        <f t="shared" si="12"/>
        <v>0</v>
      </c>
      <c r="K40" s="76">
        <f t="shared" si="12"/>
        <v>0</v>
      </c>
      <c r="L40" s="76">
        <f t="shared" si="12"/>
        <v>0</v>
      </c>
      <c r="M40" s="76">
        <f t="shared" si="12"/>
        <v>0</v>
      </c>
      <c r="N40" s="76">
        <f t="shared" si="12"/>
        <v>0</v>
      </c>
      <c r="O40" s="76">
        <f t="shared" si="12"/>
        <v>0</v>
      </c>
      <c r="P40" s="76">
        <f t="shared" si="12"/>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5"/>
        <v>0</v>
      </c>
      <c r="D41" s="76">
        <f t="shared" si="6"/>
        <v>0</v>
      </c>
      <c r="E41" s="76">
        <f t="shared" si="7"/>
        <v>0</v>
      </c>
      <c r="F41" s="76">
        <f t="shared" si="8"/>
        <v>0</v>
      </c>
      <c r="G41" s="76">
        <f t="shared" si="12"/>
        <v>0</v>
      </c>
      <c r="H41" s="76">
        <f t="shared" si="12"/>
        <v>0</v>
      </c>
      <c r="I41" s="76">
        <f t="shared" si="12"/>
        <v>0</v>
      </c>
      <c r="J41" s="76">
        <f t="shared" si="12"/>
        <v>0</v>
      </c>
      <c r="K41" s="76">
        <f t="shared" si="12"/>
        <v>0</v>
      </c>
      <c r="L41" s="76">
        <f t="shared" si="12"/>
        <v>0</v>
      </c>
      <c r="M41" s="76">
        <f t="shared" si="12"/>
        <v>0</v>
      </c>
      <c r="N41" s="76">
        <f t="shared" si="12"/>
        <v>0</v>
      </c>
      <c r="O41" s="76">
        <f t="shared" si="12"/>
        <v>0</v>
      </c>
      <c r="P41" s="76">
        <f t="shared" si="12"/>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5"/>
        <v>0</v>
      </c>
      <c r="D42" s="76">
        <f t="shared" si="6"/>
        <v>0</v>
      </c>
      <c r="E42" s="76">
        <f t="shared" si="7"/>
        <v>0</v>
      </c>
      <c r="F42" s="76">
        <f t="shared" si="8"/>
        <v>0</v>
      </c>
      <c r="G42" s="76">
        <f t="shared" si="12"/>
        <v>0</v>
      </c>
      <c r="H42" s="76">
        <f t="shared" si="12"/>
        <v>0</v>
      </c>
      <c r="I42" s="76">
        <f t="shared" si="12"/>
        <v>0</v>
      </c>
      <c r="J42" s="76">
        <f t="shared" si="12"/>
        <v>0</v>
      </c>
      <c r="K42" s="76">
        <f t="shared" si="12"/>
        <v>0</v>
      </c>
      <c r="L42" s="76">
        <f t="shared" si="12"/>
        <v>0</v>
      </c>
      <c r="M42" s="76">
        <f t="shared" si="12"/>
        <v>0</v>
      </c>
      <c r="N42" s="76">
        <f t="shared" si="12"/>
        <v>0</v>
      </c>
      <c r="O42" s="76">
        <f t="shared" si="12"/>
        <v>0</v>
      </c>
      <c r="P42" s="76">
        <f t="shared" si="12"/>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ref="C43:C50" si="13">IF(C$27="%w/w SAR",((C$28*10)*$B43),IF(C$27="%w/w DM",(((C$28*10)*($B$28/100))*$B43),IF(C$27="kg/t SAR",(C$28*$B43),IF(C$27="kg/t DM",((C$28*($B$28/100))*$B43),IF(C$27="mg/kg SAR",((C$28*0.001)*$B43),IF(C$27="mg/kg DM",(((C$28*0.001)*($B$28/100))*$B43),0))))))</f>
        <v>0</v>
      </c>
      <c r="D43" s="76">
        <f t="shared" ref="D43:D50" si="14">(IF(D$27="%w/w SAR",((D$28*10)*$B43),IF(D$27="%w/w DM",(((D$28*10)*($B$28/100))*$B43),IF(D$27="kg/t SAR",(D$28*$B43),IF(D$27="kg/t DM",((D$28*($B$28/100))*$B43),IF(D$27="mg/kg SAR",((D$28*0.001)*$B43),IF(D$27="mg/kg DM",(((D$28*0.001)*($B$28/100))*$B43),"0")))))))*2.291</f>
        <v>0</v>
      </c>
      <c r="E43" s="76">
        <f t="shared" ref="E43:E50" si="15">(IF(E$27="%w/w SAR",((E$28*10)*$B43),IF(E$27="%w/w DM",(((E$28*10)*($B$28/100))*$B43),IF(E$27="kg/t SAR",(E$28*$B43),IF(E$27="kg/t DM",((E$28*($B$28/100))*$B43),IF(E$27="mg/kg SAR",((E$28*0.001)*$B43),IF(E$27="mg/kg DM",(((E$28*0.001)*($B$28/100))*$B43),"0")))))))*1.205</f>
        <v>0</v>
      </c>
      <c r="F43" s="76">
        <f t="shared" ref="F43:F50" si="16">(IF(F$27="%w/w SAR",((F$28*10)*$B43),IF(F$27="%w/w DM",(((F$28*10)*($B$28/100))*$B43),IF(F$27="kg/t SAR",(F$28*$B43),IF(F$27="kg/t DM",((F$28*($B$28/100))*$B43),IF(F$27="mg/kg SAR",((F$28*0.001)*$B43),IF(F$27="mg/kg DM",(((F$28*0.001)*($B$28/100))*$B43),"0")))))))*1.658</f>
        <v>0</v>
      </c>
      <c r="G43" s="76">
        <f t="shared" ref="G43:P50" si="17">IF(G$27="%w/w SAR",((G$28*10)*$B43),IF(G$27="%w/w DM",(((G$28*10)*($B$28/100))*$B43),IF(G$27="kg/t SAR",(G$28*$B43),IF(G$27="kg/t DM",((G$28*($B$28/100))*$B43),IF(G$27="mg/kg SAR",((G$28*0.001)*$B43),IF(G$27="mg/kg DM",(((G$28*0.001)*($B$28/100))*$B43),0))))))</f>
        <v>0</v>
      </c>
      <c r="H43" s="76">
        <f t="shared" si="17"/>
        <v>0</v>
      </c>
      <c r="I43" s="76">
        <f t="shared" si="17"/>
        <v>0</v>
      </c>
      <c r="J43" s="76">
        <f t="shared" si="17"/>
        <v>0</v>
      </c>
      <c r="K43" s="76">
        <f t="shared" si="17"/>
        <v>0</v>
      </c>
      <c r="L43" s="76">
        <f t="shared" si="17"/>
        <v>0</v>
      </c>
      <c r="M43" s="76">
        <f t="shared" si="17"/>
        <v>0</v>
      </c>
      <c r="N43" s="76">
        <f t="shared" si="17"/>
        <v>0</v>
      </c>
      <c r="O43" s="76">
        <f t="shared" si="17"/>
        <v>0</v>
      </c>
      <c r="P43" s="76">
        <f t="shared" si="17"/>
        <v>0</v>
      </c>
      <c r="Q43" s="76">
        <f t="shared" ref="Q43:Q50" si="18">(IF(Q$27="%w/w SAR",((Q$28*10)*$B43),IF(Q$27="%w/w DM",(((Q$28*10)*($B$28/100))*$B43),IF(Q$27="kg/t SAR",(Q$28*$B43),IF(Q$27="kg/t DM",((Q$28*($B$28/100))*$B43),IF(Q$27="mg/kg SAR",((Q$28*0.001)*$B43),IF(Q$27="mg/kg DM",(((Q$28*0.001)*($B$28/100))*$B43),0)))))))*2.5</f>
        <v>0</v>
      </c>
      <c r="R43" s="76">
        <f t="shared" ref="R43:U50" si="19">IF(R$27="%w/w SAR",((R$28*10)*$B43),IF(R$27="%w/w DM",(((R$28*10)*($B$28/100))*$B43),IF(R$27="kg/t SAR",(R$28*$B43),IF(R$27="kg/t DM",((R$28*($B$28/100))*$B43),IF(R$27="mg/kg SAR",((R$28*0.001)*$B43),IF(R$27="mg/kg DM",(((R$28*0.001)*($B$28/100))*$B43),0))))))</f>
        <v>0</v>
      </c>
      <c r="S43" s="76">
        <f t="shared" si="19"/>
        <v>0</v>
      </c>
      <c r="T43" s="76">
        <f t="shared" si="19"/>
        <v>0</v>
      </c>
      <c r="U43" s="76">
        <f t="shared" si="19"/>
        <v>0</v>
      </c>
      <c r="AB43" s="58"/>
      <c r="AC43" s="58"/>
      <c r="AD43" s="58"/>
      <c r="AE43" s="58"/>
      <c r="AF43" s="58"/>
      <c r="AG43" s="58"/>
      <c r="AH43" s="58"/>
      <c r="AI43" s="58"/>
    </row>
    <row r="44" spans="1:35" s="71" customFormat="1" ht="13" x14ac:dyDescent="0.35">
      <c r="A44" s="13">
        <f>P8</f>
        <v>0</v>
      </c>
      <c r="B44" s="15"/>
      <c r="C44" s="76">
        <f t="shared" si="13"/>
        <v>0</v>
      </c>
      <c r="D44" s="76">
        <f t="shared" si="14"/>
        <v>0</v>
      </c>
      <c r="E44" s="76">
        <f t="shared" si="15"/>
        <v>0</v>
      </c>
      <c r="F44" s="76">
        <f t="shared" si="16"/>
        <v>0</v>
      </c>
      <c r="G44" s="76">
        <f t="shared" si="17"/>
        <v>0</v>
      </c>
      <c r="H44" s="76">
        <f t="shared" si="17"/>
        <v>0</v>
      </c>
      <c r="I44" s="76">
        <f t="shared" si="17"/>
        <v>0</v>
      </c>
      <c r="J44" s="76">
        <f t="shared" si="17"/>
        <v>0</v>
      </c>
      <c r="K44" s="76">
        <f t="shared" si="17"/>
        <v>0</v>
      </c>
      <c r="L44" s="76">
        <f t="shared" si="17"/>
        <v>0</v>
      </c>
      <c r="M44" s="76">
        <f t="shared" si="17"/>
        <v>0</v>
      </c>
      <c r="N44" s="76">
        <f t="shared" si="17"/>
        <v>0</v>
      </c>
      <c r="O44" s="76">
        <f t="shared" si="17"/>
        <v>0</v>
      </c>
      <c r="P44" s="76">
        <f t="shared" si="17"/>
        <v>0</v>
      </c>
      <c r="Q44" s="76">
        <f t="shared" si="18"/>
        <v>0</v>
      </c>
      <c r="R44" s="76">
        <f t="shared" si="19"/>
        <v>0</v>
      </c>
      <c r="S44" s="76">
        <f t="shared" si="19"/>
        <v>0</v>
      </c>
      <c r="T44" s="76">
        <f t="shared" si="19"/>
        <v>0</v>
      </c>
      <c r="U44" s="76">
        <f t="shared" si="19"/>
        <v>0</v>
      </c>
      <c r="AB44" s="58"/>
      <c r="AC44" s="58"/>
      <c r="AD44" s="58"/>
      <c r="AE44" s="58"/>
      <c r="AF44" s="58"/>
      <c r="AG44" s="58"/>
      <c r="AH44" s="58"/>
      <c r="AI44" s="58"/>
    </row>
    <row r="45" spans="1:35" s="71" customFormat="1" ht="13" x14ac:dyDescent="0.35">
      <c r="A45" s="13">
        <f>Q8</f>
        <v>0</v>
      </c>
      <c r="B45" s="15"/>
      <c r="C45" s="76">
        <f t="shared" si="13"/>
        <v>0</v>
      </c>
      <c r="D45" s="76">
        <f t="shared" si="14"/>
        <v>0</v>
      </c>
      <c r="E45" s="76">
        <f t="shared" si="15"/>
        <v>0</v>
      </c>
      <c r="F45" s="76">
        <f t="shared" si="16"/>
        <v>0</v>
      </c>
      <c r="G45" s="76">
        <f t="shared" si="17"/>
        <v>0</v>
      </c>
      <c r="H45" s="76">
        <f t="shared" si="17"/>
        <v>0</v>
      </c>
      <c r="I45" s="76">
        <f t="shared" si="17"/>
        <v>0</v>
      </c>
      <c r="J45" s="76">
        <f t="shared" si="17"/>
        <v>0</v>
      </c>
      <c r="K45" s="76">
        <f t="shared" si="17"/>
        <v>0</v>
      </c>
      <c r="L45" s="76">
        <f t="shared" si="17"/>
        <v>0</v>
      </c>
      <c r="M45" s="76">
        <f t="shared" si="17"/>
        <v>0</v>
      </c>
      <c r="N45" s="76">
        <f t="shared" si="17"/>
        <v>0</v>
      </c>
      <c r="O45" s="76">
        <f t="shared" si="17"/>
        <v>0</v>
      </c>
      <c r="P45" s="76">
        <f t="shared" si="17"/>
        <v>0</v>
      </c>
      <c r="Q45" s="76">
        <f t="shared" si="18"/>
        <v>0</v>
      </c>
      <c r="R45" s="76">
        <f t="shared" si="19"/>
        <v>0</v>
      </c>
      <c r="S45" s="76">
        <f t="shared" si="19"/>
        <v>0</v>
      </c>
      <c r="T45" s="76">
        <f t="shared" si="19"/>
        <v>0</v>
      </c>
      <c r="U45" s="76">
        <f t="shared" si="19"/>
        <v>0</v>
      </c>
      <c r="AB45" s="58"/>
      <c r="AC45" s="58"/>
      <c r="AD45" s="58"/>
      <c r="AE45" s="58"/>
      <c r="AF45" s="58"/>
      <c r="AG45" s="58"/>
      <c r="AH45" s="58"/>
      <c r="AI45" s="58"/>
    </row>
    <row r="46" spans="1:35" s="71" customFormat="1" ht="13" x14ac:dyDescent="0.35">
      <c r="A46" s="13">
        <f>R8</f>
        <v>0</v>
      </c>
      <c r="B46" s="15"/>
      <c r="C46" s="76">
        <f t="shared" si="13"/>
        <v>0</v>
      </c>
      <c r="D46" s="76">
        <f t="shared" si="14"/>
        <v>0</v>
      </c>
      <c r="E46" s="76">
        <f t="shared" si="15"/>
        <v>0</v>
      </c>
      <c r="F46" s="76">
        <f t="shared" si="16"/>
        <v>0</v>
      </c>
      <c r="G46" s="76">
        <f t="shared" si="17"/>
        <v>0</v>
      </c>
      <c r="H46" s="76">
        <f t="shared" si="17"/>
        <v>0</v>
      </c>
      <c r="I46" s="76">
        <f t="shared" si="17"/>
        <v>0</v>
      </c>
      <c r="J46" s="76">
        <f t="shared" si="17"/>
        <v>0</v>
      </c>
      <c r="K46" s="76">
        <f t="shared" si="17"/>
        <v>0</v>
      </c>
      <c r="L46" s="76">
        <f t="shared" si="17"/>
        <v>0</v>
      </c>
      <c r="M46" s="76">
        <f t="shared" si="17"/>
        <v>0</v>
      </c>
      <c r="N46" s="76">
        <f t="shared" si="17"/>
        <v>0</v>
      </c>
      <c r="O46" s="76">
        <f t="shared" si="17"/>
        <v>0</v>
      </c>
      <c r="P46" s="76">
        <f t="shared" si="17"/>
        <v>0</v>
      </c>
      <c r="Q46" s="76">
        <f t="shared" si="18"/>
        <v>0</v>
      </c>
      <c r="R46" s="76">
        <f t="shared" si="19"/>
        <v>0</v>
      </c>
      <c r="S46" s="76">
        <f t="shared" si="19"/>
        <v>0</v>
      </c>
      <c r="T46" s="76">
        <f t="shared" si="19"/>
        <v>0</v>
      </c>
      <c r="U46" s="76">
        <f t="shared" si="19"/>
        <v>0</v>
      </c>
      <c r="AB46" s="58"/>
      <c r="AC46" s="58"/>
      <c r="AD46" s="58"/>
      <c r="AE46" s="58"/>
      <c r="AF46" s="58"/>
      <c r="AG46" s="58"/>
      <c r="AH46" s="58"/>
      <c r="AI46" s="58"/>
    </row>
    <row r="47" spans="1:35" s="71" customFormat="1" ht="13" x14ac:dyDescent="0.35">
      <c r="A47" s="13">
        <f>S8</f>
        <v>0</v>
      </c>
      <c r="B47" s="15"/>
      <c r="C47" s="76">
        <f t="shared" si="13"/>
        <v>0</v>
      </c>
      <c r="D47" s="76">
        <f t="shared" si="14"/>
        <v>0</v>
      </c>
      <c r="E47" s="76">
        <f t="shared" si="15"/>
        <v>0</v>
      </c>
      <c r="F47" s="76">
        <f t="shared" si="16"/>
        <v>0</v>
      </c>
      <c r="G47" s="76">
        <f t="shared" si="17"/>
        <v>0</v>
      </c>
      <c r="H47" s="76">
        <f t="shared" si="17"/>
        <v>0</v>
      </c>
      <c r="I47" s="76">
        <f t="shared" si="17"/>
        <v>0</v>
      </c>
      <c r="J47" s="76">
        <f t="shared" si="17"/>
        <v>0</v>
      </c>
      <c r="K47" s="76">
        <f t="shared" si="17"/>
        <v>0</v>
      </c>
      <c r="L47" s="76">
        <f t="shared" si="17"/>
        <v>0</v>
      </c>
      <c r="M47" s="76">
        <f t="shared" si="17"/>
        <v>0</v>
      </c>
      <c r="N47" s="76">
        <f t="shared" si="17"/>
        <v>0</v>
      </c>
      <c r="O47" s="76">
        <f t="shared" si="17"/>
        <v>0</v>
      </c>
      <c r="P47" s="76">
        <f t="shared" si="17"/>
        <v>0</v>
      </c>
      <c r="Q47" s="76">
        <f t="shared" si="18"/>
        <v>0</v>
      </c>
      <c r="R47" s="76">
        <f t="shared" si="19"/>
        <v>0</v>
      </c>
      <c r="S47" s="76">
        <f t="shared" si="19"/>
        <v>0</v>
      </c>
      <c r="T47" s="76">
        <f t="shared" si="19"/>
        <v>0</v>
      </c>
      <c r="U47" s="76">
        <f t="shared" si="19"/>
        <v>0</v>
      </c>
      <c r="AB47" s="58"/>
      <c r="AC47" s="58"/>
      <c r="AD47" s="58"/>
      <c r="AE47" s="58"/>
      <c r="AF47" s="58"/>
      <c r="AG47" s="58"/>
      <c r="AH47" s="58"/>
      <c r="AI47" s="58"/>
    </row>
    <row r="48" spans="1:35" s="71" customFormat="1" ht="13" x14ac:dyDescent="0.35">
      <c r="A48" s="13">
        <f>T8</f>
        <v>0</v>
      </c>
      <c r="B48" s="15"/>
      <c r="C48" s="76">
        <f t="shared" si="13"/>
        <v>0</v>
      </c>
      <c r="D48" s="76">
        <f t="shared" si="14"/>
        <v>0</v>
      </c>
      <c r="E48" s="76">
        <f t="shared" si="15"/>
        <v>0</v>
      </c>
      <c r="F48" s="76">
        <f t="shared" si="16"/>
        <v>0</v>
      </c>
      <c r="G48" s="76">
        <f t="shared" si="17"/>
        <v>0</v>
      </c>
      <c r="H48" s="76">
        <f t="shared" si="17"/>
        <v>0</v>
      </c>
      <c r="I48" s="76">
        <f t="shared" si="17"/>
        <v>0</v>
      </c>
      <c r="J48" s="76">
        <f t="shared" si="17"/>
        <v>0</v>
      </c>
      <c r="K48" s="76">
        <f t="shared" si="17"/>
        <v>0</v>
      </c>
      <c r="L48" s="76">
        <f t="shared" si="17"/>
        <v>0</v>
      </c>
      <c r="M48" s="76">
        <f t="shared" si="17"/>
        <v>0</v>
      </c>
      <c r="N48" s="76">
        <f t="shared" si="17"/>
        <v>0</v>
      </c>
      <c r="O48" s="76">
        <f t="shared" si="17"/>
        <v>0</v>
      </c>
      <c r="P48" s="76">
        <f t="shared" si="17"/>
        <v>0</v>
      </c>
      <c r="Q48" s="76">
        <f t="shared" si="18"/>
        <v>0</v>
      </c>
      <c r="R48" s="76">
        <f t="shared" si="19"/>
        <v>0</v>
      </c>
      <c r="S48" s="76">
        <f t="shared" si="19"/>
        <v>0</v>
      </c>
      <c r="T48" s="76">
        <f t="shared" si="19"/>
        <v>0</v>
      </c>
      <c r="U48" s="76">
        <f t="shared" si="19"/>
        <v>0</v>
      </c>
      <c r="AB48" s="58"/>
      <c r="AC48" s="58"/>
      <c r="AD48" s="58"/>
      <c r="AE48" s="58"/>
      <c r="AF48" s="58"/>
      <c r="AG48" s="58"/>
      <c r="AH48" s="58"/>
      <c r="AI48" s="58"/>
    </row>
    <row r="49" spans="1:35" s="71" customFormat="1" ht="13" x14ac:dyDescent="0.35">
      <c r="A49" s="13">
        <f>U8</f>
        <v>0</v>
      </c>
      <c r="B49" s="15"/>
      <c r="C49" s="76">
        <f t="shared" si="13"/>
        <v>0</v>
      </c>
      <c r="D49" s="76">
        <f t="shared" si="14"/>
        <v>0</v>
      </c>
      <c r="E49" s="76">
        <f t="shared" si="15"/>
        <v>0</v>
      </c>
      <c r="F49" s="76">
        <f t="shared" si="16"/>
        <v>0</v>
      </c>
      <c r="G49" s="76">
        <f t="shared" si="17"/>
        <v>0</v>
      </c>
      <c r="H49" s="76">
        <f t="shared" si="17"/>
        <v>0</v>
      </c>
      <c r="I49" s="76">
        <f t="shared" si="17"/>
        <v>0</v>
      </c>
      <c r="J49" s="76">
        <f t="shared" si="17"/>
        <v>0</v>
      </c>
      <c r="K49" s="76">
        <f t="shared" si="17"/>
        <v>0</v>
      </c>
      <c r="L49" s="76">
        <f t="shared" si="17"/>
        <v>0</v>
      </c>
      <c r="M49" s="76">
        <f t="shared" si="17"/>
        <v>0</v>
      </c>
      <c r="N49" s="76">
        <f t="shared" si="17"/>
        <v>0</v>
      </c>
      <c r="O49" s="76">
        <f t="shared" si="17"/>
        <v>0</v>
      </c>
      <c r="P49" s="76">
        <f t="shared" si="17"/>
        <v>0</v>
      </c>
      <c r="Q49" s="76">
        <f t="shared" si="18"/>
        <v>0</v>
      </c>
      <c r="R49" s="76">
        <f t="shared" si="19"/>
        <v>0</v>
      </c>
      <c r="S49" s="76">
        <f t="shared" si="19"/>
        <v>0</v>
      </c>
      <c r="T49" s="76">
        <f t="shared" si="19"/>
        <v>0</v>
      </c>
      <c r="U49" s="76">
        <f t="shared" si="19"/>
        <v>0</v>
      </c>
      <c r="AB49" s="58"/>
      <c r="AC49" s="58"/>
      <c r="AD49" s="58"/>
      <c r="AE49" s="58"/>
      <c r="AF49" s="58"/>
      <c r="AG49" s="58"/>
      <c r="AH49" s="58"/>
      <c r="AI49" s="58"/>
    </row>
    <row r="50" spans="1:35" s="71" customFormat="1" ht="13.5" thickBot="1" x14ac:dyDescent="0.4">
      <c r="A50" s="14">
        <f>V8</f>
        <v>0</v>
      </c>
      <c r="B50" s="15"/>
      <c r="C50" s="97">
        <f t="shared" si="13"/>
        <v>0</v>
      </c>
      <c r="D50" s="97">
        <f t="shared" si="14"/>
        <v>0</v>
      </c>
      <c r="E50" s="97">
        <f t="shared" si="15"/>
        <v>0</v>
      </c>
      <c r="F50" s="97">
        <f t="shared" si="16"/>
        <v>0</v>
      </c>
      <c r="G50" s="97">
        <f t="shared" si="17"/>
        <v>0</v>
      </c>
      <c r="H50" s="97">
        <f t="shared" si="17"/>
        <v>0</v>
      </c>
      <c r="I50" s="97">
        <f t="shared" si="17"/>
        <v>0</v>
      </c>
      <c r="J50" s="97">
        <f t="shared" si="17"/>
        <v>0</v>
      </c>
      <c r="K50" s="97">
        <f t="shared" si="17"/>
        <v>0</v>
      </c>
      <c r="L50" s="97">
        <f t="shared" si="17"/>
        <v>0</v>
      </c>
      <c r="M50" s="97">
        <f t="shared" si="17"/>
        <v>0</v>
      </c>
      <c r="N50" s="97">
        <f t="shared" si="17"/>
        <v>0</v>
      </c>
      <c r="O50" s="97">
        <f t="shared" si="17"/>
        <v>0</v>
      </c>
      <c r="P50" s="97">
        <f t="shared" si="17"/>
        <v>0</v>
      </c>
      <c r="Q50" s="97">
        <f t="shared" si="18"/>
        <v>0</v>
      </c>
      <c r="R50" s="97">
        <f t="shared" si="19"/>
        <v>0</v>
      </c>
      <c r="S50" s="97">
        <f t="shared" si="19"/>
        <v>0</v>
      </c>
      <c r="T50" s="97">
        <f t="shared" si="19"/>
        <v>0</v>
      </c>
      <c r="U50" s="97">
        <f t="shared" si="19"/>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D8</f>
        <v>31</v>
      </c>
      <c r="D57" s="8">
        <f>E8</f>
        <v>33</v>
      </c>
      <c r="E57" s="8">
        <f>F8</f>
        <v>34</v>
      </c>
      <c r="F57" s="8">
        <f>G8</f>
        <v>35</v>
      </c>
      <c r="G57" s="8">
        <f t="shared" ref="G57:U57" si="20">H8</f>
        <v>36</v>
      </c>
      <c r="H57" s="8">
        <f>I8</f>
        <v>37</v>
      </c>
      <c r="I57" s="8">
        <f>J8</f>
        <v>38</v>
      </c>
      <c r="J57" s="8">
        <f t="shared" si="20"/>
        <v>0</v>
      </c>
      <c r="K57" s="8">
        <f t="shared" si="20"/>
        <v>0</v>
      </c>
      <c r="L57" s="8">
        <f t="shared" si="20"/>
        <v>0</v>
      </c>
      <c r="M57" s="8">
        <f t="shared" si="20"/>
        <v>0</v>
      </c>
      <c r="N57" s="8">
        <f t="shared" si="20"/>
        <v>0</v>
      </c>
      <c r="O57" s="8">
        <f t="shared" si="20"/>
        <v>0</v>
      </c>
      <c r="P57" s="8">
        <f t="shared" si="20"/>
        <v>0</v>
      </c>
      <c r="Q57" s="8">
        <f t="shared" si="20"/>
        <v>0</v>
      </c>
      <c r="R57" s="8">
        <f t="shared" si="20"/>
        <v>0</v>
      </c>
      <c r="S57" s="8">
        <f t="shared" si="20"/>
        <v>0</v>
      </c>
      <c r="T57" s="8">
        <f t="shared" si="20"/>
        <v>0</v>
      </c>
      <c r="U57" s="8">
        <f t="shared" si="20"/>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5.7</v>
      </c>
      <c r="C60" s="75">
        <f>D10</f>
        <v>5.7</v>
      </c>
      <c r="D60" s="75">
        <f>E10</f>
        <v>5.7</v>
      </c>
      <c r="E60" s="75">
        <f>F10</f>
        <v>5.6</v>
      </c>
      <c r="F60" s="75">
        <f>G10</f>
        <v>6.1</v>
      </c>
      <c r="G60" s="75">
        <f t="shared" ref="G60:U60" si="21">H10</f>
        <v>5.6</v>
      </c>
      <c r="H60" s="75">
        <f>I10</f>
        <v>5.7</v>
      </c>
      <c r="I60" s="75">
        <f>J10</f>
        <v>5.7</v>
      </c>
      <c r="J60" s="75">
        <f t="shared" si="21"/>
        <v>0</v>
      </c>
      <c r="K60" s="75">
        <f t="shared" si="21"/>
        <v>0</v>
      </c>
      <c r="L60" s="75">
        <f t="shared" si="21"/>
        <v>0</v>
      </c>
      <c r="M60" s="75">
        <f t="shared" si="21"/>
        <v>0</v>
      </c>
      <c r="N60" s="75">
        <f t="shared" si="21"/>
        <v>0</v>
      </c>
      <c r="O60" s="75">
        <f t="shared" si="21"/>
        <v>0</v>
      </c>
      <c r="P60" s="75">
        <f t="shared" si="21"/>
        <v>0</v>
      </c>
      <c r="Q60" s="75">
        <f t="shared" si="21"/>
        <v>0</v>
      </c>
      <c r="R60" s="75">
        <f t="shared" si="21"/>
        <v>0</v>
      </c>
      <c r="S60" s="75">
        <f t="shared" si="21"/>
        <v>0</v>
      </c>
      <c r="T60" s="75">
        <f t="shared" si="21"/>
        <v>0</v>
      </c>
      <c r="U60" s="75">
        <f t="shared" si="21"/>
        <v>0</v>
      </c>
    </row>
    <row r="61" spans="1:35" s="19" customFormat="1" ht="13" x14ac:dyDescent="0.3">
      <c r="A61" s="110" t="s">
        <v>133</v>
      </c>
      <c r="B61" s="75">
        <f t="shared" ref="B61:U61" si="22">VLOOKUP(B58,$AD9:$AE18,2,FALSE)</f>
        <v>6</v>
      </c>
      <c r="C61" s="75">
        <f t="shared" si="22"/>
        <v>6</v>
      </c>
      <c r="D61" s="75">
        <f t="shared" si="22"/>
        <v>6</v>
      </c>
      <c r="E61" s="75">
        <f t="shared" si="22"/>
        <v>6</v>
      </c>
      <c r="F61" s="75">
        <f t="shared" si="22"/>
        <v>6</v>
      </c>
      <c r="G61" s="75">
        <f t="shared" si="22"/>
        <v>6</v>
      </c>
      <c r="H61" s="75">
        <f t="shared" si="22"/>
        <v>6</v>
      </c>
      <c r="I61" s="75">
        <f t="shared" si="22"/>
        <v>6</v>
      </c>
      <c r="J61" s="75" t="e">
        <f t="shared" si="22"/>
        <v>#N/A</v>
      </c>
      <c r="K61" s="75" t="e">
        <f t="shared" si="22"/>
        <v>#N/A</v>
      </c>
      <c r="L61" s="75" t="e">
        <f t="shared" si="22"/>
        <v>#N/A</v>
      </c>
      <c r="M61" s="75" t="e">
        <f t="shared" si="22"/>
        <v>#N/A</v>
      </c>
      <c r="N61" s="75" t="e">
        <f t="shared" si="22"/>
        <v>#N/A</v>
      </c>
      <c r="O61" s="75" t="e">
        <f t="shared" si="22"/>
        <v>#N/A</v>
      </c>
      <c r="P61" s="75" t="e">
        <f t="shared" si="22"/>
        <v>#N/A</v>
      </c>
      <c r="Q61" s="75" t="e">
        <f t="shared" si="22"/>
        <v>#N/A</v>
      </c>
      <c r="R61" s="75" t="e">
        <f t="shared" si="22"/>
        <v>#N/A</v>
      </c>
      <c r="S61" s="75" t="e">
        <f t="shared" si="22"/>
        <v>#N/A</v>
      </c>
      <c r="T61" s="75" t="e">
        <f t="shared" si="22"/>
        <v>#N/A</v>
      </c>
      <c r="U61" s="75" t="e">
        <f t="shared" si="22"/>
        <v>#N/A</v>
      </c>
    </row>
    <row r="62" spans="1:35" s="19" customFormat="1" ht="13" x14ac:dyDescent="0.3">
      <c r="A62" s="110" t="s">
        <v>134</v>
      </c>
      <c r="B62" s="76">
        <f>B31</f>
        <v>250</v>
      </c>
      <c r="C62" s="76">
        <f>B32</f>
        <v>250</v>
      </c>
      <c r="D62" s="76">
        <f>B33</f>
        <v>250</v>
      </c>
      <c r="E62" s="76">
        <f>B34</f>
        <v>250</v>
      </c>
      <c r="F62" s="76">
        <f>B35</f>
        <v>250</v>
      </c>
      <c r="G62" s="76">
        <f>B36</f>
        <v>130</v>
      </c>
      <c r="H62" s="76">
        <f>B37</f>
        <v>250</v>
      </c>
      <c r="I62" s="76">
        <f>B38</f>
        <v>250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23">$E55*(C62/100)</f>
        <v>0</v>
      </c>
      <c r="D63" s="76">
        <f t="shared" si="23"/>
        <v>0</v>
      </c>
      <c r="E63" s="76">
        <f t="shared" si="23"/>
        <v>0</v>
      </c>
      <c r="F63" s="76">
        <f>$E55*(F62/100)</f>
        <v>0</v>
      </c>
      <c r="G63" s="76">
        <f t="shared" si="23"/>
        <v>0</v>
      </c>
      <c r="H63" s="76">
        <f t="shared" si="23"/>
        <v>0</v>
      </c>
      <c r="I63" s="76">
        <f t="shared" si="23"/>
        <v>0</v>
      </c>
      <c r="J63" s="76">
        <f t="shared" si="23"/>
        <v>0</v>
      </c>
      <c r="K63" s="76">
        <f t="shared" si="23"/>
        <v>0</v>
      </c>
      <c r="L63" s="76">
        <f t="shared" si="23"/>
        <v>0</v>
      </c>
      <c r="M63" s="76">
        <f t="shared" si="23"/>
        <v>0</v>
      </c>
      <c r="N63" s="76">
        <f t="shared" si="23"/>
        <v>0</v>
      </c>
      <c r="O63" s="76">
        <f t="shared" si="23"/>
        <v>0</v>
      </c>
      <c r="P63" s="76">
        <f t="shared" si="23"/>
        <v>0</v>
      </c>
      <c r="Q63" s="76">
        <f t="shared" si="23"/>
        <v>0</v>
      </c>
      <c r="R63" s="76">
        <f t="shared" si="23"/>
        <v>0</v>
      </c>
      <c r="S63" s="76">
        <f t="shared" si="23"/>
        <v>0</v>
      </c>
      <c r="T63" s="76">
        <f t="shared" si="23"/>
        <v>0</v>
      </c>
      <c r="U63" s="76">
        <f t="shared" si="23"/>
        <v>0</v>
      </c>
    </row>
    <row r="64" spans="1:35" s="19" customFormat="1" ht="52" x14ac:dyDescent="0.3">
      <c r="A64" s="111" t="s">
        <v>156</v>
      </c>
      <c r="B64" s="76">
        <f>(B59-B60)*B61</f>
        <v>3</v>
      </c>
      <c r="C64" s="76">
        <f t="shared" ref="C64:U64" si="24">(C59-C60)*C61</f>
        <v>3</v>
      </c>
      <c r="D64" s="76">
        <f t="shared" si="24"/>
        <v>3</v>
      </c>
      <c r="E64" s="76">
        <f t="shared" si="24"/>
        <v>3.6000000000000032</v>
      </c>
      <c r="F64" s="76">
        <f t="shared" si="24"/>
        <v>0.6000000000000032</v>
      </c>
      <c r="G64" s="76">
        <f t="shared" si="24"/>
        <v>3.6000000000000032</v>
      </c>
      <c r="H64" s="76">
        <f t="shared" si="24"/>
        <v>3</v>
      </c>
      <c r="I64" s="76">
        <f t="shared" si="24"/>
        <v>3</v>
      </c>
      <c r="J64" s="76" t="e">
        <f t="shared" si="24"/>
        <v>#N/A</v>
      </c>
      <c r="K64" s="76" t="e">
        <f t="shared" si="24"/>
        <v>#N/A</v>
      </c>
      <c r="L64" s="76" t="e">
        <f t="shared" si="24"/>
        <v>#N/A</v>
      </c>
      <c r="M64" s="76" t="e">
        <f t="shared" si="24"/>
        <v>#N/A</v>
      </c>
      <c r="N64" s="76" t="e">
        <f t="shared" si="24"/>
        <v>#N/A</v>
      </c>
      <c r="O64" s="76" t="e">
        <f t="shared" si="24"/>
        <v>#N/A</v>
      </c>
      <c r="P64" s="76" t="e">
        <f t="shared" si="24"/>
        <v>#N/A</v>
      </c>
      <c r="Q64" s="76" t="e">
        <f t="shared" si="24"/>
        <v>#N/A</v>
      </c>
      <c r="R64" s="76" t="e">
        <f t="shared" si="24"/>
        <v>#N/A</v>
      </c>
      <c r="S64" s="76" t="e">
        <f t="shared" si="24"/>
        <v>#N/A</v>
      </c>
      <c r="T64" s="76" t="e">
        <f t="shared" si="24"/>
        <v>#N/A</v>
      </c>
      <c r="U64" s="76" t="e">
        <f t="shared" si="24"/>
        <v>#N/A</v>
      </c>
    </row>
    <row r="65" spans="1:21" s="19" customFormat="1" ht="52" x14ac:dyDescent="0.3">
      <c r="A65" s="111" t="s">
        <v>157</v>
      </c>
      <c r="B65" s="76">
        <f>B63-B64</f>
        <v>-3</v>
      </c>
      <c r="C65" s="76">
        <f t="shared" ref="C65:U65" si="25">C63-C64</f>
        <v>-3</v>
      </c>
      <c r="D65" s="76">
        <f t="shared" si="25"/>
        <v>-3</v>
      </c>
      <c r="E65" s="76">
        <f t="shared" si="25"/>
        <v>-3.6000000000000032</v>
      </c>
      <c r="F65" s="76">
        <f t="shared" si="25"/>
        <v>-0.6000000000000032</v>
      </c>
      <c r="G65" s="76">
        <f t="shared" si="25"/>
        <v>-3.6000000000000032</v>
      </c>
      <c r="H65" s="76">
        <f t="shared" si="25"/>
        <v>-3</v>
      </c>
      <c r="I65" s="76">
        <f t="shared" si="25"/>
        <v>-3</v>
      </c>
      <c r="J65" s="76" t="e">
        <f t="shared" si="25"/>
        <v>#N/A</v>
      </c>
      <c r="K65" s="76" t="e">
        <f t="shared" si="25"/>
        <v>#N/A</v>
      </c>
      <c r="L65" s="76" t="e">
        <f t="shared" si="25"/>
        <v>#N/A</v>
      </c>
      <c r="M65" s="76" t="e">
        <f t="shared" si="25"/>
        <v>#N/A</v>
      </c>
      <c r="N65" s="76" t="e">
        <f t="shared" si="25"/>
        <v>#N/A</v>
      </c>
      <c r="O65" s="76" t="e">
        <f t="shared" si="25"/>
        <v>#N/A</v>
      </c>
      <c r="P65" s="76" t="e">
        <f t="shared" si="25"/>
        <v>#N/A</v>
      </c>
      <c r="Q65" s="76" t="e">
        <f t="shared" si="25"/>
        <v>#N/A</v>
      </c>
      <c r="R65" s="76" t="e">
        <f t="shared" si="25"/>
        <v>#N/A</v>
      </c>
      <c r="S65" s="76" t="e">
        <f t="shared" si="25"/>
        <v>#N/A</v>
      </c>
      <c r="T65" s="76" t="e">
        <f t="shared" si="25"/>
        <v>#N/A</v>
      </c>
      <c r="U65" s="76" t="e">
        <f t="shared" si="25"/>
        <v>#N/A</v>
      </c>
    </row>
    <row r="66" spans="1:21" s="19" customFormat="1" ht="26" x14ac:dyDescent="0.3">
      <c r="A66" s="111" t="s">
        <v>148</v>
      </c>
      <c r="B66" s="77" t="str">
        <f>IF(B64&lt;=B63,"OVER","UNDER")</f>
        <v>UNDER</v>
      </c>
      <c r="C66" s="77" t="str">
        <f t="shared" ref="C66:U66" si="26">IF(C64&lt;=C63,"OVER","UNDER")</f>
        <v>UNDER</v>
      </c>
      <c r="D66" s="77" t="str">
        <f t="shared" si="26"/>
        <v>UNDER</v>
      </c>
      <c r="E66" s="77" t="str">
        <f t="shared" si="26"/>
        <v>UNDER</v>
      </c>
      <c r="F66" s="77" t="str">
        <f t="shared" si="26"/>
        <v>UNDER</v>
      </c>
      <c r="G66" s="77" t="str">
        <f t="shared" si="26"/>
        <v>UNDER</v>
      </c>
      <c r="H66" s="77" t="str">
        <f t="shared" si="26"/>
        <v>UNDER</v>
      </c>
      <c r="I66" s="77" t="str">
        <f t="shared" si="26"/>
        <v>UNDER</v>
      </c>
      <c r="J66" s="77" t="e">
        <f t="shared" si="26"/>
        <v>#N/A</v>
      </c>
      <c r="K66" s="77" t="e">
        <f t="shared" si="26"/>
        <v>#N/A</v>
      </c>
      <c r="L66" s="77" t="e">
        <f t="shared" si="26"/>
        <v>#N/A</v>
      </c>
      <c r="M66" s="77" t="e">
        <f t="shared" si="26"/>
        <v>#N/A</v>
      </c>
      <c r="N66" s="77" t="e">
        <f t="shared" si="26"/>
        <v>#N/A</v>
      </c>
      <c r="O66" s="77" t="e">
        <f t="shared" si="26"/>
        <v>#N/A</v>
      </c>
      <c r="P66" s="77" t="e">
        <f t="shared" si="26"/>
        <v>#N/A</v>
      </c>
      <c r="Q66" s="77" t="e">
        <f t="shared" si="26"/>
        <v>#N/A</v>
      </c>
      <c r="R66" s="77" t="e">
        <f t="shared" si="26"/>
        <v>#N/A</v>
      </c>
      <c r="S66" s="77" t="e">
        <f t="shared" si="26"/>
        <v>#N/A</v>
      </c>
      <c r="T66" s="77" t="e">
        <f t="shared" si="26"/>
        <v>#N/A</v>
      </c>
      <c r="U66" s="77" t="e">
        <f t="shared" si="26"/>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76" zoomScaleNormal="76" workbookViewId="0">
      <selection activeCell="C33" sqref="C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5.28</v>
      </c>
      <c r="J1" s="128" t="s">
        <v>153</v>
      </c>
      <c r="K1" s="128"/>
      <c r="L1" s="96">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0.02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12.5</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20.504449999999999</v>
      </c>
      <c r="D18" s="16">
        <f>$D32</f>
        <v>20.504449999999999</v>
      </c>
      <c r="E18" s="16">
        <f>$D33</f>
        <v>20.504449999999999</v>
      </c>
      <c r="F18" s="16">
        <f>$D34</f>
        <v>20.504449999999999</v>
      </c>
      <c r="G18" s="16">
        <f>$D35</f>
        <v>20.504449999999999</v>
      </c>
      <c r="H18" s="16">
        <f>$D36</f>
        <v>20.504449999999999</v>
      </c>
      <c r="I18" s="16">
        <f>$D37</f>
        <v>20.504449999999999</v>
      </c>
      <c r="J18" s="16">
        <f>$D38</f>
        <v>20.504449999999999</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-44.095549999999996</v>
      </c>
      <c r="D19" s="16">
        <f t="shared" ref="D19:V19" si="1">D18-D17</f>
        <v>-44.095549999999996</v>
      </c>
      <c r="E19" s="16">
        <f t="shared" si="1"/>
        <v>-44.095549999999996</v>
      </c>
      <c r="F19" s="16">
        <f t="shared" si="1"/>
        <v>-44.095549999999996</v>
      </c>
      <c r="G19" s="16">
        <f t="shared" si="1"/>
        <v>-44.095549999999996</v>
      </c>
      <c r="H19" s="16">
        <f t="shared" si="1"/>
        <v>-44.095549999999996</v>
      </c>
      <c r="I19" s="16">
        <f t="shared" si="1"/>
        <v>-44.095549999999996</v>
      </c>
      <c r="J19" s="16">
        <f t="shared" si="1"/>
        <v>-44.095549999999996</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3.0125000000000002</v>
      </c>
      <c r="D22" s="16">
        <f>$E32</f>
        <v>3.0125000000000002</v>
      </c>
      <c r="E22" s="16">
        <f>$E33</f>
        <v>3.0125000000000002</v>
      </c>
      <c r="F22" s="16">
        <f>$E34</f>
        <v>3.0125000000000002</v>
      </c>
      <c r="G22" s="16">
        <f>$E35</f>
        <v>3.0125000000000002</v>
      </c>
      <c r="H22" s="16">
        <f>$E36</f>
        <v>3.0125000000000002</v>
      </c>
      <c r="I22" s="16">
        <f>$E37</f>
        <v>3.0125000000000002</v>
      </c>
      <c r="J22" s="16">
        <f>$E38</f>
        <v>3.0125000000000002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-224.98750000000001</v>
      </c>
      <c r="D23" s="16">
        <f t="shared" ref="D23:V23" si="3">D22-D21</f>
        <v>-224.98750000000001</v>
      </c>
      <c r="E23" s="16">
        <f t="shared" si="3"/>
        <v>-224.98750000000001</v>
      </c>
      <c r="F23" s="16">
        <f t="shared" si="3"/>
        <v>-224.98750000000001</v>
      </c>
      <c r="G23" s="16">
        <f t="shared" si="3"/>
        <v>-224.98750000000001</v>
      </c>
      <c r="H23" s="16">
        <f t="shared" si="3"/>
        <v>-224.98750000000001</v>
      </c>
      <c r="I23" s="16">
        <f t="shared" si="3"/>
        <v>-224.98750000000001</v>
      </c>
      <c r="J23" s="16">
        <f t="shared" si="3"/>
        <v>-224.98750000000001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c r="Q27" s="106" t="s">
        <v>54</v>
      </c>
      <c r="R27" s="106"/>
      <c r="S27" s="106" t="s">
        <v>54</v>
      </c>
      <c r="T27" s="106"/>
      <c r="U27" s="106"/>
    </row>
    <row r="28" spans="1:40" s="56" customFormat="1" x14ac:dyDescent="0.35">
      <c r="A28" s="107"/>
      <c r="B28" s="23">
        <v>2.73</v>
      </c>
      <c r="C28" s="15">
        <v>0.02</v>
      </c>
      <c r="D28" s="15">
        <v>35.799999999999997</v>
      </c>
      <c r="E28" s="15">
        <v>10</v>
      </c>
      <c r="F28" s="15">
        <v>10</v>
      </c>
      <c r="G28" s="15">
        <v>0.74</v>
      </c>
      <c r="H28" s="15">
        <v>3.37</v>
      </c>
      <c r="I28" s="15">
        <v>0.5</v>
      </c>
      <c r="J28" s="15">
        <v>1.6E-2</v>
      </c>
      <c r="K28" s="15">
        <v>0.05</v>
      </c>
      <c r="L28" s="15">
        <v>0.77200000000000002</v>
      </c>
      <c r="M28" s="15">
        <v>0.91500000000000004</v>
      </c>
      <c r="N28" s="15">
        <v>47</v>
      </c>
      <c r="O28" s="15">
        <v>10681</v>
      </c>
      <c r="P28" s="15"/>
      <c r="Q28" s="15">
        <v>82.6</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v>250</v>
      </c>
      <c r="C31" s="76">
        <f>IF(C$27="%w/w SAR",((C$28*10)*$B31),IF(C$27="%w/w DM",(((C$28*10)*($B$28/100))*$B31),IF(C$27="kg/t SAR",(C$28*$B31),IF(C$27="kg/t DM",((C$28*($B$28/100))*$B31),IF(C$27="mg/kg SAR",((C$28*0.001)*$B31),IF(C$27="mg/kg DM",(((C$28*0.001)*($B$28/100))*$B31),0))))))</f>
        <v>50</v>
      </c>
      <c r="D31" s="76">
        <f>(IF(D$27="%w/w SAR",((D$28*10)*$B31),IF(D$27="%w/w DM",(((D$28*10)*($B$28/100))*$B31),IF(D$27="kg/t SAR",(D$28*$B31),IF(D$27="kg/t DM",((D$28*($B$28/100))*$B31),IF(D$27="mg/kg SAR",((D$28*0.001)*$B31),IF(D$27="mg/kg DM",(((D$28*0.001)*($B$28/100))*$B31),"0")))))))*2.291</f>
        <v>20.504449999999999</v>
      </c>
      <c r="E31" s="76">
        <f>(IF(E$27="%w/w SAR",((E$28*10)*$B31),IF(E$27="%w/w DM",(((E$28*10)*($B$28/100))*$B31),IF(E$27="kg/t SAR",(E$28*$B31),IF(E$27="kg/t DM",((E$28*($B$28/100))*$B31),IF(E$27="mg/kg SAR",((E$28*0.001)*$B31),IF(E$27="mg/kg DM",(((E$28*0.001)*($B$28/100))*$B31),"0")))))))*1.205</f>
        <v>3.0125000000000002</v>
      </c>
      <c r="F31" s="76">
        <f>(IF(F$27="%w/w SAR",((F$28*10)*$B31),IF(F$27="%w/w DM",(((F$28*10)*($B$28/100))*$B31),IF(F$27="kg/t SAR",(F$28*$B31),IF(F$27="kg/t DM",((F$28*($B$28/100))*$B31),IF(F$27="mg/kg SAR",((F$28*0.001)*$B31),IF(F$27="mg/kg DM",(((F$28*0.001)*($B$28/100))*$B31),"0")))))))*1.658</f>
        <v>4.1449999999999996</v>
      </c>
      <c r="G31" s="76">
        <f t="shared" ref="G31:P46" si="5">IF(G$27="%w/w SAR",((G$28*10)*$B31),IF(G$27="%w/w DM",(((G$28*10)*($B$28/100))*$B31),IF(G$27="kg/t SAR",(G$28*$B31),IF(G$27="kg/t DM",((G$28*($B$28/100))*$B31),IF(G$27="mg/kg SAR",((G$28*0.001)*$B31),IF(G$27="mg/kg DM",(((G$28*0.001)*($B$28/100))*$B31),0))))))</f>
        <v>0.185</v>
      </c>
      <c r="H31" s="76">
        <f t="shared" si="5"/>
        <v>0.84250000000000003</v>
      </c>
      <c r="I31" s="76">
        <f t="shared" si="5"/>
        <v>0.125</v>
      </c>
      <c r="J31" s="76">
        <f t="shared" si="5"/>
        <v>4.0000000000000001E-3</v>
      </c>
      <c r="K31" s="76">
        <f t="shared" si="5"/>
        <v>1.2500000000000001E-2</v>
      </c>
      <c r="L31" s="76">
        <f t="shared" si="5"/>
        <v>0.193</v>
      </c>
      <c r="M31" s="76">
        <f t="shared" si="5"/>
        <v>0.22875000000000001</v>
      </c>
      <c r="N31" s="76">
        <f t="shared" si="5"/>
        <v>11.75</v>
      </c>
      <c r="O31" s="76">
        <f t="shared" si="5"/>
        <v>2670.2500000000005</v>
      </c>
      <c r="P31" s="76">
        <f t="shared" si="5"/>
        <v>0</v>
      </c>
      <c r="Q31" s="76">
        <f>(IF(Q$27="%w/w SAR",((Q$28*10)*$B31),IF(Q$27="%w/w DM",(((Q$28*10)*($B$28/100))*$B31),IF(Q$27="kg/t SAR",(Q$28*$B31),IF(Q$27="kg/t DM",((Q$28*($B$28/100))*$B31),IF(Q$27="mg/kg SAR",((Q$28*0.001)*$B31),IF(Q$27="mg/kg DM",(((Q$28*0.001)*($B$28/100))*$B31),0)))))))*2.5</f>
        <v>51.625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0.125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v>250</v>
      </c>
      <c r="C32" s="76">
        <f t="shared" ref="C32:C50" si="6">IF(C$27="%w/w SAR",((C$28*10)*$B32),IF(C$27="%w/w DM",(((C$28*10)*($B$28/100))*$B32),IF(C$27="kg/t SAR",(C$28*$B32),IF(C$27="kg/t DM",((C$28*($B$28/100))*$B32),IF(C$27="mg/kg SAR",((C$28*0.001)*$B32),IF(C$27="mg/kg DM",(((C$28*0.001)*($B$28/100))*$B32),0))))))</f>
        <v>50</v>
      </c>
      <c r="D32" s="76">
        <f t="shared" ref="D32:D50" si="7">(IF(D$27="%w/w SAR",((D$28*10)*$B32),IF(D$27="%w/w DM",(((D$28*10)*($B$28/100))*$B32),IF(D$27="kg/t SAR",(D$28*$B32),IF(D$27="kg/t DM",((D$28*($B$28/100))*$B32),IF(D$27="mg/kg SAR",((D$28*0.001)*$B32),IF(D$27="mg/kg DM",(((D$28*0.001)*($B$28/100))*$B32),"0")))))))*2.291</f>
        <v>20.504449999999999</v>
      </c>
      <c r="E32" s="76">
        <f t="shared" ref="E32:E50" si="8">(IF(E$27="%w/w SAR",((E$28*10)*$B32),IF(E$27="%w/w DM",(((E$28*10)*($B$28/100))*$B32),IF(E$27="kg/t SAR",(E$28*$B32),IF(E$27="kg/t DM",((E$28*($B$28/100))*$B32),IF(E$27="mg/kg SAR",((E$28*0.001)*$B32),IF(E$27="mg/kg DM",(((E$28*0.001)*($B$28/100))*$B32),"0")))))))*1.205</f>
        <v>3.0125000000000002</v>
      </c>
      <c r="F32" s="76">
        <f t="shared" ref="F32:F50" si="9">(IF(F$27="%w/w SAR",((F$28*10)*$B32),IF(F$27="%w/w DM",(((F$28*10)*($B$28/100))*$B32),IF(F$27="kg/t SAR",(F$28*$B32),IF(F$27="kg/t DM",((F$28*($B$28/100))*$B32),IF(F$27="mg/kg SAR",((F$28*0.001)*$B32),IF(F$27="mg/kg DM",(((F$28*0.001)*($B$28/100))*$B32),"0")))))))*1.658</f>
        <v>4.1449999999999996</v>
      </c>
      <c r="G32" s="76">
        <f t="shared" si="5"/>
        <v>0.185</v>
      </c>
      <c r="H32" s="76">
        <f t="shared" si="5"/>
        <v>0.84250000000000003</v>
      </c>
      <c r="I32" s="76">
        <f t="shared" si="5"/>
        <v>0.125</v>
      </c>
      <c r="J32" s="76">
        <f t="shared" si="5"/>
        <v>4.0000000000000001E-3</v>
      </c>
      <c r="K32" s="76">
        <f t="shared" si="5"/>
        <v>1.2500000000000001E-2</v>
      </c>
      <c r="L32" s="76">
        <f t="shared" si="5"/>
        <v>0.193</v>
      </c>
      <c r="M32" s="76">
        <f t="shared" si="5"/>
        <v>0.22875000000000001</v>
      </c>
      <c r="N32" s="76">
        <f t="shared" si="5"/>
        <v>11.75</v>
      </c>
      <c r="O32" s="76">
        <f t="shared" si="5"/>
        <v>2670.2500000000005</v>
      </c>
      <c r="P32" s="76">
        <f t="shared" si="5"/>
        <v>0</v>
      </c>
      <c r="Q32" s="76">
        <f t="shared" ref="Q32:Q50" si="10">(IF(Q$27="%w/w SAR",((Q$28*10)*$B32),IF(Q$27="%w/w DM",(((Q$28*10)*($B$28/100))*$B32),IF(Q$27="kg/t SAR",(Q$28*$B32),IF(Q$27="kg/t DM",((Q$28*($B$28/100))*$B32),IF(Q$27="mg/kg SAR",((Q$28*0.001)*$B32),IF(Q$27="mg/kg DM",(((Q$28*0.001)*($B$28/100))*$B32),0)))))))*2.5</f>
        <v>51.625</v>
      </c>
      <c r="R32" s="76">
        <f t="shared" ref="R32:U50" si="11">IF(R$27="%w/w SAR",((R$28*10)*$B32),IF(R$27="%w/w DM",(((R$28*10)*($B$28/100))*$B32),IF(R$27="kg/t SAR",(R$28*$B32),IF(R$27="kg/t DM",((R$28*($B$28/100))*$B32),IF(R$27="mg/kg SAR",((R$28*0.001)*$B32),IF(R$27="mg/kg DM",(((R$28*0.001)*($B$28/100))*$B32),0))))))</f>
        <v>0</v>
      </c>
      <c r="S32" s="76">
        <f t="shared" si="11"/>
        <v>0.125</v>
      </c>
      <c r="T32" s="76">
        <f t="shared" si="11"/>
        <v>0</v>
      </c>
      <c r="U32" s="76">
        <f t="shared" si="11"/>
        <v>0</v>
      </c>
      <c r="AB32" s="58"/>
      <c r="AC32" s="58"/>
      <c r="AD32" s="58"/>
      <c r="AE32" s="58"/>
      <c r="AF32" s="58"/>
      <c r="AG32" s="58"/>
      <c r="AH32" s="58"/>
      <c r="AI32" s="58"/>
    </row>
    <row r="33" spans="1:35" s="71" customFormat="1" ht="13" x14ac:dyDescent="0.35">
      <c r="A33" s="13">
        <f>E8</f>
        <v>33</v>
      </c>
      <c r="B33" s="15">
        <v>250</v>
      </c>
      <c r="C33" s="76">
        <f t="shared" si="6"/>
        <v>50</v>
      </c>
      <c r="D33" s="76">
        <f t="shared" si="7"/>
        <v>20.504449999999999</v>
      </c>
      <c r="E33" s="76">
        <f t="shared" si="8"/>
        <v>3.0125000000000002</v>
      </c>
      <c r="F33" s="76">
        <f t="shared" si="9"/>
        <v>4.1449999999999996</v>
      </c>
      <c r="G33" s="76">
        <f t="shared" si="5"/>
        <v>0.185</v>
      </c>
      <c r="H33" s="76">
        <f t="shared" si="5"/>
        <v>0.84250000000000003</v>
      </c>
      <c r="I33" s="76">
        <f t="shared" si="5"/>
        <v>0.125</v>
      </c>
      <c r="J33" s="76">
        <f t="shared" si="5"/>
        <v>4.0000000000000001E-3</v>
      </c>
      <c r="K33" s="76">
        <f t="shared" si="5"/>
        <v>1.2500000000000001E-2</v>
      </c>
      <c r="L33" s="76">
        <f t="shared" si="5"/>
        <v>0.193</v>
      </c>
      <c r="M33" s="76">
        <f t="shared" si="5"/>
        <v>0.22875000000000001</v>
      </c>
      <c r="N33" s="76">
        <f t="shared" si="5"/>
        <v>11.75</v>
      </c>
      <c r="O33" s="76">
        <f t="shared" si="5"/>
        <v>2670.2500000000005</v>
      </c>
      <c r="P33" s="76">
        <f t="shared" si="5"/>
        <v>0</v>
      </c>
      <c r="Q33" s="76">
        <f t="shared" si="10"/>
        <v>51.625</v>
      </c>
      <c r="R33" s="76">
        <f t="shared" si="11"/>
        <v>0</v>
      </c>
      <c r="S33" s="76">
        <f t="shared" si="11"/>
        <v>0.125</v>
      </c>
      <c r="T33" s="76">
        <f t="shared" si="11"/>
        <v>0</v>
      </c>
      <c r="U33" s="76">
        <f t="shared" si="11"/>
        <v>0</v>
      </c>
      <c r="AB33" s="58"/>
      <c r="AC33" s="58"/>
      <c r="AD33" s="58"/>
      <c r="AE33" s="58"/>
      <c r="AF33" s="58"/>
      <c r="AG33" s="58"/>
      <c r="AH33" s="58"/>
      <c r="AI33" s="58"/>
    </row>
    <row r="34" spans="1:35" s="71" customFormat="1" ht="13" x14ac:dyDescent="0.35">
      <c r="A34" s="13">
        <f>F8</f>
        <v>34</v>
      </c>
      <c r="B34" s="15">
        <v>250</v>
      </c>
      <c r="C34" s="76">
        <f t="shared" si="6"/>
        <v>50</v>
      </c>
      <c r="D34" s="76">
        <f t="shared" si="7"/>
        <v>20.504449999999999</v>
      </c>
      <c r="E34" s="76">
        <f t="shared" si="8"/>
        <v>3.0125000000000002</v>
      </c>
      <c r="F34" s="76">
        <f t="shared" si="9"/>
        <v>4.1449999999999996</v>
      </c>
      <c r="G34" s="76">
        <f t="shared" si="5"/>
        <v>0.185</v>
      </c>
      <c r="H34" s="76">
        <f t="shared" si="5"/>
        <v>0.84250000000000003</v>
      </c>
      <c r="I34" s="76">
        <f t="shared" si="5"/>
        <v>0.125</v>
      </c>
      <c r="J34" s="76">
        <f t="shared" si="5"/>
        <v>4.0000000000000001E-3</v>
      </c>
      <c r="K34" s="76">
        <f t="shared" si="5"/>
        <v>1.2500000000000001E-2</v>
      </c>
      <c r="L34" s="76">
        <f t="shared" si="5"/>
        <v>0.193</v>
      </c>
      <c r="M34" s="76">
        <f t="shared" si="5"/>
        <v>0.22875000000000001</v>
      </c>
      <c r="N34" s="76">
        <f t="shared" si="5"/>
        <v>11.75</v>
      </c>
      <c r="O34" s="76">
        <f t="shared" si="5"/>
        <v>2670.2500000000005</v>
      </c>
      <c r="P34" s="76">
        <f t="shared" si="5"/>
        <v>0</v>
      </c>
      <c r="Q34" s="76">
        <f t="shared" si="10"/>
        <v>51.625</v>
      </c>
      <c r="R34" s="76">
        <f t="shared" si="11"/>
        <v>0</v>
      </c>
      <c r="S34" s="76">
        <f t="shared" si="11"/>
        <v>0.125</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50</v>
      </c>
      <c r="D35" s="76">
        <f t="shared" si="7"/>
        <v>20.504449999999999</v>
      </c>
      <c r="E35" s="76">
        <f t="shared" si="8"/>
        <v>3.0125000000000002</v>
      </c>
      <c r="F35" s="76">
        <f t="shared" si="9"/>
        <v>4.1449999999999996</v>
      </c>
      <c r="G35" s="76">
        <f t="shared" si="5"/>
        <v>0.185</v>
      </c>
      <c r="H35" s="76">
        <f t="shared" si="5"/>
        <v>0.84250000000000003</v>
      </c>
      <c r="I35" s="76">
        <f t="shared" si="5"/>
        <v>0.125</v>
      </c>
      <c r="J35" s="76">
        <f t="shared" si="5"/>
        <v>4.0000000000000001E-3</v>
      </c>
      <c r="K35" s="76">
        <f t="shared" si="5"/>
        <v>1.2500000000000001E-2</v>
      </c>
      <c r="L35" s="76">
        <f t="shared" si="5"/>
        <v>0.193</v>
      </c>
      <c r="M35" s="76">
        <f t="shared" si="5"/>
        <v>0.22875000000000001</v>
      </c>
      <c r="N35" s="76">
        <f t="shared" si="5"/>
        <v>11.75</v>
      </c>
      <c r="O35" s="76">
        <f t="shared" si="5"/>
        <v>2670.2500000000005</v>
      </c>
      <c r="P35" s="76">
        <f t="shared" si="5"/>
        <v>0</v>
      </c>
      <c r="Q35" s="76">
        <f t="shared" si="10"/>
        <v>51.625</v>
      </c>
      <c r="R35" s="76">
        <f t="shared" si="11"/>
        <v>0</v>
      </c>
      <c r="S35" s="76">
        <f t="shared" si="11"/>
        <v>0.125</v>
      </c>
      <c r="T35" s="76">
        <f t="shared" si="11"/>
        <v>0</v>
      </c>
      <c r="U35" s="76">
        <f t="shared" si="11"/>
        <v>0</v>
      </c>
      <c r="AB35" s="58"/>
      <c r="AC35" s="58"/>
      <c r="AD35" s="58"/>
      <c r="AE35" s="58"/>
      <c r="AF35" s="58"/>
      <c r="AG35" s="58"/>
      <c r="AH35" s="58"/>
      <c r="AI35" s="58"/>
    </row>
    <row r="36" spans="1:35" s="71" customFormat="1" ht="13" x14ac:dyDescent="0.35">
      <c r="A36" s="13">
        <f>H8</f>
        <v>36</v>
      </c>
      <c r="B36" s="15">
        <v>250</v>
      </c>
      <c r="C36" s="76">
        <f t="shared" si="6"/>
        <v>50</v>
      </c>
      <c r="D36" s="76">
        <f t="shared" si="7"/>
        <v>20.504449999999999</v>
      </c>
      <c r="E36" s="76">
        <f t="shared" si="8"/>
        <v>3.0125000000000002</v>
      </c>
      <c r="F36" s="76">
        <f t="shared" si="9"/>
        <v>4.1449999999999996</v>
      </c>
      <c r="G36" s="76">
        <f t="shared" si="5"/>
        <v>0.185</v>
      </c>
      <c r="H36" s="76">
        <f t="shared" si="5"/>
        <v>0.84250000000000003</v>
      </c>
      <c r="I36" s="76">
        <f t="shared" si="5"/>
        <v>0.125</v>
      </c>
      <c r="J36" s="76">
        <f t="shared" si="5"/>
        <v>4.0000000000000001E-3</v>
      </c>
      <c r="K36" s="76">
        <f t="shared" si="5"/>
        <v>1.2500000000000001E-2</v>
      </c>
      <c r="L36" s="76">
        <f t="shared" si="5"/>
        <v>0.193</v>
      </c>
      <c r="M36" s="76">
        <f t="shared" si="5"/>
        <v>0.22875000000000001</v>
      </c>
      <c r="N36" s="76">
        <f t="shared" si="5"/>
        <v>11.75</v>
      </c>
      <c r="O36" s="76">
        <f t="shared" si="5"/>
        <v>2670.2500000000005</v>
      </c>
      <c r="P36" s="76">
        <f t="shared" si="5"/>
        <v>0</v>
      </c>
      <c r="Q36" s="76">
        <f t="shared" si="10"/>
        <v>51.625</v>
      </c>
      <c r="R36" s="76">
        <f t="shared" si="11"/>
        <v>0</v>
      </c>
      <c r="S36" s="76">
        <f t="shared" si="11"/>
        <v>0.125</v>
      </c>
      <c r="T36" s="76">
        <f t="shared" si="11"/>
        <v>0</v>
      </c>
      <c r="U36" s="76">
        <f t="shared" si="11"/>
        <v>0</v>
      </c>
      <c r="AB36" s="58"/>
      <c r="AC36" s="58"/>
      <c r="AD36" s="58"/>
      <c r="AE36" s="58"/>
      <c r="AF36" s="58"/>
      <c r="AG36" s="58"/>
      <c r="AH36" s="58"/>
      <c r="AI36" s="58"/>
    </row>
    <row r="37" spans="1:35" s="71" customFormat="1" ht="13" x14ac:dyDescent="0.35">
      <c r="A37" s="13">
        <f>I8</f>
        <v>37</v>
      </c>
      <c r="B37" s="15">
        <v>250</v>
      </c>
      <c r="C37" s="76">
        <f t="shared" si="6"/>
        <v>50</v>
      </c>
      <c r="D37" s="76">
        <f t="shared" si="7"/>
        <v>20.504449999999999</v>
      </c>
      <c r="E37" s="76">
        <f t="shared" si="8"/>
        <v>3.0125000000000002</v>
      </c>
      <c r="F37" s="76">
        <f t="shared" si="9"/>
        <v>4.1449999999999996</v>
      </c>
      <c r="G37" s="76">
        <f t="shared" si="5"/>
        <v>0.185</v>
      </c>
      <c r="H37" s="76">
        <f t="shared" si="5"/>
        <v>0.84250000000000003</v>
      </c>
      <c r="I37" s="76">
        <f t="shared" si="5"/>
        <v>0.125</v>
      </c>
      <c r="J37" s="76">
        <f t="shared" si="5"/>
        <v>4.0000000000000001E-3</v>
      </c>
      <c r="K37" s="76">
        <f t="shared" si="5"/>
        <v>1.2500000000000001E-2</v>
      </c>
      <c r="L37" s="76">
        <f t="shared" si="5"/>
        <v>0.193</v>
      </c>
      <c r="M37" s="76">
        <f t="shared" si="5"/>
        <v>0.22875000000000001</v>
      </c>
      <c r="N37" s="76">
        <f t="shared" si="5"/>
        <v>11.75</v>
      </c>
      <c r="O37" s="76">
        <f t="shared" si="5"/>
        <v>2670.2500000000005</v>
      </c>
      <c r="P37" s="76">
        <f t="shared" si="5"/>
        <v>0</v>
      </c>
      <c r="Q37" s="76">
        <f t="shared" si="10"/>
        <v>51.625</v>
      </c>
      <c r="R37" s="76">
        <f t="shared" si="11"/>
        <v>0</v>
      </c>
      <c r="S37" s="76">
        <f t="shared" si="11"/>
        <v>0.125</v>
      </c>
      <c r="T37" s="76">
        <f t="shared" si="11"/>
        <v>0</v>
      </c>
      <c r="U37" s="76">
        <f t="shared" si="11"/>
        <v>0</v>
      </c>
      <c r="AB37" s="58"/>
      <c r="AC37" s="58"/>
      <c r="AD37" s="58"/>
      <c r="AE37" s="58"/>
      <c r="AF37" s="58"/>
      <c r="AG37" s="58"/>
      <c r="AH37" s="58"/>
      <c r="AI37" s="58"/>
    </row>
    <row r="38" spans="1:35" s="71" customFormat="1" ht="13" x14ac:dyDescent="0.35">
      <c r="A38" s="13">
        <f>J8</f>
        <v>38</v>
      </c>
      <c r="B38" s="15">
        <v>250</v>
      </c>
      <c r="C38" s="76">
        <f t="shared" si="6"/>
        <v>50</v>
      </c>
      <c r="D38" s="76">
        <f t="shared" si="7"/>
        <v>20.504449999999999</v>
      </c>
      <c r="E38" s="76">
        <f t="shared" si="8"/>
        <v>3.0125000000000002</v>
      </c>
      <c r="F38" s="76">
        <f t="shared" si="9"/>
        <v>4.1449999999999996</v>
      </c>
      <c r="G38" s="76">
        <f t="shared" si="5"/>
        <v>0.185</v>
      </c>
      <c r="H38" s="76">
        <f t="shared" si="5"/>
        <v>0.84250000000000003</v>
      </c>
      <c r="I38" s="76">
        <f t="shared" si="5"/>
        <v>0.125</v>
      </c>
      <c r="J38" s="76">
        <f t="shared" si="5"/>
        <v>4.0000000000000001E-3</v>
      </c>
      <c r="K38" s="76">
        <f t="shared" si="5"/>
        <v>1.2500000000000001E-2</v>
      </c>
      <c r="L38" s="76">
        <f t="shared" si="5"/>
        <v>0.193</v>
      </c>
      <c r="M38" s="76">
        <f t="shared" si="5"/>
        <v>0.22875000000000001</v>
      </c>
      <c r="N38" s="76">
        <f t="shared" si="5"/>
        <v>11.75</v>
      </c>
      <c r="O38" s="76">
        <f t="shared" si="5"/>
        <v>2670.2500000000005</v>
      </c>
      <c r="P38" s="76">
        <f t="shared" si="5"/>
        <v>0</v>
      </c>
      <c r="Q38" s="76">
        <f t="shared" si="10"/>
        <v>51.625</v>
      </c>
      <c r="R38" s="76">
        <f t="shared" si="11"/>
        <v>0</v>
      </c>
      <c r="S38" s="76">
        <f t="shared" si="11"/>
        <v>0.125</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7" zoomScale="90" zoomScaleNormal="90" workbookViewId="0">
      <selection activeCell="F11" sqref="F1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6.5</v>
      </c>
      <c r="J1" s="128" t="s">
        <v>153</v>
      </c>
      <c r="K1" s="128"/>
      <c r="L1" s="96">
        <v>303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1.1599999999999999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2.6120689655172415</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0</v>
      </c>
      <c r="D18" s="16">
        <f>$D32</f>
        <v>0</v>
      </c>
      <c r="E18" s="16">
        <f>$D33</f>
        <v>0</v>
      </c>
      <c r="F18" s="16">
        <f>$D34</f>
        <v>0</v>
      </c>
      <c r="G18" s="16">
        <f>$D35</f>
        <v>21.758199749999999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-42.841800249999991</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
      </c>
      <c r="D20" s="25" t="str">
        <f>IF($B32="","",IF(D$19&gt;=0,"INCREASE","DECREASE"))</f>
        <v/>
      </c>
      <c r="E20" s="25" t="str">
        <f>IF($B33="","",IF(E$19&gt;=0,"INCREASE","DECREASE"))</f>
        <v/>
      </c>
      <c r="F20" s="25" t="str">
        <f>IF($B34="","",IF(F$19&gt;=0,"INCREASE","DECREASE"))</f>
        <v/>
      </c>
      <c r="G20" s="25" t="str">
        <f>IF($B35="","",IF(G$19&gt;=0,"INCREASE","DECREASE"))</f>
        <v>DECREASE</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v>
      </c>
      <c r="D22" s="16">
        <f>$E32</f>
        <v>0</v>
      </c>
      <c r="E22" s="16">
        <f>$E33</f>
        <v>0</v>
      </c>
      <c r="F22" s="16">
        <f>$E34</f>
        <v>0</v>
      </c>
      <c r="G22" s="16">
        <f>$E35</f>
        <v>1.3018518749999997</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-226.69814812499999</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2.0099999999999998</v>
      </c>
      <c r="C28" s="15">
        <v>1.1599999999999999</v>
      </c>
      <c r="D28" s="15">
        <v>0.189</v>
      </c>
      <c r="E28" s="15">
        <v>2.1499999999999998E-2</v>
      </c>
      <c r="F28" s="15">
        <v>405</v>
      </c>
      <c r="G28" s="15">
        <v>7.8</v>
      </c>
      <c r="H28" s="15">
        <v>70</v>
      </c>
      <c r="I28" s="15">
        <v>6.2</v>
      </c>
      <c r="J28" s="15">
        <v>0.11</v>
      </c>
      <c r="K28" s="15">
        <v>1</v>
      </c>
      <c r="L28" s="15">
        <v>5.0999999999999996</v>
      </c>
      <c r="M28" s="15">
        <v>4.3</v>
      </c>
      <c r="N28" s="15">
        <v>147000</v>
      </c>
      <c r="O28" s="15">
        <v>15000</v>
      </c>
      <c r="P28" s="15"/>
      <c r="Q28" s="15">
        <v>8690</v>
      </c>
      <c r="R28" s="15"/>
      <c r="S28" s="15">
        <v>20.6</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46"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34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58.289999999999985</v>
      </c>
      <c r="D35" s="76">
        <f t="shared" si="7"/>
        <v>21.758199749999999</v>
      </c>
      <c r="E35" s="76">
        <f t="shared" si="8"/>
        <v>1.3018518749999997</v>
      </c>
      <c r="F35" s="76">
        <f t="shared" si="9"/>
        <v>3.3742372499999989</v>
      </c>
      <c r="G35" s="76">
        <f t="shared" si="5"/>
        <v>3.9194999999999994E-2</v>
      </c>
      <c r="H35" s="76">
        <f t="shared" si="5"/>
        <v>0.35174999999999995</v>
      </c>
      <c r="I35" s="76">
        <f t="shared" si="5"/>
        <v>3.1154999999999995E-2</v>
      </c>
      <c r="J35" s="76">
        <f t="shared" si="5"/>
        <v>5.5274999999999996E-4</v>
      </c>
      <c r="K35" s="76">
        <f t="shared" si="5"/>
        <v>5.0249999999999991E-3</v>
      </c>
      <c r="L35" s="76">
        <f t="shared" si="5"/>
        <v>2.5627499999999991E-2</v>
      </c>
      <c r="M35" s="76">
        <f t="shared" si="5"/>
        <v>2.1607499999999995E-2</v>
      </c>
      <c r="N35" s="76">
        <f t="shared" si="5"/>
        <v>738.67499999999984</v>
      </c>
      <c r="O35" s="76">
        <f t="shared" si="5"/>
        <v>75.374999999999986</v>
      </c>
      <c r="P35" s="76">
        <f t="shared" si="5"/>
        <v>0</v>
      </c>
      <c r="Q35" s="76">
        <f t="shared" si="10"/>
        <v>109.16812499999997</v>
      </c>
      <c r="R35" s="76">
        <f t="shared" si="11"/>
        <v>0</v>
      </c>
      <c r="S35" s="76">
        <f t="shared" si="11"/>
        <v>0.10351499999999998</v>
      </c>
      <c r="T35" s="76">
        <f t="shared" si="11"/>
        <v>0</v>
      </c>
      <c r="U35" s="76">
        <f t="shared" si="11"/>
        <v>0</v>
      </c>
      <c r="AB35" s="58"/>
      <c r="AC35" s="58"/>
      <c r="AD35" s="58"/>
      <c r="AE35" s="58"/>
      <c r="AF35" s="58"/>
      <c r="AG35" s="58"/>
      <c r="AH35" s="58"/>
      <c r="AI35" s="58"/>
    </row>
    <row r="36" spans="1:35" s="71" customFormat="1" ht="13" x14ac:dyDescent="0.35">
      <c r="A36" s="13">
        <f>H8</f>
        <v>36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38</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0</v>
      </c>
      <c r="E62" s="76">
        <f>B34</f>
        <v>0</v>
      </c>
      <c r="F62" s="76">
        <f>B35</f>
        <v>250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2" sqref="B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6.1</v>
      </c>
      <c r="J1" s="128" t="s">
        <v>153</v>
      </c>
      <c r="K1" s="128"/>
      <c r="L1" s="96">
        <v>228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0.90200000000000002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2.5277161862527717</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14.4440677</v>
      </c>
      <c r="D18" s="16">
        <f>$D32</f>
        <v>14.4440677</v>
      </c>
      <c r="E18" s="16">
        <f>$D33</f>
        <v>14.4440677</v>
      </c>
      <c r="F18" s="16">
        <f>$D34</f>
        <v>14.4440677</v>
      </c>
      <c r="G18" s="16">
        <f>$D35</f>
        <v>14.4440677</v>
      </c>
      <c r="H18" s="16">
        <f>$D36</f>
        <v>14.4440677</v>
      </c>
      <c r="I18" s="16">
        <f>$D37</f>
        <v>14.4440677</v>
      </c>
      <c r="J18" s="16">
        <f>$D38</f>
        <v>14.4440677</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-50.155932299999996</v>
      </c>
      <c r="D19" s="16">
        <f t="shared" ref="D19:V19" si="1">D18-D17</f>
        <v>-50.155932299999996</v>
      </c>
      <c r="E19" s="16">
        <f t="shared" si="1"/>
        <v>-50.155932299999996</v>
      </c>
      <c r="F19" s="16">
        <f t="shared" si="1"/>
        <v>-50.155932299999996</v>
      </c>
      <c r="G19" s="16">
        <f t="shared" si="1"/>
        <v>-50.155932299999996</v>
      </c>
      <c r="H19" s="16">
        <f t="shared" si="1"/>
        <v>-50.155932299999996</v>
      </c>
      <c r="I19" s="16">
        <f t="shared" si="1"/>
        <v>-50.155932299999996</v>
      </c>
      <c r="J19" s="16">
        <f t="shared" si="1"/>
        <v>-50.155932299999996</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0.70239450000000003</v>
      </c>
      <c r="D22" s="16">
        <f>$E32</f>
        <v>0.70239450000000003</v>
      </c>
      <c r="E22" s="16">
        <f>$E33</f>
        <v>0.70239450000000003</v>
      </c>
      <c r="F22" s="16">
        <f>$E34</f>
        <v>0.70239450000000003</v>
      </c>
      <c r="G22" s="16">
        <f>$E35</f>
        <v>0.70239450000000003</v>
      </c>
      <c r="H22" s="16">
        <f>$E36</f>
        <v>0.70239450000000003</v>
      </c>
      <c r="I22" s="16">
        <f>$E37</f>
        <v>0.70239450000000003</v>
      </c>
      <c r="J22" s="16">
        <f>$E38</f>
        <v>0.70239450000000003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-227.2976055</v>
      </c>
      <c r="D23" s="16">
        <f t="shared" ref="D23:V23" si="3">D22-D21</f>
        <v>-227.2976055</v>
      </c>
      <c r="E23" s="16">
        <f t="shared" si="3"/>
        <v>-227.2976055</v>
      </c>
      <c r="F23" s="16">
        <f t="shared" si="3"/>
        <v>-227.2976055</v>
      </c>
      <c r="G23" s="16">
        <f t="shared" si="3"/>
        <v>-227.2976055</v>
      </c>
      <c r="H23" s="16">
        <f t="shared" si="3"/>
        <v>-227.2976055</v>
      </c>
      <c r="I23" s="16">
        <f t="shared" si="3"/>
        <v>-227.2976055</v>
      </c>
      <c r="J23" s="16">
        <f t="shared" si="3"/>
        <v>-227.2976055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 t="shared" ref="C24:V24" si="4">IF($B31="","",IF(C$23&gt;=0,"INCREASE","DECREASE"))</f>
        <v>DECREASE</v>
      </c>
      <c r="D24" s="25" t="str">
        <f t="shared" si="4"/>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2.68</v>
      </c>
      <c r="C28" s="15">
        <v>0.90200000000000002</v>
      </c>
      <c r="D28" s="15">
        <v>9.4100000000000003E-2</v>
      </c>
      <c r="E28" s="15">
        <v>8.6999999999999994E-3</v>
      </c>
      <c r="F28" s="15">
        <v>440</v>
      </c>
      <c r="G28" s="15">
        <v>20.100000000000001</v>
      </c>
      <c r="H28" s="15">
        <v>114</v>
      </c>
      <c r="I28" s="15">
        <v>16.8</v>
      </c>
      <c r="J28" s="15">
        <v>0.95</v>
      </c>
      <c r="K28" s="15">
        <v>0.75</v>
      </c>
      <c r="L28" s="15">
        <v>14</v>
      </c>
      <c r="M28" s="15">
        <v>11.8</v>
      </c>
      <c r="N28" s="15">
        <v>2950</v>
      </c>
      <c r="O28" s="15">
        <v>423000</v>
      </c>
      <c r="P28" s="15"/>
      <c r="Q28" s="15">
        <v>3500</v>
      </c>
      <c r="R28" s="15"/>
      <c r="S28" s="15">
        <v>44.1</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v>250</v>
      </c>
      <c r="C31" s="76">
        <f t="shared" ref="C31:C41" si="5">IF(C$27="%w/w SAR",((C$28*10)*$B31),IF(C$27="%w/w DM",(((C$28*10)*($B$28/100))*$B31),IF(C$27="kg/t SAR",(C$28*$B31),IF(C$27="kg/t DM",((C$28*($B$28/100))*$B31),IF(C$27="mg/kg SAR",((C$28*0.001)*$B31),IF(C$27="mg/kg DM",(((C$28*0.001)*($B$28/100))*$B31),0))))))</f>
        <v>60.434000000000005</v>
      </c>
      <c r="D31" s="76">
        <f t="shared" ref="D31:D41" si="6">(IF(D$27="%w/w SAR",((D$28*10)*$B31),IF(D$27="%w/w DM",(((D$28*10)*($B$28/100))*$B31),IF(D$27="kg/t SAR",(D$28*$B31),IF(D$27="kg/t DM",((D$28*($B$28/100))*$B31),IF(D$27="mg/kg SAR",((D$28*0.001)*$B31),IF(D$27="mg/kg DM",(((D$28*0.001)*($B$28/100))*$B31),"0")))))))*2.291</f>
        <v>14.4440677</v>
      </c>
      <c r="E31" s="76">
        <f t="shared" ref="E31:E41" si="7">(IF(E$27="%w/w SAR",((E$28*10)*$B31),IF(E$27="%w/w DM",(((E$28*10)*($B$28/100))*$B31),IF(E$27="kg/t SAR",(E$28*$B31),IF(E$27="kg/t DM",((E$28*($B$28/100))*$B31),IF(E$27="mg/kg SAR",((E$28*0.001)*$B31),IF(E$27="mg/kg DM",(((E$28*0.001)*($B$28/100))*$B31),"0")))))))*1.205</f>
        <v>0.70239450000000003</v>
      </c>
      <c r="F31" s="76">
        <f t="shared" ref="F31:F41" si="8">(IF(F$27="%w/w SAR",((F$28*10)*$B31),IF(F$27="%w/w DM",(((F$28*10)*($B$28/100))*$B31),IF(F$27="kg/t SAR",(F$28*$B31),IF(F$27="kg/t DM",((F$28*($B$28/100))*$B31),IF(F$27="mg/kg SAR",((F$28*0.001)*$B31),IF(F$27="mg/kg DM",(((F$28*0.001)*($B$28/100))*$B31),"0")))))))*1.658</f>
        <v>4.8877839999999999</v>
      </c>
      <c r="G31" s="76">
        <f t="shared" ref="G31:P41" si="9">IF(G$27="%w/w SAR",((G$28*10)*$B31),IF(G$27="%w/w DM",(((G$28*10)*($B$28/100))*$B31),IF(G$27="kg/t SAR",(G$28*$B31),IF(G$27="kg/t DM",((G$28*($B$28/100))*$B31),IF(G$27="mg/kg SAR",((G$28*0.001)*$B31),IF(G$27="mg/kg DM",(((G$28*0.001)*($B$28/100))*$B31),0))))))</f>
        <v>0.13467000000000004</v>
      </c>
      <c r="H31" s="76">
        <f t="shared" si="9"/>
        <v>0.76380000000000003</v>
      </c>
      <c r="I31" s="76">
        <f t="shared" si="9"/>
        <v>0.11256000000000002</v>
      </c>
      <c r="J31" s="76">
        <f t="shared" si="9"/>
        <v>6.365E-3</v>
      </c>
      <c r="K31" s="76">
        <f t="shared" si="9"/>
        <v>5.025E-3</v>
      </c>
      <c r="L31" s="76">
        <f t="shared" si="9"/>
        <v>9.3800000000000008E-2</v>
      </c>
      <c r="M31" s="76">
        <f t="shared" si="9"/>
        <v>7.9060000000000019E-2</v>
      </c>
      <c r="N31" s="76">
        <f t="shared" si="9"/>
        <v>19.765000000000001</v>
      </c>
      <c r="O31" s="76">
        <f t="shared" si="9"/>
        <v>2834.1000000000004</v>
      </c>
      <c r="P31" s="76">
        <f t="shared" si="9"/>
        <v>0</v>
      </c>
      <c r="Q31" s="76">
        <f t="shared" ref="Q31:Q41" si="10">(IF(Q$27="%w/w SAR",((Q$28*10)*$B31),IF(Q$27="%w/w DM",(((Q$28*10)*($B$28/100))*$B31),IF(Q$27="kg/t SAR",(Q$28*$B31),IF(Q$27="kg/t DM",((Q$28*($B$28/100))*$B31),IF(Q$27="mg/kg SAR",((Q$28*0.001)*$B31),IF(Q$27="mg/kg DM",(((Q$28*0.001)*($B$28/100))*$B31),0)))))))*2.5</f>
        <v>58.625000000000007</v>
      </c>
      <c r="R31" s="76">
        <f t="shared" ref="R31:U41" si="11">IF(R$27="%w/w SAR",((R$28*10)*$B31),IF(R$27="%w/w DM",(((R$28*10)*($B$28/100))*$B31),IF(R$27="kg/t SAR",(R$28*$B31),IF(R$27="kg/t DM",((R$28*($B$28/100))*$B31),IF(R$27="mg/kg SAR",((R$28*0.001)*$B31),IF(R$27="mg/kg DM",(((R$28*0.001)*($B$28/100))*$B31),0))))))</f>
        <v>0</v>
      </c>
      <c r="S31" s="76">
        <f t="shared" si="11"/>
        <v>0.29547000000000001</v>
      </c>
      <c r="T31" s="76">
        <f t="shared" si="11"/>
        <v>0</v>
      </c>
      <c r="U31" s="76">
        <f t="shared" si="11"/>
        <v>0</v>
      </c>
      <c r="AB31" s="58"/>
      <c r="AC31" s="58"/>
      <c r="AD31" s="58"/>
      <c r="AE31" s="58"/>
      <c r="AF31" s="58"/>
      <c r="AG31" s="58"/>
      <c r="AH31" s="58"/>
      <c r="AI31" s="58"/>
    </row>
    <row r="32" spans="1:40" s="71" customFormat="1" ht="13" x14ac:dyDescent="0.35">
      <c r="A32" s="13">
        <f>D8</f>
        <v>31</v>
      </c>
      <c r="B32" s="15">
        <v>250</v>
      </c>
      <c r="C32" s="76">
        <f t="shared" si="5"/>
        <v>60.434000000000005</v>
      </c>
      <c r="D32" s="76">
        <f t="shared" si="6"/>
        <v>14.4440677</v>
      </c>
      <c r="E32" s="76">
        <f t="shared" si="7"/>
        <v>0.70239450000000003</v>
      </c>
      <c r="F32" s="76">
        <f t="shared" si="8"/>
        <v>4.8877839999999999</v>
      </c>
      <c r="G32" s="76">
        <f t="shared" si="9"/>
        <v>0.13467000000000004</v>
      </c>
      <c r="H32" s="76">
        <f t="shared" si="9"/>
        <v>0.76380000000000003</v>
      </c>
      <c r="I32" s="76">
        <f t="shared" si="9"/>
        <v>0.11256000000000002</v>
      </c>
      <c r="J32" s="76">
        <f t="shared" si="9"/>
        <v>6.365E-3</v>
      </c>
      <c r="K32" s="76">
        <f t="shared" si="9"/>
        <v>5.025E-3</v>
      </c>
      <c r="L32" s="76">
        <f t="shared" si="9"/>
        <v>9.3800000000000008E-2</v>
      </c>
      <c r="M32" s="76">
        <f t="shared" si="9"/>
        <v>7.9060000000000019E-2</v>
      </c>
      <c r="N32" s="76">
        <f t="shared" si="9"/>
        <v>19.765000000000001</v>
      </c>
      <c r="O32" s="76">
        <f t="shared" si="9"/>
        <v>2834.1000000000004</v>
      </c>
      <c r="P32" s="76">
        <f t="shared" si="9"/>
        <v>0</v>
      </c>
      <c r="Q32" s="76">
        <f t="shared" si="10"/>
        <v>58.625000000000007</v>
      </c>
      <c r="R32" s="76">
        <f t="shared" si="11"/>
        <v>0</v>
      </c>
      <c r="S32" s="76">
        <f t="shared" si="11"/>
        <v>0.29547000000000001</v>
      </c>
      <c r="T32" s="76">
        <f t="shared" si="11"/>
        <v>0</v>
      </c>
      <c r="U32" s="76">
        <f t="shared" si="11"/>
        <v>0</v>
      </c>
      <c r="AB32" s="58"/>
      <c r="AC32" s="58"/>
      <c r="AD32" s="58"/>
      <c r="AE32" s="58"/>
      <c r="AF32" s="58"/>
      <c r="AG32" s="58"/>
      <c r="AH32" s="58"/>
      <c r="AI32" s="58"/>
    </row>
    <row r="33" spans="1:35" s="71" customFormat="1" ht="13" x14ac:dyDescent="0.35">
      <c r="A33" s="13">
        <f>E8</f>
        <v>33</v>
      </c>
      <c r="B33" s="15">
        <v>250</v>
      </c>
      <c r="C33" s="76">
        <f t="shared" si="5"/>
        <v>60.434000000000005</v>
      </c>
      <c r="D33" s="76">
        <f t="shared" si="6"/>
        <v>14.4440677</v>
      </c>
      <c r="E33" s="76">
        <f t="shared" si="7"/>
        <v>0.70239450000000003</v>
      </c>
      <c r="F33" s="76">
        <f t="shared" si="8"/>
        <v>4.8877839999999999</v>
      </c>
      <c r="G33" s="76">
        <f t="shared" si="9"/>
        <v>0.13467000000000004</v>
      </c>
      <c r="H33" s="76">
        <f t="shared" si="9"/>
        <v>0.76380000000000003</v>
      </c>
      <c r="I33" s="76">
        <f t="shared" si="9"/>
        <v>0.11256000000000002</v>
      </c>
      <c r="J33" s="76">
        <f t="shared" si="9"/>
        <v>6.365E-3</v>
      </c>
      <c r="K33" s="76">
        <f t="shared" si="9"/>
        <v>5.025E-3</v>
      </c>
      <c r="L33" s="76">
        <f t="shared" si="9"/>
        <v>9.3800000000000008E-2</v>
      </c>
      <c r="M33" s="76">
        <f t="shared" si="9"/>
        <v>7.9060000000000019E-2</v>
      </c>
      <c r="N33" s="76">
        <f t="shared" si="9"/>
        <v>19.765000000000001</v>
      </c>
      <c r="O33" s="76">
        <f t="shared" si="9"/>
        <v>2834.1000000000004</v>
      </c>
      <c r="P33" s="76">
        <f t="shared" si="9"/>
        <v>0</v>
      </c>
      <c r="Q33" s="76">
        <f t="shared" si="10"/>
        <v>58.625000000000007</v>
      </c>
      <c r="R33" s="76">
        <f t="shared" si="11"/>
        <v>0</v>
      </c>
      <c r="S33" s="76">
        <f t="shared" si="11"/>
        <v>0.29547000000000001</v>
      </c>
      <c r="T33" s="76">
        <f t="shared" si="11"/>
        <v>0</v>
      </c>
      <c r="U33" s="76">
        <f t="shared" si="11"/>
        <v>0</v>
      </c>
      <c r="AB33" s="58"/>
      <c r="AC33" s="58"/>
      <c r="AD33" s="58"/>
      <c r="AE33" s="58"/>
      <c r="AF33" s="58"/>
      <c r="AG33" s="58"/>
      <c r="AH33" s="58"/>
      <c r="AI33" s="58"/>
    </row>
    <row r="34" spans="1:35" s="71" customFormat="1" ht="13" x14ac:dyDescent="0.35">
      <c r="A34" s="13">
        <f>F8</f>
        <v>34</v>
      </c>
      <c r="B34" s="15">
        <v>250</v>
      </c>
      <c r="C34" s="76">
        <f t="shared" si="5"/>
        <v>60.434000000000005</v>
      </c>
      <c r="D34" s="76">
        <f t="shared" si="6"/>
        <v>14.4440677</v>
      </c>
      <c r="E34" s="76">
        <f t="shared" si="7"/>
        <v>0.70239450000000003</v>
      </c>
      <c r="F34" s="76">
        <f t="shared" si="8"/>
        <v>4.8877839999999999</v>
      </c>
      <c r="G34" s="76">
        <f t="shared" si="9"/>
        <v>0.13467000000000004</v>
      </c>
      <c r="H34" s="76">
        <f t="shared" si="9"/>
        <v>0.76380000000000003</v>
      </c>
      <c r="I34" s="76">
        <f t="shared" si="9"/>
        <v>0.11256000000000002</v>
      </c>
      <c r="J34" s="76">
        <f t="shared" si="9"/>
        <v>6.365E-3</v>
      </c>
      <c r="K34" s="76">
        <f t="shared" si="9"/>
        <v>5.025E-3</v>
      </c>
      <c r="L34" s="76">
        <f t="shared" si="9"/>
        <v>9.3800000000000008E-2</v>
      </c>
      <c r="M34" s="76">
        <f t="shared" si="9"/>
        <v>7.9060000000000019E-2</v>
      </c>
      <c r="N34" s="76">
        <f t="shared" si="9"/>
        <v>19.765000000000001</v>
      </c>
      <c r="O34" s="76">
        <f t="shared" si="9"/>
        <v>2834.1000000000004</v>
      </c>
      <c r="P34" s="76">
        <f t="shared" si="9"/>
        <v>0</v>
      </c>
      <c r="Q34" s="76">
        <f t="shared" si="10"/>
        <v>58.625000000000007</v>
      </c>
      <c r="R34" s="76">
        <f t="shared" si="11"/>
        <v>0</v>
      </c>
      <c r="S34" s="76">
        <f t="shared" si="11"/>
        <v>0.29547000000000001</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5"/>
        <v>60.434000000000005</v>
      </c>
      <c r="D35" s="76">
        <f t="shared" si="6"/>
        <v>14.4440677</v>
      </c>
      <c r="E35" s="76">
        <f t="shared" si="7"/>
        <v>0.70239450000000003</v>
      </c>
      <c r="F35" s="76">
        <f t="shared" si="8"/>
        <v>4.8877839999999999</v>
      </c>
      <c r="G35" s="76">
        <f t="shared" si="9"/>
        <v>0.13467000000000004</v>
      </c>
      <c r="H35" s="76">
        <f t="shared" si="9"/>
        <v>0.76380000000000003</v>
      </c>
      <c r="I35" s="76">
        <f t="shared" si="9"/>
        <v>0.11256000000000002</v>
      </c>
      <c r="J35" s="76">
        <f t="shared" si="9"/>
        <v>6.365E-3</v>
      </c>
      <c r="K35" s="76">
        <f t="shared" si="9"/>
        <v>5.025E-3</v>
      </c>
      <c r="L35" s="76">
        <f t="shared" si="9"/>
        <v>9.3800000000000008E-2</v>
      </c>
      <c r="M35" s="76">
        <f t="shared" si="9"/>
        <v>7.9060000000000019E-2</v>
      </c>
      <c r="N35" s="76">
        <f t="shared" si="9"/>
        <v>19.765000000000001</v>
      </c>
      <c r="O35" s="76">
        <f t="shared" si="9"/>
        <v>2834.1000000000004</v>
      </c>
      <c r="P35" s="76">
        <f t="shared" si="9"/>
        <v>0</v>
      </c>
      <c r="Q35" s="76">
        <f t="shared" si="10"/>
        <v>58.625000000000007</v>
      </c>
      <c r="R35" s="76">
        <f t="shared" si="11"/>
        <v>0</v>
      </c>
      <c r="S35" s="76">
        <f t="shared" si="11"/>
        <v>0.29547000000000001</v>
      </c>
      <c r="T35" s="76">
        <f t="shared" si="11"/>
        <v>0</v>
      </c>
      <c r="U35" s="76">
        <f t="shared" si="11"/>
        <v>0</v>
      </c>
      <c r="AB35" s="58"/>
      <c r="AC35" s="58"/>
      <c r="AD35" s="58"/>
      <c r="AE35" s="58"/>
      <c r="AF35" s="58"/>
      <c r="AG35" s="58"/>
      <c r="AH35" s="58"/>
      <c r="AI35" s="58"/>
    </row>
    <row r="36" spans="1:35" s="71" customFormat="1" ht="13" x14ac:dyDescent="0.35">
      <c r="A36" s="13">
        <f>H8</f>
        <v>36</v>
      </c>
      <c r="B36" s="15">
        <v>250</v>
      </c>
      <c r="C36" s="76">
        <f t="shared" si="5"/>
        <v>60.434000000000005</v>
      </c>
      <c r="D36" s="76">
        <f t="shared" si="6"/>
        <v>14.4440677</v>
      </c>
      <c r="E36" s="76">
        <f t="shared" si="7"/>
        <v>0.70239450000000003</v>
      </c>
      <c r="F36" s="76">
        <f t="shared" si="8"/>
        <v>4.8877839999999999</v>
      </c>
      <c r="G36" s="76">
        <f t="shared" si="9"/>
        <v>0.13467000000000004</v>
      </c>
      <c r="H36" s="76">
        <f t="shared" si="9"/>
        <v>0.76380000000000003</v>
      </c>
      <c r="I36" s="76">
        <f t="shared" si="9"/>
        <v>0.11256000000000002</v>
      </c>
      <c r="J36" s="76">
        <f t="shared" si="9"/>
        <v>6.365E-3</v>
      </c>
      <c r="K36" s="76">
        <f t="shared" si="9"/>
        <v>5.025E-3</v>
      </c>
      <c r="L36" s="76">
        <f t="shared" si="9"/>
        <v>9.3800000000000008E-2</v>
      </c>
      <c r="M36" s="76">
        <f t="shared" si="9"/>
        <v>7.9060000000000019E-2</v>
      </c>
      <c r="N36" s="76">
        <f t="shared" si="9"/>
        <v>19.765000000000001</v>
      </c>
      <c r="O36" s="76">
        <f t="shared" si="9"/>
        <v>2834.1000000000004</v>
      </c>
      <c r="P36" s="76">
        <f t="shared" si="9"/>
        <v>0</v>
      </c>
      <c r="Q36" s="76">
        <f t="shared" si="10"/>
        <v>58.625000000000007</v>
      </c>
      <c r="R36" s="76">
        <f t="shared" si="11"/>
        <v>0</v>
      </c>
      <c r="S36" s="76">
        <f t="shared" si="11"/>
        <v>0.29547000000000001</v>
      </c>
      <c r="T36" s="76">
        <f t="shared" si="11"/>
        <v>0</v>
      </c>
      <c r="U36" s="76">
        <f t="shared" si="11"/>
        <v>0</v>
      </c>
      <c r="AB36" s="58"/>
      <c r="AC36" s="58"/>
      <c r="AD36" s="58"/>
      <c r="AE36" s="58"/>
      <c r="AF36" s="58"/>
      <c r="AG36" s="58"/>
      <c r="AH36" s="58"/>
      <c r="AI36" s="58"/>
    </row>
    <row r="37" spans="1:35" s="71" customFormat="1" ht="13" x14ac:dyDescent="0.35">
      <c r="A37" s="13">
        <f>I8</f>
        <v>37</v>
      </c>
      <c r="B37" s="15">
        <v>250</v>
      </c>
      <c r="C37" s="76">
        <f t="shared" si="5"/>
        <v>60.434000000000005</v>
      </c>
      <c r="D37" s="76">
        <f t="shared" si="6"/>
        <v>14.4440677</v>
      </c>
      <c r="E37" s="76">
        <f t="shared" si="7"/>
        <v>0.70239450000000003</v>
      </c>
      <c r="F37" s="76">
        <f t="shared" si="8"/>
        <v>4.8877839999999999</v>
      </c>
      <c r="G37" s="76">
        <f t="shared" si="9"/>
        <v>0.13467000000000004</v>
      </c>
      <c r="H37" s="76">
        <f t="shared" si="9"/>
        <v>0.76380000000000003</v>
      </c>
      <c r="I37" s="76">
        <f t="shared" si="9"/>
        <v>0.11256000000000002</v>
      </c>
      <c r="J37" s="76">
        <f t="shared" si="9"/>
        <v>6.365E-3</v>
      </c>
      <c r="K37" s="76">
        <f t="shared" si="9"/>
        <v>5.025E-3</v>
      </c>
      <c r="L37" s="76">
        <f t="shared" si="9"/>
        <v>9.3800000000000008E-2</v>
      </c>
      <c r="M37" s="76">
        <f t="shared" si="9"/>
        <v>7.9060000000000019E-2</v>
      </c>
      <c r="N37" s="76">
        <f t="shared" si="9"/>
        <v>19.765000000000001</v>
      </c>
      <c r="O37" s="76">
        <f t="shared" si="9"/>
        <v>2834.1000000000004</v>
      </c>
      <c r="P37" s="76">
        <f t="shared" si="9"/>
        <v>0</v>
      </c>
      <c r="Q37" s="76">
        <f t="shared" si="10"/>
        <v>58.625000000000007</v>
      </c>
      <c r="R37" s="76">
        <f t="shared" si="11"/>
        <v>0</v>
      </c>
      <c r="S37" s="76">
        <f t="shared" si="11"/>
        <v>0.29547000000000001</v>
      </c>
      <c r="T37" s="76">
        <f t="shared" si="11"/>
        <v>0</v>
      </c>
      <c r="U37" s="76">
        <f t="shared" si="11"/>
        <v>0</v>
      </c>
      <c r="AB37" s="58"/>
      <c r="AC37" s="58"/>
      <c r="AD37" s="58"/>
      <c r="AE37" s="58"/>
      <c r="AF37" s="58"/>
      <c r="AG37" s="58"/>
      <c r="AH37" s="58"/>
      <c r="AI37" s="58"/>
    </row>
    <row r="38" spans="1:35" s="71" customFormat="1" ht="13" x14ac:dyDescent="0.35">
      <c r="A38" s="13">
        <f>J8</f>
        <v>38</v>
      </c>
      <c r="B38" s="15">
        <v>250</v>
      </c>
      <c r="C38" s="76">
        <f t="shared" si="5"/>
        <v>60.434000000000005</v>
      </c>
      <c r="D38" s="76">
        <f t="shared" si="6"/>
        <v>14.4440677</v>
      </c>
      <c r="E38" s="76">
        <f t="shared" si="7"/>
        <v>0.70239450000000003</v>
      </c>
      <c r="F38" s="76">
        <f t="shared" si="8"/>
        <v>4.8877839999999999</v>
      </c>
      <c r="G38" s="76">
        <f t="shared" si="9"/>
        <v>0.13467000000000004</v>
      </c>
      <c r="H38" s="76">
        <f t="shared" si="9"/>
        <v>0.76380000000000003</v>
      </c>
      <c r="I38" s="76">
        <f t="shared" si="9"/>
        <v>0.11256000000000002</v>
      </c>
      <c r="J38" s="76">
        <f t="shared" si="9"/>
        <v>6.365E-3</v>
      </c>
      <c r="K38" s="76">
        <f t="shared" si="9"/>
        <v>5.025E-3</v>
      </c>
      <c r="L38" s="76">
        <f t="shared" si="9"/>
        <v>9.3800000000000008E-2</v>
      </c>
      <c r="M38" s="76">
        <f t="shared" si="9"/>
        <v>7.9060000000000019E-2</v>
      </c>
      <c r="N38" s="76">
        <f t="shared" si="9"/>
        <v>19.765000000000001</v>
      </c>
      <c r="O38" s="76">
        <f t="shared" si="9"/>
        <v>2834.1000000000004</v>
      </c>
      <c r="P38" s="76">
        <f t="shared" si="9"/>
        <v>0</v>
      </c>
      <c r="Q38" s="76">
        <f t="shared" si="10"/>
        <v>58.625000000000007</v>
      </c>
      <c r="R38" s="76">
        <f t="shared" si="11"/>
        <v>0</v>
      </c>
      <c r="S38" s="76">
        <f t="shared" si="11"/>
        <v>0.29547000000000001</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5"/>
        <v>0</v>
      </c>
      <c r="D39" s="76">
        <f t="shared" si="6"/>
        <v>0</v>
      </c>
      <c r="E39" s="76">
        <f t="shared" si="7"/>
        <v>0</v>
      </c>
      <c r="F39" s="76">
        <f t="shared" si="8"/>
        <v>0</v>
      </c>
      <c r="G39" s="76">
        <f t="shared" si="9"/>
        <v>0</v>
      </c>
      <c r="H39" s="76">
        <f t="shared" si="9"/>
        <v>0</v>
      </c>
      <c r="I39" s="76">
        <f t="shared" si="9"/>
        <v>0</v>
      </c>
      <c r="J39" s="76">
        <f t="shared" si="9"/>
        <v>0</v>
      </c>
      <c r="K39" s="76">
        <f t="shared" si="9"/>
        <v>0</v>
      </c>
      <c r="L39" s="76">
        <f t="shared" si="9"/>
        <v>0</v>
      </c>
      <c r="M39" s="76">
        <f t="shared" si="9"/>
        <v>0</v>
      </c>
      <c r="N39" s="76">
        <f t="shared" si="9"/>
        <v>0</v>
      </c>
      <c r="O39" s="76">
        <f t="shared" si="9"/>
        <v>0</v>
      </c>
      <c r="P39" s="76">
        <f t="shared" si="9"/>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5"/>
        <v>0</v>
      </c>
      <c r="D40" s="76">
        <f t="shared" si="6"/>
        <v>0</v>
      </c>
      <c r="E40" s="76">
        <f t="shared" si="7"/>
        <v>0</v>
      </c>
      <c r="F40" s="76">
        <f t="shared" si="8"/>
        <v>0</v>
      </c>
      <c r="G40" s="76">
        <f t="shared" si="9"/>
        <v>0</v>
      </c>
      <c r="H40" s="76">
        <f t="shared" si="9"/>
        <v>0</v>
      </c>
      <c r="I40" s="76">
        <f t="shared" si="9"/>
        <v>0</v>
      </c>
      <c r="J40" s="76">
        <f t="shared" si="9"/>
        <v>0</v>
      </c>
      <c r="K40" s="76">
        <f t="shared" si="9"/>
        <v>0</v>
      </c>
      <c r="L40" s="76">
        <f t="shared" si="9"/>
        <v>0</v>
      </c>
      <c r="M40" s="76">
        <f t="shared" si="9"/>
        <v>0</v>
      </c>
      <c r="N40" s="76">
        <f t="shared" si="9"/>
        <v>0</v>
      </c>
      <c r="O40" s="76">
        <f t="shared" si="9"/>
        <v>0</v>
      </c>
      <c r="P40" s="76">
        <f t="shared" si="9"/>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5"/>
        <v>0</v>
      </c>
      <c r="D41" s="76">
        <f t="shared" si="6"/>
        <v>0</v>
      </c>
      <c r="E41" s="76">
        <f t="shared" si="7"/>
        <v>0</v>
      </c>
      <c r="F41" s="76">
        <f t="shared" si="8"/>
        <v>0</v>
      </c>
      <c r="G41" s="76">
        <f t="shared" si="9"/>
        <v>0</v>
      </c>
      <c r="H41" s="76">
        <f t="shared" si="9"/>
        <v>0</v>
      </c>
      <c r="I41" s="76">
        <f t="shared" si="9"/>
        <v>0</v>
      </c>
      <c r="J41" s="76">
        <f t="shared" si="9"/>
        <v>0</v>
      </c>
      <c r="K41" s="76">
        <f t="shared" si="9"/>
        <v>0</v>
      </c>
      <c r="L41" s="76">
        <f t="shared" si="9"/>
        <v>0</v>
      </c>
      <c r="M41" s="76">
        <f t="shared" si="9"/>
        <v>0</v>
      </c>
      <c r="N41" s="76">
        <f t="shared" si="9"/>
        <v>0</v>
      </c>
      <c r="O41" s="76">
        <f t="shared" si="9"/>
        <v>0</v>
      </c>
      <c r="P41" s="76">
        <f t="shared" si="9"/>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ref="C42:C50" si="12">IF(C$27="%w/w SAR",((C$28*10)*$B42),IF(C$27="%w/w DM",(((C$28*10)*($B$28/100))*$B42),IF(C$27="kg/t SAR",(C$28*$B42),IF(C$27="kg/t DM",((C$28*($B$28/100))*$B42),IF(C$27="mg/kg SAR",((C$28*0.001)*$B42),IF(C$27="mg/kg DM",(((C$28*0.001)*($B$28/100))*$B42),0))))))</f>
        <v>0</v>
      </c>
      <c r="D42" s="76">
        <f t="shared" ref="D42:D50" si="13">(IF(D$27="%w/w SAR",((D$28*10)*$B42),IF(D$27="%w/w DM",(((D$28*10)*($B$28/100))*$B42),IF(D$27="kg/t SAR",(D$28*$B42),IF(D$27="kg/t DM",((D$28*($B$28/100))*$B42),IF(D$27="mg/kg SAR",((D$28*0.001)*$B42),IF(D$27="mg/kg DM",(((D$28*0.001)*($B$28/100))*$B42),"0")))))))*2.291</f>
        <v>0</v>
      </c>
      <c r="E42" s="76">
        <f t="shared" ref="E42:E50" si="14">(IF(E$27="%w/w SAR",((E$28*10)*$B42),IF(E$27="%w/w DM",(((E$28*10)*($B$28/100))*$B42),IF(E$27="kg/t SAR",(E$28*$B42),IF(E$27="kg/t DM",((E$28*($B$28/100))*$B42),IF(E$27="mg/kg SAR",((E$28*0.001)*$B42),IF(E$27="mg/kg DM",(((E$28*0.001)*($B$28/100))*$B42),"0")))))))*1.205</f>
        <v>0</v>
      </c>
      <c r="F42" s="76">
        <f t="shared" ref="F42:F50" si="15">(IF(F$27="%w/w SAR",((F$28*10)*$B42),IF(F$27="%w/w DM",(((F$28*10)*($B$28/100))*$B42),IF(F$27="kg/t SAR",(F$28*$B42),IF(F$27="kg/t DM",((F$28*($B$28/100))*$B42),IF(F$27="mg/kg SAR",((F$28*0.001)*$B42),IF(F$27="mg/kg DM",(((F$28*0.001)*($B$28/100))*$B42),"0")))))))*1.658</f>
        <v>0</v>
      </c>
      <c r="G42" s="76">
        <f t="shared" ref="G42:P46" si="16">IF(G$27="%w/w SAR",((G$28*10)*$B42),IF(G$27="%w/w DM",(((G$28*10)*($B$28/100))*$B42),IF(G$27="kg/t SAR",(G$28*$B42),IF(G$27="kg/t DM",((G$28*($B$28/100))*$B42),IF(G$27="mg/kg SAR",((G$28*0.001)*$B42),IF(G$27="mg/kg DM",(((G$28*0.001)*($B$28/100))*$B42),0))))))</f>
        <v>0</v>
      </c>
      <c r="H42" s="76">
        <f t="shared" si="16"/>
        <v>0</v>
      </c>
      <c r="I42" s="76">
        <f t="shared" si="16"/>
        <v>0</v>
      </c>
      <c r="J42" s="76">
        <f t="shared" si="16"/>
        <v>0</v>
      </c>
      <c r="K42" s="76">
        <f t="shared" si="16"/>
        <v>0</v>
      </c>
      <c r="L42" s="76">
        <f t="shared" si="16"/>
        <v>0</v>
      </c>
      <c r="M42" s="76">
        <f t="shared" si="16"/>
        <v>0</v>
      </c>
      <c r="N42" s="76">
        <f t="shared" si="16"/>
        <v>0</v>
      </c>
      <c r="O42" s="76">
        <f t="shared" si="16"/>
        <v>0</v>
      </c>
      <c r="P42" s="76">
        <f t="shared" si="16"/>
        <v>0</v>
      </c>
      <c r="Q42" s="76">
        <f t="shared" ref="Q42:Q50" si="17">(IF(Q$27="%w/w SAR",((Q$28*10)*$B42),IF(Q$27="%w/w DM",(((Q$28*10)*($B$28/100))*$B42),IF(Q$27="kg/t SAR",(Q$28*$B42),IF(Q$27="kg/t DM",((Q$28*($B$28/100))*$B42),IF(Q$27="mg/kg SAR",((Q$28*0.001)*$B42),IF(Q$27="mg/kg DM",(((Q$28*0.001)*($B$28/100))*$B42),0)))))))*2.5</f>
        <v>0</v>
      </c>
      <c r="R42" s="76">
        <f t="shared" ref="R42:U50" si="18">IF(R$27="%w/w SAR",((R$28*10)*$B42),IF(R$27="%w/w DM",(((R$28*10)*($B$28/100))*$B42),IF(R$27="kg/t SAR",(R$28*$B42),IF(R$27="kg/t DM",((R$28*($B$28/100))*$B42),IF(R$27="mg/kg SAR",((R$28*0.001)*$B42),IF(R$27="mg/kg DM",(((R$28*0.001)*($B$28/100))*$B42),0))))))</f>
        <v>0</v>
      </c>
      <c r="S42" s="76">
        <f t="shared" si="18"/>
        <v>0</v>
      </c>
      <c r="T42" s="76">
        <f t="shared" si="18"/>
        <v>0</v>
      </c>
      <c r="U42" s="76">
        <f t="shared" si="18"/>
        <v>0</v>
      </c>
      <c r="AB42" s="58"/>
      <c r="AC42" s="58"/>
      <c r="AD42" s="58"/>
      <c r="AE42" s="58"/>
      <c r="AF42" s="58"/>
      <c r="AG42" s="58"/>
      <c r="AH42" s="58"/>
      <c r="AI42" s="58"/>
    </row>
    <row r="43" spans="1:35" s="71" customFormat="1" ht="13" x14ac:dyDescent="0.35">
      <c r="A43" s="13">
        <f>O8</f>
        <v>0</v>
      </c>
      <c r="B43" s="15"/>
      <c r="C43" s="76">
        <f t="shared" si="12"/>
        <v>0</v>
      </c>
      <c r="D43" s="76">
        <f t="shared" si="13"/>
        <v>0</v>
      </c>
      <c r="E43" s="76">
        <f t="shared" si="14"/>
        <v>0</v>
      </c>
      <c r="F43" s="76">
        <f t="shared" si="15"/>
        <v>0</v>
      </c>
      <c r="G43" s="76">
        <f t="shared" si="16"/>
        <v>0</v>
      </c>
      <c r="H43" s="76">
        <f t="shared" si="16"/>
        <v>0</v>
      </c>
      <c r="I43" s="76">
        <f t="shared" si="16"/>
        <v>0</v>
      </c>
      <c r="J43" s="76">
        <f t="shared" si="16"/>
        <v>0</v>
      </c>
      <c r="K43" s="76">
        <f t="shared" si="16"/>
        <v>0</v>
      </c>
      <c r="L43" s="76">
        <f t="shared" si="16"/>
        <v>0</v>
      </c>
      <c r="M43" s="76">
        <f t="shared" si="16"/>
        <v>0</v>
      </c>
      <c r="N43" s="76">
        <f t="shared" si="16"/>
        <v>0</v>
      </c>
      <c r="O43" s="76">
        <f t="shared" si="16"/>
        <v>0</v>
      </c>
      <c r="P43" s="76">
        <f t="shared" si="16"/>
        <v>0</v>
      </c>
      <c r="Q43" s="76">
        <f t="shared" si="17"/>
        <v>0</v>
      </c>
      <c r="R43" s="76">
        <f t="shared" si="18"/>
        <v>0</v>
      </c>
      <c r="S43" s="76">
        <f t="shared" si="18"/>
        <v>0</v>
      </c>
      <c r="T43" s="76">
        <f t="shared" si="18"/>
        <v>0</v>
      </c>
      <c r="U43" s="76">
        <f t="shared" si="18"/>
        <v>0</v>
      </c>
      <c r="AB43" s="58"/>
      <c r="AC43" s="58"/>
      <c r="AD43" s="58"/>
      <c r="AE43" s="58"/>
      <c r="AF43" s="58"/>
      <c r="AG43" s="58"/>
      <c r="AH43" s="58"/>
      <c r="AI43" s="58"/>
    </row>
    <row r="44" spans="1:35" s="71" customFormat="1" ht="13" x14ac:dyDescent="0.35">
      <c r="A44" s="13">
        <f>P8</f>
        <v>0</v>
      </c>
      <c r="B44" s="15"/>
      <c r="C44" s="76">
        <f t="shared" si="12"/>
        <v>0</v>
      </c>
      <c r="D44" s="76">
        <f t="shared" si="13"/>
        <v>0</v>
      </c>
      <c r="E44" s="76">
        <f t="shared" si="14"/>
        <v>0</v>
      </c>
      <c r="F44" s="76">
        <f t="shared" si="15"/>
        <v>0</v>
      </c>
      <c r="G44" s="76">
        <f t="shared" si="16"/>
        <v>0</v>
      </c>
      <c r="H44" s="76">
        <f t="shared" si="16"/>
        <v>0</v>
      </c>
      <c r="I44" s="76">
        <f t="shared" si="16"/>
        <v>0</v>
      </c>
      <c r="J44" s="76">
        <f t="shared" si="16"/>
        <v>0</v>
      </c>
      <c r="K44" s="76">
        <f t="shared" si="16"/>
        <v>0</v>
      </c>
      <c r="L44" s="76">
        <f t="shared" si="16"/>
        <v>0</v>
      </c>
      <c r="M44" s="76">
        <f t="shared" si="16"/>
        <v>0</v>
      </c>
      <c r="N44" s="76">
        <f t="shared" si="16"/>
        <v>0</v>
      </c>
      <c r="O44" s="76">
        <f t="shared" si="16"/>
        <v>0</v>
      </c>
      <c r="P44" s="76">
        <f t="shared" si="16"/>
        <v>0</v>
      </c>
      <c r="Q44" s="76">
        <f t="shared" si="17"/>
        <v>0</v>
      </c>
      <c r="R44" s="76">
        <f t="shared" si="18"/>
        <v>0</v>
      </c>
      <c r="S44" s="76">
        <f t="shared" si="18"/>
        <v>0</v>
      </c>
      <c r="T44" s="76">
        <f t="shared" si="18"/>
        <v>0</v>
      </c>
      <c r="U44" s="76">
        <f t="shared" si="18"/>
        <v>0</v>
      </c>
      <c r="AB44" s="58"/>
      <c r="AC44" s="58"/>
      <c r="AD44" s="58"/>
      <c r="AE44" s="58"/>
      <c r="AF44" s="58"/>
      <c r="AG44" s="58"/>
      <c r="AH44" s="58"/>
      <c r="AI44" s="58"/>
    </row>
    <row r="45" spans="1:35" s="71" customFormat="1" ht="13" x14ac:dyDescent="0.35">
      <c r="A45" s="13">
        <f>Q8</f>
        <v>0</v>
      </c>
      <c r="B45" s="15"/>
      <c r="C45" s="76">
        <f t="shared" si="12"/>
        <v>0</v>
      </c>
      <c r="D45" s="76">
        <f t="shared" si="13"/>
        <v>0</v>
      </c>
      <c r="E45" s="76">
        <f t="shared" si="14"/>
        <v>0</v>
      </c>
      <c r="F45" s="76">
        <f t="shared" si="15"/>
        <v>0</v>
      </c>
      <c r="G45" s="76">
        <f t="shared" si="16"/>
        <v>0</v>
      </c>
      <c r="H45" s="76">
        <f t="shared" si="16"/>
        <v>0</v>
      </c>
      <c r="I45" s="76">
        <f t="shared" si="16"/>
        <v>0</v>
      </c>
      <c r="J45" s="76">
        <f t="shared" si="16"/>
        <v>0</v>
      </c>
      <c r="K45" s="76">
        <f t="shared" si="16"/>
        <v>0</v>
      </c>
      <c r="L45" s="76">
        <f t="shared" si="16"/>
        <v>0</v>
      </c>
      <c r="M45" s="76">
        <f t="shared" si="16"/>
        <v>0</v>
      </c>
      <c r="N45" s="76">
        <f t="shared" si="16"/>
        <v>0</v>
      </c>
      <c r="O45" s="76">
        <f t="shared" si="16"/>
        <v>0</v>
      </c>
      <c r="P45" s="76">
        <f t="shared" si="16"/>
        <v>0</v>
      </c>
      <c r="Q45" s="76">
        <f t="shared" si="17"/>
        <v>0</v>
      </c>
      <c r="R45" s="76">
        <f t="shared" si="18"/>
        <v>0</v>
      </c>
      <c r="S45" s="76">
        <f t="shared" si="18"/>
        <v>0</v>
      </c>
      <c r="T45" s="76">
        <f t="shared" si="18"/>
        <v>0</v>
      </c>
      <c r="U45" s="76">
        <f t="shared" si="18"/>
        <v>0</v>
      </c>
      <c r="AB45" s="58"/>
      <c r="AC45" s="58"/>
      <c r="AD45" s="58"/>
      <c r="AE45" s="58"/>
      <c r="AF45" s="58"/>
      <c r="AG45" s="58"/>
      <c r="AH45" s="58"/>
      <c r="AI45" s="58"/>
    </row>
    <row r="46" spans="1:35" s="71" customFormat="1" ht="13" x14ac:dyDescent="0.35">
      <c r="A46" s="13">
        <f>R8</f>
        <v>0</v>
      </c>
      <c r="B46" s="15"/>
      <c r="C46" s="76">
        <f t="shared" si="12"/>
        <v>0</v>
      </c>
      <c r="D46" s="76">
        <f t="shared" si="13"/>
        <v>0</v>
      </c>
      <c r="E46" s="76">
        <f t="shared" si="14"/>
        <v>0</v>
      </c>
      <c r="F46" s="76">
        <f t="shared" si="15"/>
        <v>0</v>
      </c>
      <c r="G46" s="76">
        <f t="shared" si="16"/>
        <v>0</v>
      </c>
      <c r="H46" s="76">
        <f t="shared" si="16"/>
        <v>0</v>
      </c>
      <c r="I46" s="76">
        <f t="shared" si="16"/>
        <v>0</v>
      </c>
      <c r="J46" s="76">
        <f t="shared" si="16"/>
        <v>0</v>
      </c>
      <c r="K46" s="76">
        <f t="shared" si="16"/>
        <v>0</v>
      </c>
      <c r="L46" s="76">
        <f t="shared" si="16"/>
        <v>0</v>
      </c>
      <c r="M46" s="76">
        <f t="shared" si="16"/>
        <v>0</v>
      </c>
      <c r="N46" s="76">
        <f t="shared" si="16"/>
        <v>0</v>
      </c>
      <c r="O46" s="76">
        <f t="shared" si="16"/>
        <v>0</v>
      </c>
      <c r="P46" s="76">
        <f t="shared" si="16"/>
        <v>0</v>
      </c>
      <c r="Q46" s="76">
        <f t="shared" si="17"/>
        <v>0</v>
      </c>
      <c r="R46" s="76">
        <f t="shared" si="18"/>
        <v>0</v>
      </c>
      <c r="S46" s="76">
        <f t="shared" si="18"/>
        <v>0</v>
      </c>
      <c r="T46" s="76">
        <f t="shared" si="18"/>
        <v>0</v>
      </c>
      <c r="U46" s="76">
        <f t="shared" si="18"/>
        <v>0</v>
      </c>
      <c r="AB46" s="58"/>
      <c r="AC46" s="58"/>
      <c r="AD46" s="58"/>
      <c r="AE46" s="58"/>
      <c r="AF46" s="58"/>
      <c r="AG46" s="58"/>
      <c r="AH46" s="58"/>
      <c r="AI46" s="58"/>
    </row>
    <row r="47" spans="1:35" s="71" customFormat="1" ht="13" x14ac:dyDescent="0.35">
      <c r="A47" s="13">
        <f>S8</f>
        <v>0</v>
      </c>
      <c r="B47" s="15"/>
      <c r="C47" s="76">
        <f t="shared" si="12"/>
        <v>0</v>
      </c>
      <c r="D47" s="76">
        <f t="shared" si="13"/>
        <v>0</v>
      </c>
      <c r="E47" s="76">
        <f t="shared" si="14"/>
        <v>0</v>
      </c>
      <c r="F47" s="76">
        <f t="shared" si="15"/>
        <v>0</v>
      </c>
      <c r="G47" s="76">
        <f t="shared" ref="G47:P50" si="19">IF(G$27="%w/w SAR",((G$28*10)*$B47),IF(G$27="%w/w DM",(((G$28*10)*($B$28/100))*$B47),IF(G$27="kg/t SAR",(G$28*$B47),IF(G$27="kg/t DM",((G$28*($B$28/100))*$B47),IF(G$27="mg/kg SAR",((G$28*0.001)*$B47),IF(G$27="mg/kg DM",(((G$28*0.001)*($B$28/100))*$B47),0))))))</f>
        <v>0</v>
      </c>
      <c r="H47" s="76">
        <f t="shared" si="19"/>
        <v>0</v>
      </c>
      <c r="I47" s="76">
        <f t="shared" si="19"/>
        <v>0</v>
      </c>
      <c r="J47" s="76">
        <f t="shared" si="19"/>
        <v>0</v>
      </c>
      <c r="K47" s="76">
        <f t="shared" si="19"/>
        <v>0</v>
      </c>
      <c r="L47" s="76">
        <f t="shared" si="19"/>
        <v>0</v>
      </c>
      <c r="M47" s="76">
        <f t="shared" si="19"/>
        <v>0</v>
      </c>
      <c r="N47" s="76">
        <f t="shared" si="19"/>
        <v>0</v>
      </c>
      <c r="O47" s="76">
        <f t="shared" si="19"/>
        <v>0</v>
      </c>
      <c r="P47" s="76">
        <f t="shared" si="19"/>
        <v>0</v>
      </c>
      <c r="Q47" s="76">
        <f t="shared" si="17"/>
        <v>0</v>
      </c>
      <c r="R47" s="76">
        <f t="shared" si="18"/>
        <v>0</v>
      </c>
      <c r="S47" s="76">
        <f t="shared" si="18"/>
        <v>0</v>
      </c>
      <c r="T47" s="76">
        <f t="shared" si="18"/>
        <v>0</v>
      </c>
      <c r="U47" s="76">
        <f t="shared" si="18"/>
        <v>0</v>
      </c>
      <c r="AB47" s="58"/>
      <c r="AC47" s="58"/>
      <c r="AD47" s="58"/>
      <c r="AE47" s="58"/>
      <c r="AF47" s="58"/>
      <c r="AG47" s="58"/>
      <c r="AH47" s="58"/>
      <c r="AI47" s="58"/>
    </row>
    <row r="48" spans="1:35" s="71" customFormat="1" ht="13" x14ac:dyDescent="0.35">
      <c r="A48" s="13">
        <f>T8</f>
        <v>0</v>
      </c>
      <c r="B48" s="15"/>
      <c r="C48" s="76">
        <f t="shared" si="12"/>
        <v>0</v>
      </c>
      <c r="D48" s="76">
        <f t="shared" si="13"/>
        <v>0</v>
      </c>
      <c r="E48" s="76">
        <f t="shared" si="14"/>
        <v>0</v>
      </c>
      <c r="F48" s="76">
        <f t="shared" si="15"/>
        <v>0</v>
      </c>
      <c r="G48" s="76">
        <f t="shared" si="19"/>
        <v>0</v>
      </c>
      <c r="H48" s="76">
        <f t="shared" si="19"/>
        <v>0</v>
      </c>
      <c r="I48" s="76">
        <f t="shared" si="19"/>
        <v>0</v>
      </c>
      <c r="J48" s="76">
        <f t="shared" si="19"/>
        <v>0</v>
      </c>
      <c r="K48" s="76">
        <f t="shared" si="19"/>
        <v>0</v>
      </c>
      <c r="L48" s="76">
        <f t="shared" si="19"/>
        <v>0</v>
      </c>
      <c r="M48" s="76">
        <f t="shared" si="19"/>
        <v>0</v>
      </c>
      <c r="N48" s="76">
        <f t="shared" si="19"/>
        <v>0</v>
      </c>
      <c r="O48" s="76">
        <f t="shared" si="19"/>
        <v>0</v>
      </c>
      <c r="P48" s="76">
        <f t="shared" si="19"/>
        <v>0</v>
      </c>
      <c r="Q48" s="76">
        <f t="shared" si="17"/>
        <v>0</v>
      </c>
      <c r="R48" s="76">
        <f t="shared" si="18"/>
        <v>0</v>
      </c>
      <c r="S48" s="76">
        <f t="shared" si="18"/>
        <v>0</v>
      </c>
      <c r="T48" s="76">
        <f t="shared" si="18"/>
        <v>0</v>
      </c>
      <c r="U48" s="76">
        <f t="shared" si="18"/>
        <v>0</v>
      </c>
      <c r="AB48" s="58"/>
      <c r="AC48" s="58"/>
      <c r="AD48" s="58"/>
      <c r="AE48" s="58"/>
      <c r="AF48" s="58"/>
      <c r="AG48" s="58"/>
      <c r="AH48" s="58"/>
      <c r="AI48" s="58"/>
    </row>
    <row r="49" spans="1:35" s="71" customFormat="1" ht="13" x14ac:dyDescent="0.35">
      <c r="A49" s="13">
        <f>U8</f>
        <v>0</v>
      </c>
      <c r="B49" s="15"/>
      <c r="C49" s="76">
        <f t="shared" si="12"/>
        <v>0</v>
      </c>
      <c r="D49" s="76">
        <f t="shared" si="13"/>
        <v>0</v>
      </c>
      <c r="E49" s="76">
        <f t="shared" si="14"/>
        <v>0</v>
      </c>
      <c r="F49" s="76">
        <f t="shared" si="15"/>
        <v>0</v>
      </c>
      <c r="G49" s="76">
        <f t="shared" si="19"/>
        <v>0</v>
      </c>
      <c r="H49" s="76">
        <f t="shared" si="19"/>
        <v>0</v>
      </c>
      <c r="I49" s="76">
        <f t="shared" si="19"/>
        <v>0</v>
      </c>
      <c r="J49" s="76">
        <f t="shared" si="19"/>
        <v>0</v>
      </c>
      <c r="K49" s="76">
        <f t="shared" si="19"/>
        <v>0</v>
      </c>
      <c r="L49" s="76">
        <f t="shared" si="19"/>
        <v>0</v>
      </c>
      <c r="M49" s="76">
        <f t="shared" si="19"/>
        <v>0</v>
      </c>
      <c r="N49" s="76">
        <f t="shared" si="19"/>
        <v>0</v>
      </c>
      <c r="O49" s="76">
        <f t="shared" si="19"/>
        <v>0</v>
      </c>
      <c r="P49" s="76">
        <f t="shared" si="19"/>
        <v>0</v>
      </c>
      <c r="Q49" s="76">
        <f t="shared" si="17"/>
        <v>0</v>
      </c>
      <c r="R49" s="76">
        <f t="shared" si="18"/>
        <v>0</v>
      </c>
      <c r="S49" s="76">
        <f t="shared" si="18"/>
        <v>0</v>
      </c>
      <c r="T49" s="76">
        <f t="shared" si="18"/>
        <v>0</v>
      </c>
      <c r="U49" s="76">
        <f t="shared" si="18"/>
        <v>0</v>
      </c>
      <c r="AB49" s="58"/>
      <c r="AC49" s="58"/>
      <c r="AD49" s="58"/>
      <c r="AE49" s="58"/>
      <c r="AF49" s="58"/>
      <c r="AG49" s="58"/>
      <c r="AH49" s="58"/>
      <c r="AI49" s="58"/>
    </row>
    <row r="50" spans="1:35" s="71" customFormat="1" ht="13.5" thickBot="1" x14ac:dyDescent="0.4">
      <c r="A50" s="14">
        <f>V8</f>
        <v>0</v>
      </c>
      <c r="B50" s="15"/>
      <c r="C50" s="97">
        <f t="shared" si="12"/>
        <v>0</v>
      </c>
      <c r="D50" s="97">
        <f t="shared" si="13"/>
        <v>0</v>
      </c>
      <c r="E50" s="97">
        <f t="shared" si="14"/>
        <v>0</v>
      </c>
      <c r="F50" s="97">
        <f t="shared" si="15"/>
        <v>0</v>
      </c>
      <c r="G50" s="97">
        <f t="shared" si="19"/>
        <v>0</v>
      </c>
      <c r="H50" s="97">
        <f t="shared" si="19"/>
        <v>0</v>
      </c>
      <c r="I50" s="97">
        <f t="shared" si="19"/>
        <v>0</v>
      </c>
      <c r="J50" s="97">
        <f t="shared" si="19"/>
        <v>0</v>
      </c>
      <c r="K50" s="97">
        <f t="shared" si="19"/>
        <v>0</v>
      </c>
      <c r="L50" s="97">
        <f t="shared" si="19"/>
        <v>0</v>
      </c>
      <c r="M50" s="97">
        <f t="shared" si="19"/>
        <v>0</v>
      </c>
      <c r="N50" s="97">
        <f t="shared" si="19"/>
        <v>0</v>
      </c>
      <c r="O50" s="97">
        <f t="shared" si="19"/>
        <v>0</v>
      </c>
      <c r="P50" s="97">
        <f t="shared" si="19"/>
        <v>0</v>
      </c>
      <c r="Q50" s="97">
        <f t="shared" si="17"/>
        <v>0</v>
      </c>
      <c r="R50" s="97">
        <f t="shared" si="18"/>
        <v>0</v>
      </c>
      <c r="S50" s="97">
        <f t="shared" si="18"/>
        <v>0</v>
      </c>
      <c r="T50" s="97">
        <f t="shared" si="18"/>
        <v>0</v>
      </c>
      <c r="U50" s="97">
        <f t="shared" si="18"/>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20">D8</f>
        <v>31</v>
      </c>
      <c r="D57" s="8">
        <f t="shared" si="20"/>
        <v>33</v>
      </c>
      <c r="E57" s="8">
        <f t="shared" si="20"/>
        <v>34</v>
      </c>
      <c r="F57" s="8">
        <f t="shared" si="20"/>
        <v>35</v>
      </c>
      <c r="G57" s="8">
        <f t="shared" si="20"/>
        <v>36</v>
      </c>
      <c r="H57" s="8">
        <f t="shared" si="20"/>
        <v>37</v>
      </c>
      <c r="I57" s="8">
        <f t="shared" si="20"/>
        <v>38</v>
      </c>
      <c r="J57" s="8">
        <f t="shared" si="20"/>
        <v>0</v>
      </c>
      <c r="K57" s="8">
        <f t="shared" si="20"/>
        <v>0</v>
      </c>
      <c r="L57" s="8">
        <f t="shared" si="20"/>
        <v>0</v>
      </c>
      <c r="M57" s="8">
        <f t="shared" si="20"/>
        <v>0</v>
      </c>
      <c r="N57" s="8">
        <f t="shared" si="20"/>
        <v>0</v>
      </c>
      <c r="O57" s="8">
        <f t="shared" si="20"/>
        <v>0</v>
      </c>
      <c r="P57" s="8">
        <f t="shared" si="20"/>
        <v>0</v>
      </c>
      <c r="Q57" s="8">
        <f t="shared" si="20"/>
        <v>0</v>
      </c>
      <c r="R57" s="8">
        <f t="shared" si="20"/>
        <v>0</v>
      </c>
      <c r="S57" s="8">
        <f t="shared" si="20"/>
        <v>0</v>
      </c>
      <c r="T57" s="8">
        <f t="shared" si="20"/>
        <v>0</v>
      </c>
      <c r="U57" s="8">
        <f t="shared" si="20"/>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t="e">
        <f>VLOOKUP(K$14,Table24581112[],5,FALSE)</f>
        <v>#N/A</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5.7</v>
      </c>
      <c r="C60" s="75">
        <f t="shared" ref="C60:U60" si="21">D10</f>
        <v>5.7</v>
      </c>
      <c r="D60" s="75">
        <f t="shared" si="21"/>
        <v>5.7</v>
      </c>
      <c r="E60" s="75">
        <f t="shared" si="21"/>
        <v>5.6</v>
      </c>
      <c r="F60" s="75">
        <f t="shared" si="21"/>
        <v>6.1</v>
      </c>
      <c r="G60" s="75">
        <f t="shared" si="21"/>
        <v>5.6</v>
      </c>
      <c r="H60" s="75">
        <f t="shared" si="21"/>
        <v>5.7</v>
      </c>
      <c r="I60" s="75">
        <f t="shared" si="21"/>
        <v>5.7</v>
      </c>
      <c r="J60" s="75">
        <f t="shared" si="21"/>
        <v>0</v>
      </c>
      <c r="K60" s="75">
        <f t="shared" si="21"/>
        <v>0</v>
      </c>
      <c r="L60" s="75">
        <f t="shared" si="21"/>
        <v>0</v>
      </c>
      <c r="M60" s="75">
        <f t="shared" si="21"/>
        <v>0</v>
      </c>
      <c r="N60" s="75">
        <f t="shared" si="21"/>
        <v>0</v>
      </c>
      <c r="O60" s="75">
        <f t="shared" si="21"/>
        <v>0</v>
      </c>
      <c r="P60" s="75">
        <f t="shared" si="21"/>
        <v>0</v>
      </c>
      <c r="Q60" s="75">
        <f t="shared" si="21"/>
        <v>0</v>
      </c>
      <c r="R60" s="75">
        <f t="shared" si="21"/>
        <v>0</v>
      </c>
      <c r="S60" s="75">
        <f t="shared" si="21"/>
        <v>0</v>
      </c>
      <c r="T60" s="75">
        <f t="shared" si="21"/>
        <v>0</v>
      </c>
      <c r="U60" s="75">
        <f t="shared" si="21"/>
        <v>0</v>
      </c>
    </row>
    <row r="61" spans="1:35" s="19" customFormat="1" ht="13" x14ac:dyDescent="0.3">
      <c r="A61" s="110" t="s">
        <v>133</v>
      </c>
      <c r="B61" s="75">
        <f t="shared" ref="B61:U61" si="22">VLOOKUP(B58,$AD9:$AE18,2,FALSE)</f>
        <v>6</v>
      </c>
      <c r="C61" s="75">
        <f t="shared" si="22"/>
        <v>6</v>
      </c>
      <c r="D61" s="75">
        <f t="shared" si="22"/>
        <v>6</v>
      </c>
      <c r="E61" s="75">
        <f t="shared" si="22"/>
        <v>6</v>
      </c>
      <c r="F61" s="75">
        <f t="shared" si="22"/>
        <v>6</v>
      </c>
      <c r="G61" s="75">
        <f t="shared" si="22"/>
        <v>6</v>
      </c>
      <c r="H61" s="75">
        <f t="shared" si="22"/>
        <v>6</v>
      </c>
      <c r="I61" s="75">
        <f t="shared" si="22"/>
        <v>6</v>
      </c>
      <c r="J61" s="75" t="e">
        <f t="shared" si="22"/>
        <v>#N/A</v>
      </c>
      <c r="K61" s="75" t="e">
        <f t="shared" si="22"/>
        <v>#N/A</v>
      </c>
      <c r="L61" s="75" t="e">
        <f t="shared" si="22"/>
        <v>#N/A</v>
      </c>
      <c r="M61" s="75" t="e">
        <f t="shared" si="22"/>
        <v>#N/A</v>
      </c>
      <c r="N61" s="75" t="e">
        <f t="shared" si="22"/>
        <v>#N/A</v>
      </c>
      <c r="O61" s="75" t="e">
        <f t="shared" si="22"/>
        <v>#N/A</v>
      </c>
      <c r="P61" s="75" t="e">
        <f t="shared" si="22"/>
        <v>#N/A</v>
      </c>
      <c r="Q61" s="75" t="e">
        <f t="shared" si="22"/>
        <v>#N/A</v>
      </c>
      <c r="R61" s="75" t="e">
        <f t="shared" si="22"/>
        <v>#N/A</v>
      </c>
      <c r="S61" s="75" t="e">
        <f t="shared" si="22"/>
        <v>#N/A</v>
      </c>
      <c r="T61" s="75" t="e">
        <f t="shared" si="22"/>
        <v>#N/A</v>
      </c>
      <c r="U61" s="75" t="e">
        <f t="shared" si="22"/>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23">$E55*(C62/100)</f>
        <v>0</v>
      </c>
      <c r="D63" s="76">
        <f t="shared" si="23"/>
        <v>0</v>
      </c>
      <c r="E63" s="76">
        <f t="shared" si="23"/>
        <v>0</v>
      </c>
      <c r="F63" s="76">
        <f>$E55*(F62/100)</f>
        <v>0</v>
      </c>
      <c r="G63" s="76">
        <f t="shared" si="23"/>
        <v>0</v>
      </c>
      <c r="H63" s="76">
        <f t="shared" si="23"/>
        <v>0</v>
      </c>
      <c r="I63" s="76">
        <f t="shared" si="23"/>
        <v>0</v>
      </c>
      <c r="J63" s="76">
        <f t="shared" si="23"/>
        <v>0</v>
      </c>
      <c r="K63" s="76">
        <f t="shared" si="23"/>
        <v>0</v>
      </c>
      <c r="L63" s="76">
        <f t="shared" si="23"/>
        <v>0</v>
      </c>
      <c r="M63" s="76">
        <f t="shared" si="23"/>
        <v>0</v>
      </c>
      <c r="N63" s="76">
        <f t="shared" si="23"/>
        <v>0</v>
      </c>
      <c r="O63" s="76">
        <f t="shared" si="23"/>
        <v>0</v>
      </c>
      <c r="P63" s="76">
        <f t="shared" si="23"/>
        <v>0</v>
      </c>
      <c r="Q63" s="76">
        <f t="shared" si="23"/>
        <v>0</v>
      </c>
      <c r="R63" s="76">
        <f t="shared" si="23"/>
        <v>0</v>
      </c>
      <c r="S63" s="76">
        <f t="shared" si="23"/>
        <v>0</v>
      </c>
      <c r="T63" s="76">
        <f t="shared" si="23"/>
        <v>0</v>
      </c>
      <c r="U63" s="76">
        <f t="shared" si="23"/>
        <v>0</v>
      </c>
    </row>
    <row r="64" spans="1:35" s="19" customFormat="1" ht="52" x14ac:dyDescent="0.3">
      <c r="A64" s="111" t="s">
        <v>156</v>
      </c>
      <c r="B64" s="76">
        <f>(B59-B60)*B61</f>
        <v>3</v>
      </c>
      <c r="C64" s="76">
        <f t="shared" ref="C64:U64" si="24">(C59-C60)*C61</f>
        <v>3</v>
      </c>
      <c r="D64" s="76">
        <f t="shared" si="24"/>
        <v>3</v>
      </c>
      <c r="E64" s="76">
        <f t="shared" si="24"/>
        <v>3.6000000000000032</v>
      </c>
      <c r="F64" s="76">
        <f t="shared" si="24"/>
        <v>0.6000000000000032</v>
      </c>
      <c r="G64" s="76">
        <f t="shared" si="24"/>
        <v>3.6000000000000032</v>
      </c>
      <c r="H64" s="76">
        <f t="shared" si="24"/>
        <v>3</v>
      </c>
      <c r="I64" s="76">
        <f t="shared" si="24"/>
        <v>3</v>
      </c>
      <c r="J64" s="76" t="e">
        <f t="shared" si="24"/>
        <v>#N/A</v>
      </c>
      <c r="K64" s="76" t="e">
        <f t="shared" si="24"/>
        <v>#N/A</v>
      </c>
      <c r="L64" s="76" t="e">
        <f t="shared" si="24"/>
        <v>#N/A</v>
      </c>
      <c r="M64" s="76" t="e">
        <f t="shared" si="24"/>
        <v>#N/A</v>
      </c>
      <c r="N64" s="76" t="e">
        <f t="shared" si="24"/>
        <v>#N/A</v>
      </c>
      <c r="O64" s="76" t="e">
        <f t="shared" si="24"/>
        <v>#N/A</v>
      </c>
      <c r="P64" s="76" t="e">
        <f t="shared" si="24"/>
        <v>#N/A</v>
      </c>
      <c r="Q64" s="76" t="e">
        <f t="shared" si="24"/>
        <v>#N/A</v>
      </c>
      <c r="R64" s="76" t="e">
        <f t="shared" si="24"/>
        <v>#N/A</v>
      </c>
      <c r="S64" s="76" t="e">
        <f t="shared" si="24"/>
        <v>#N/A</v>
      </c>
      <c r="T64" s="76" t="e">
        <f t="shared" si="24"/>
        <v>#N/A</v>
      </c>
      <c r="U64" s="76" t="e">
        <f t="shared" si="24"/>
        <v>#N/A</v>
      </c>
    </row>
    <row r="65" spans="1:21" s="19" customFormat="1" ht="52" x14ac:dyDescent="0.3">
      <c r="A65" s="111" t="s">
        <v>157</v>
      </c>
      <c r="B65" s="76">
        <f>B63-B64</f>
        <v>-3</v>
      </c>
      <c r="C65" s="76">
        <f t="shared" ref="C65:U65" si="25">C63-C64</f>
        <v>-3</v>
      </c>
      <c r="D65" s="76">
        <f t="shared" si="25"/>
        <v>-3</v>
      </c>
      <c r="E65" s="76">
        <f t="shared" si="25"/>
        <v>-3.6000000000000032</v>
      </c>
      <c r="F65" s="76">
        <f t="shared" si="25"/>
        <v>-0.6000000000000032</v>
      </c>
      <c r="G65" s="76">
        <f t="shared" si="25"/>
        <v>-3.6000000000000032</v>
      </c>
      <c r="H65" s="76">
        <f t="shared" si="25"/>
        <v>-3</v>
      </c>
      <c r="I65" s="76">
        <f t="shared" si="25"/>
        <v>-3</v>
      </c>
      <c r="J65" s="76" t="e">
        <f t="shared" si="25"/>
        <v>#N/A</v>
      </c>
      <c r="K65" s="76" t="e">
        <f t="shared" si="25"/>
        <v>#N/A</v>
      </c>
      <c r="L65" s="76" t="e">
        <f t="shared" si="25"/>
        <v>#N/A</v>
      </c>
      <c r="M65" s="76" t="e">
        <f t="shared" si="25"/>
        <v>#N/A</v>
      </c>
      <c r="N65" s="76" t="e">
        <f t="shared" si="25"/>
        <v>#N/A</v>
      </c>
      <c r="O65" s="76" t="e">
        <f t="shared" si="25"/>
        <v>#N/A</v>
      </c>
      <c r="P65" s="76" t="e">
        <f t="shared" si="25"/>
        <v>#N/A</v>
      </c>
      <c r="Q65" s="76" t="e">
        <f t="shared" si="25"/>
        <v>#N/A</v>
      </c>
      <c r="R65" s="76" t="e">
        <f t="shared" si="25"/>
        <v>#N/A</v>
      </c>
      <c r="S65" s="76" t="e">
        <f t="shared" si="25"/>
        <v>#N/A</v>
      </c>
      <c r="T65" s="76" t="e">
        <f t="shared" si="25"/>
        <v>#N/A</v>
      </c>
      <c r="U65" s="76" t="e">
        <f t="shared" si="25"/>
        <v>#N/A</v>
      </c>
    </row>
    <row r="66" spans="1:21" s="19" customFormat="1" ht="26" x14ac:dyDescent="0.3">
      <c r="A66" s="111" t="s">
        <v>148</v>
      </c>
      <c r="B66" s="77" t="str">
        <f>IF(B64&lt;=B63,"OVER","UNDER")</f>
        <v>UNDER</v>
      </c>
      <c r="C66" s="77" t="str">
        <f t="shared" ref="C66:U66" si="26">IF(C64&lt;=C63,"OVER","UNDER")</f>
        <v>UNDER</v>
      </c>
      <c r="D66" s="77" t="str">
        <f t="shared" si="26"/>
        <v>UNDER</v>
      </c>
      <c r="E66" s="77" t="str">
        <f t="shared" si="26"/>
        <v>UNDER</v>
      </c>
      <c r="F66" s="77" t="str">
        <f t="shared" si="26"/>
        <v>UNDER</v>
      </c>
      <c r="G66" s="77" t="str">
        <f t="shared" si="26"/>
        <v>UNDER</v>
      </c>
      <c r="H66" s="77" t="str">
        <f t="shared" si="26"/>
        <v>UNDER</v>
      </c>
      <c r="I66" s="77" t="str">
        <f t="shared" si="26"/>
        <v>UNDER</v>
      </c>
      <c r="J66" s="77" t="e">
        <f t="shared" si="26"/>
        <v>#N/A</v>
      </c>
      <c r="K66" s="77" t="e">
        <f t="shared" si="26"/>
        <v>#N/A</v>
      </c>
      <c r="L66" s="77" t="e">
        <f t="shared" si="26"/>
        <v>#N/A</v>
      </c>
      <c r="M66" s="77" t="e">
        <f t="shared" si="26"/>
        <v>#N/A</v>
      </c>
      <c r="N66" s="77" t="e">
        <f t="shared" si="26"/>
        <v>#N/A</v>
      </c>
      <c r="O66" s="77" t="e">
        <f t="shared" si="26"/>
        <v>#N/A</v>
      </c>
      <c r="P66" s="77" t="e">
        <f t="shared" si="26"/>
        <v>#N/A</v>
      </c>
      <c r="Q66" s="77" t="e">
        <f t="shared" si="26"/>
        <v>#N/A</v>
      </c>
      <c r="R66" s="77" t="e">
        <f t="shared" si="26"/>
        <v>#N/A</v>
      </c>
      <c r="S66" s="77" t="e">
        <f t="shared" si="26"/>
        <v>#N/A</v>
      </c>
      <c r="T66" s="77" t="e">
        <f t="shared" si="26"/>
        <v>#N/A</v>
      </c>
      <c r="U66" s="77" t="e">
        <f t="shared" si="26"/>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J22" sqref="J2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8" t="s">
        <v>41</v>
      </c>
      <c r="B1" s="128"/>
      <c r="C1" s="141" t="str">
        <f>Bontgoch!C1:D1</f>
        <v>PAN-017904</v>
      </c>
      <c r="D1" s="142"/>
      <c r="E1" s="92" t="s">
        <v>45</v>
      </c>
      <c r="F1" s="38">
        <f>Bontgoch!F1</f>
        <v>25.1</v>
      </c>
      <c r="G1" s="124" t="s">
        <v>43</v>
      </c>
      <c r="H1" s="125"/>
      <c r="I1" s="117">
        <v>6.9</v>
      </c>
      <c r="J1" s="128" t="s">
        <v>153</v>
      </c>
      <c r="K1" s="128"/>
      <c r="L1" s="96">
        <v>243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1.1499999999999999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2.1130434782608698</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6.8867459999999996</v>
      </c>
      <c r="D18" s="16">
        <f>$D32</f>
        <v>6.8867459999999996</v>
      </c>
      <c r="E18" s="16">
        <f>$D33</f>
        <v>6.8867459999999996</v>
      </c>
      <c r="F18" s="16">
        <f>$D34</f>
        <v>6.8867459999999996</v>
      </c>
      <c r="G18" s="16">
        <f>$D35</f>
        <v>6.8867459999999996</v>
      </c>
      <c r="H18" s="16">
        <f>$D36</f>
        <v>6.8867459999999996</v>
      </c>
      <c r="I18" s="16">
        <f>$D37</f>
        <v>6.8867459999999996</v>
      </c>
      <c r="J18" s="16">
        <f>$D38</f>
        <v>6.8867459999999996</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-57.713253999999992</v>
      </c>
      <c r="D19" s="16">
        <f t="shared" ref="D19:V19" si="1">D18-D17</f>
        <v>-57.713253999999992</v>
      </c>
      <c r="E19" s="16">
        <f t="shared" si="1"/>
        <v>-57.713253999999992</v>
      </c>
      <c r="F19" s="16">
        <f t="shared" si="1"/>
        <v>-57.713253999999992</v>
      </c>
      <c r="G19" s="16">
        <f t="shared" si="1"/>
        <v>-57.713253999999992</v>
      </c>
      <c r="H19" s="16">
        <f t="shared" si="1"/>
        <v>-57.713253999999992</v>
      </c>
      <c r="I19" s="16">
        <f t="shared" si="1"/>
        <v>-57.713253999999992</v>
      </c>
      <c r="J19" s="16">
        <f t="shared" si="1"/>
        <v>-57.713253999999992</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2.6461800000000002</v>
      </c>
      <c r="D22" s="16">
        <f>$E32</f>
        <v>2.6461800000000002</v>
      </c>
      <c r="E22" s="16">
        <f>$E33</f>
        <v>2.6461800000000002</v>
      </c>
      <c r="F22" s="16">
        <f>$E34</f>
        <v>2.6461800000000002</v>
      </c>
      <c r="G22" s="16">
        <f>$E35</f>
        <v>2.6461800000000002</v>
      </c>
      <c r="H22" s="16">
        <f>$E36</f>
        <v>2.6461800000000002</v>
      </c>
      <c r="I22" s="16">
        <f>$E37</f>
        <v>2.6461800000000002</v>
      </c>
      <c r="J22" s="16">
        <f>$E38</f>
        <v>2.6461800000000002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-225.35382000000001</v>
      </c>
      <c r="D23" s="16">
        <f t="shared" ref="D23:V23" si="3">D22-D21</f>
        <v>-225.35382000000001</v>
      </c>
      <c r="E23" s="16">
        <f t="shared" si="3"/>
        <v>-225.35382000000001</v>
      </c>
      <c r="F23" s="16">
        <f t="shared" si="3"/>
        <v>-225.35382000000001</v>
      </c>
      <c r="G23" s="16">
        <f t="shared" si="3"/>
        <v>-225.35382000000001</v>
      </c>
      <c r="H23" s="16">
        <f t="shared" si="3"/>
        <v>-225.35382000000001</v>
      </c>
      <c r="I23" s="16">
        <f t="shared" si="3"/>
        <v>-225.35382000000001</v>
      </c>
      <c r="J23" s="16">
        <f t="shared" si="3"/>
        <v>-225.35382000000001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6" customFormat="1" x14ac:dyDescent="0.35">
      <c r="A28" s="107"/>
      <c r="B28" s="23">
        <v>2.4</v>
      </c>
      <c r="C28" s="15">
        <v>1.1499999999999999</v>
      </c>
      <c r="D28" s="15">
        <v>5.0099999999999999E-2</v>
      </c>
      <c r="E28" s="15">
        <v>3.6600000000000001E-2</v>
      </c>
      <c r="F28" s="15">
        <v>656</v>
      </c>
      <c r="G28" s="15">
        <v>36.5</v>
      </c>
      <c r="H28" s="15">
        <v>159</v>
      </c>
      <c r="I28" s="15">
        <v>26</v>
      </c>
      <c r="J28" s="15">
        <v>0.9</v>
      </c>
      <c r="K28" s="15">
        <v>0.84</v>
      </c>
      <c r="L28" s="15">
        <v>8.3000000000000007</v>
      </c>
      <c r="M28" s="15">
        <v>8.8800000000000008</v>
      </c>
      <c r="N28" s="15">
        <v>2730</v>
      </c>
      <c r="O28" s="15">
        <v>404000</v>
      </c>
      <c r="P28" s="15"/>
      <c r="Q28" s="15">
        <v>6640</v>
      </c>
      <c r="R28" s="15"/>
      <c r="S28" s="15">
        <v>89.3</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v>250</v>
      </c>
      <c r="C31" s="76">
        <f>IF(C$27="%w/w SAR",((C$28*10)*$B31),IF(C$27="%w/w DM",(((C$28*10)*($B$28/100))*$B31),IF(C$27="kg/t SAR",(C$28*$B31),IF(C$27="kg/t DM",((C$28*($B$28/100))*$B31),IF(C$27="mg/kg SAR",((C$28*0.001)*$B31),IF(C$27="mg/kg DM",(((C$28*0.001)*($B$28/100))*$B31),0))))))</f>
        <v>69</v>
      </c>
      <c r="D31" s="76">
        <f>(IF(D$27="%w/w SAR",((D$28*10)*$B31),IF(D$27="%w/w DM",(((D$28*10)*($B$28/100))*$B31),IF(D$27="kg/t SAR",(D$28*$B31),IF(D$27="kg/t DM",((D$28*($B$28/100))*$B31),IF(D$27="mg/kg SAR",((D$28*0.001)*$B31),IF(D$27="mg/kg DM",(((D$28*0.001)*($B$28/100))*$B31),"0")))))))*2.291</f>
        <v>6.8867459999999996</v>
      </c>
      <c r="E31" s="76">
        <f>(IF(E$27="%w/w SAR",((E$28*10)*$B31),IF(E$27="%w/w DM",(((E$28*10)*($B$28/100))*$B31),IF(E$27="kg/t SAR",(E$28*$B31),IF(E$27="kg/t DM",((E$28*($B$28/100))*$B31),IF(E$27="mg/kg SAR",((E$28*0.001)*$B31),IF(E$27="mg/kg DM",(((E$28*0.001)*($B$28/100))*$B31),"0")))))))*1.205</f>
        <v>2.6461800000000002</v>
      </c>
      <c r="F31" s="76">
        <f>(IF(F$27="%w/w SAR",((F$28*10)*$B31),IF(F$27="%w/w DM",(((F$28*10)*($B$28/100))*$B31),IF(F$27="kg/t SAR",(F$28*$B31),IF(F$27="kg/t DM",((F$28*($B$28/100))*$B31),IF(F$27="mg/kg SAR",((F$28*0.001)*$B31),IF(F$27="mg/kg DM",(((F$28*0.001)*($B$28/100))*$B31),"0")))))))*1.658</f>
        <v>6.5258880000000001</v>
      </c>
      <c r="G31" s="76">
        <f t="shared" ref="G31:P46" si="5">IF(G$27="%w/w SAR",((G$28*10)*$B31),IF(G$27="%w/w DM",(((G$28*10)*($B$28/100))*$B31),IF(G$27="kg/t SAR",(G$28*$B31),IF(G$27="kg/t DM",((G$28*($B$28/100))*$B31),IF(G$27="mg/kg SAR",((G$28*0.001)*$B31),IF(G$27="mg/kg DM",(((G$28*0.001)*($B$28/100))*$B31),0))))))</f>
        <v>0.21899999999999997</v>
      </c>
      <c r="H31" s="76">
        <f t="shared" si="5"/>
        <v>0.95399999999999996</v>
      </c>
      <c r="I31" s="76">
        <f t="shared" si="5"/>
        <v>0.15600000000000003</v>
      </c>
      <c r="J31" s="76">
        <f t="shared" si="5"/>
        <v>5.4000000000000012E-3</v>
      </c>
      <c r="K31" s="76">
        <f t="shared" si="5"/>
        <v>5.0400000000000002E-3</v>
      </c>
      <c r="L31" s="76">
        <f t="shared" si="5"/>
        <v>4.9800000000000004E-2</v>
      </c>
      <c r="M31" s="76">
        <f t="shared" si="5"/>
        <v>5.3280000000000008E-2</v>
      </c>
      <c r="N31" s="76">
        <f t="shared" si="5"/>
        <v>16.38</v>
      </c>
      <c r="O31" s="76">
        <f t="shared" si="5"/>
        <v>2424</v>
      </c>
      <c r="P31" s="76">
        <f t="shared" si="5"/>
        <v>0</v>
      </c>
      <c r="Q31" s="76">
        <f>(IF(Q$27="%w/w SAR",((Q$28*10)*$B31),IF(Q$27="%w/w DM",(((Q$28*10)*($B$28/100))*$B31),IF(Q$27="kg/t SAR",(Q$28*$B31),IF(Q$27="kg/t DM",((Q$28*($B$28/100))*$B31),IF(Q$27="mg/kg SAR",((Q$28*0.001)*$B31),IF(Q$27="mg/kg DM",(((Q$28*0.001)*($B$28/100))*$B31),0)))))))*2.5</f>
        <v>99.600000000000023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0.53580000000000005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v>250</v>
      </c>
      <c r="C32" s="76">
        <f t="shared" ref="C32:C50" si="6">IF(C$27="%w/w SAR",((C$28*10)*$B32),IF(C$27="%w/w DM",(((C$28*10)*($B$28/100))*$B32),IF(C$27="kg/t SAR",(C$28*$B32),IF(C$27="kg/t DM",((C$28*($B$28/100))*$B32),IF(C$27="mg/kg SAR",((C$28*0.001)*$B32),IF(C$27="mg/kg DM",(((C$28*0.001)*($B$28/100))*$B32),0))))))</f>
        <v>69</v>
      </c>
      <c r="D32" s="76">
        <f t="shared" ref="D32:D50" si="7">(IF(D$27="%w/w SAR",((D$28*10)*$B32),IF(D$27="%w/w DM",(((D$28*10)*($B$28/100))*$B32),IF(D$27="kg/t SAR",(D$28*$B32),IF(D$27="kg/t DM",((D$28*($B$28/100))*$B32),IF(D$27="mg/kg SAR",((D$28*0.001)*$B32),IF(D$27="mg/kg DM",(((D$28*0.001)*($B$28/100))*$B32),"0")))))))*2.291</f>
        <v>6.8867459999999996</v>
      </c>
      <c r="E32" s="76">
        <f t="shared" ref="E32:E50" si="8">(IF(E$27="%w/w SAR",((E$28*10)*$B32),IF(E$27="%w/w DM",(((E$28*10)*($B$28/100))*$B32),IF(E$27="kg/t SAR",(E$28*$B32),IF(E$27="kg/t DM",((E$28*($B$28/100))*$B32),IF(E$27="mg/kg SAR",((E$28*0.001)*$B32),IF(E$27="mg/kg DM",(((E$28*0.001)*($B$28/100))*$B32),"0")))))))*1.205</f>
        <v>2.6461800000000002</v>
      </c>
      <c r="F32" s="76">
        <f t="shared" ref="F32:F50" si="9">(IF(F$27="%w/w SAR",((F$28*10)*$B32),IF(F$27="%w/w DM",(((F$28*10)*($B$28/100))*$B32),IF(F$27="kg/t SAR",(F$28*$B32),IF(F$27="kg/t DM",((F$28*($B$28/100))*$B32),IF(F$27="mg/kg SAR",((F$28*0.001)*$B32),IF(F$27="mg/kg DM",(((F$28*0.001)*($B$28/100))*$B32),"0")))))))*1.658</f>
        <v>6.5258880000000001</v>
      </c>
      <c r="G32" s="76">
        <f t="shared" si="5"/>
        <v>0.21899999999999997</v>
      </c>
      <c r="H32" s="76">
        <f t="shared" si="5"/>
        <v>0.95399999999999996</v>
      </c>
      <c r="I32" s="76">
        <f t="shared" si="5"/>
        <v>0.15600000000000003</v>
      </c>
      <c r="J32" s="76">
        <f t="shared" si="5"/>
        <v>5.4000000000000012E-3</v>
      </c>
      <c r="K32" s="76">
        <f t="shared" si="5"/>
        <v>5.0400000000000002E-3</v>
      </c>
      <c r="L32" s="76">
        <f t="shared" si="5"/>
        <v>4.9800000000000004E-2</v>
      </c>
      <c r="M32" s="76">
        <f t="shared" si="5"/>
        <v>5.3280000000000008E-2</v>
      </c>
      <c r="N32" s="76">
        <f t="shared" si="5"/>
        <v>16.38</v>
      </c>
      <c r="O32" s="76">
        <f t="shared" si="5"/>
        <v>2424</v>
      </c>
      <c r="P32" s="76">
        <f t="shared" si="5"/>
        <v>0</v>
      </c>
      <c r="Q32" s="76">
        <f t="shared" ref="Q32:Q50" si="10">(IF(Q$27="%w/w SAR",((Q$28*10)*$B32),IF(Q$27="%w/w DM",(((Q$28*10)*($B$28/100))*$B32),IF(Q$27="kg/t SAR",(Q$28*$B32),IF(Q$27="kg/t DM",((Q$28*($B$28/100))*$B32),IF(Q$27="mg/kg SAR",((Q$28*0.001)*$B32),IF(Q$27="mg/kg DM",(((Q$28*0.001)*($B$28/100))*$B32),0)))))))*2.5</f>
        <v>99.600000000000023</v>
      </c>
      <c r="R32" s="76">
        <f t="shared" ref="R32:U50" si="11">IF(R$27="%w/w SAR",((R$28*10)*$B32),IF(R$27="%w/w DM",(((R$28*10)*($B$28/100))*$B32),IF(R$27="kg/t SAR",(R$28*$B32),IF(R$27="kg/t DM",((R$28*($B$28/100))*$B32),IF(R$27="mg/kg SAR",((R$28*0.001)*$B32),IF(R$27="mg/kg DM",(((R$28*0.001)*($B$28/100))*$B32),0))))))</f>
        <v>0</v>
      </c>
      <c r="S32" s="76">
        <f t="shared" si="11"/>
        <v>0.53580000000000005</v>
      </c>
      <c r="T32" s="76">
        <f t="shared" si="11"/>
        <v>0</v>
      </c>
      <c r="U32" s="76">
        <f t="shared" si="11"/>
        <v>0</v>
      </c>
      <c r="AB32" s="58"/>
      <c r="AC32" s="58"/>
      <c r="AD32" s="58"/>
      <c r="AE32" s="58"/>
      <c r="AF32" s="58"/>
      <c r="AG32" s="58"/>
      <c r="AH32" s="58"/>
      <c r="AI32" s="58"/>
    </row>
    <row r="33" spans="1:35" s="71" customFormat="1" ht="13" x14ac:dyDescent="0.35">
      <c r="A33" s="13">
        <f>E8</f>
        <v>33</v>
      </c>
      <c r="B33" s="15">
        <v>250</v>
      </c>
      <c r="C33" s="76">
        <f t="shared" si="6"/>
        <v>69</v>
      </c>
      <c r="D33" s="76">
        <f t="shared" si="7"/>
        <v>6.8867459999999996</v>
      </c>
      <c r="E33" s="76">
        <f t="shared" si="8"/>
        <v>2.6461800000000002</v>
      </c>
      <c r="F33" s="76">
        <f t="shared" si="9"/>
        <v>6.5258880000000001</v>
      </c>
      <c r="G33" s="76">
        <f t="shared" si="5"/>
        <v>0.21899999999999997</v>
      </c>
      <c r="H33" s="76">
        <f t="shared" si="5"/>
        <v>0.95399999999999996</v>
      </c>
      <c r="I33" s="76">
        <f t="shared" si="5"/>
        <v>0.15600000000000003</v>
      </c>
      <c r="J33" s="76">
        <f t="shared" si="5"/>
        <v>5.4000000000000012E-3</v>
      </c>
      <c r="K33" s="76">
        <f t="shared" si="5"/>
        <v>5.0400000000000002E-3</v>
      </c>
      <c r="L33" s="76">
        <f t="shared" si="5"/>
        <v>4.9800000000000004E-2</v>
      </c>
      <c r="M33" s="76">
        <f t="shared" si="5"/>
        <v>5.3280000000000008E-2</v>
      </c>
      <c r="N33" s="76">
        <f t="shared" si="5"/>
        <v>16.38</v>
      </c>
      <c r="O33" s="76">
        <f t="shared" si="5"/>
        <v>2424</v>
      </c>
      <c r="P33" s="76">
        <f t="shared" si="5"/>
        <v>0</v>
      </c>
      <c r="Q33" s="76">
        <f t="shared" si="10"/>
        <v>99.600000000000023</v>
      </c>
      <c r="R33" s="76">
        <f t="shared" si="11"/>
        <v>0</v>
      </c>
      <c r="S33" s="76">
        <f t="shared" si="11"/>
        <v>0.53580000000000005</v>
      </c>
      <c r="T33" s="76">
        <f t="shared" si="11"/>
        <v>0</v>
      </c>
      <c r="U33" s="76">
        <f t="shared" si="11"/>
        <v>0</v>
      </c>
      <c r="AB33" s="58"/>
      <c r="AC33" s="58"/>
      <c r="AD33" s="58"/>
      <c r="AE33" s="58"/>
      <c r="AF33" s="58"/>
      <c r="AG33" s="58"/>
      <c r="AH33" s="58"/>
      <c r="AI33" s="58"/>
    </row>
    <row r="34" spans="1:35" s="71" customFormat="1" ht="13" x14ac:dyDescent="0.35">
      <c r="A34" s="13">
        <f>F8</f>
        <v>34</v>
      </c>
      <c r="B34" s="15">
        <v>250</v>
      </c>
      <c r="C34" s="76">
        <f t="shared" si="6"/>
        <v>69</v>
      </c>
      <c r="D34" s="76">
        <f t="shared" si="7"/>
        <v>6.8867459999999996</v>
      </c>
      <c r="E34" s="76">
        <f t="shared" si="8"/>
        <v>2.6461800000000002</v>
      </c>
      <c r="F34" s="76">
        <f t="shared" si="9"/>
        <v>6.5258880000000001</v>
      </c>
      <c r="G34" s="76">
        <f t="shared" si="5"/>
        <v>0.21899999999999997</v>
      </c>
      <c r="H34" s="76">
        <f t="shared" si="5"/>
        <v>0.95399999999999996</v>
      </c>
      <c r="I34" s="76">
        <f t="shared" si="5"/>
        <v>0.15600000000000003</v>
      </c>
      <c r="J34" s="76">
        <f t="shared" si="5"/>
        <v>5.4000000000000012E-3</v>
      </c>
      <c r="K34" s="76">
        <f t="shared" si="5"/>
        <v>5.0400000000000002E-3</v>
      </c>
      <c r="L34" s="76">
        <f t="shared" si="5"/>
        <v>4.9800000000000004E-2</v>
      </c>
      <c r="M34" s="76">
        <f t="shared" si="5"/>
        <v>5.3280000000000008E-2</v>
      </c>
      <c r="N34" s="76">
        <f t="shared" si="5"/>
        <v>16.38</v>
      </c>
      <c r="O34" s="76">
        <f t="shared" si="5"/>
        <v>2424</v>
      </c>
      <c r="P34" s="76">
        <f t="shared" si="5"/>
        <v>0</v>
      </c>
      <c r="Q34" s="76">
        <f t="shared" si="10"/>
        <v>99.600000000000023</v>
      </c>
      <c r="R34" s="76">
        <f t="shared" si="11"/>
        <v>0</v>
      </c>
      <c r="S34" s="76">
        <f t="shared" si="11"/>
        <v>0.53580000000000005</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69</v>
      </c>
      <c r="D35" s="76">
        <f t="shared" si="7"/>
        <v>6.8867459999999996</v>
      </c>
      <c r="E35" s="76">
        <f t="shared" si="8"/>
        <v>2.6461800000000002</v>
      </c>
      <c r="F35" s="76">
        <f t="shared" si="9"/>
        <v>6.5258880000000001</v>
      </c>
      <c r="G35" s="76">
        <f t="shared" si="5"/>
        <v>0.21899999999999997</v>
      </c>
      <c r="H35" s="76">
        <f t="shared" si="5"/>
        <v>0.95399999999999996</v>
      </c>
      <c r="I35" s="76">
        <f t="shared" si="5"/>
        <v>0.15600000000000003</v>
      </c>
      <c r="J35" s="76">
        <f t="shared" si="5"/>
        <v>5.4000000000000012E-3</v>
      </c>
      <c r="K35" s="76">
        <f t="shared" si="5"/>
        <v>5.0400000000000002E-3</v>
      </c>
      <c r="L35" s="76">
        <f t="shared" si="5"/>
        <v>4.9800000000000004E-2</v>
      </c>
      <c r="M35" s="76">
        <f t="shared" si="5"/>
        <v>5.3280000000000008E-2</v>
      </c>
      <c r="N35" s="76">
        <f t="shared" si="5"/>
        <v>16.38</v>
      </c>
      <c r="O35" s="76">
        <f t="shared" si="5"/>
        <v>2424</v>
      </c>
      <c r="P35" s="76">
        <f t="shared" si="5"/>
        <v>0</v>
      </c>
      <c r="Q35" s="76">
        <f t="shared" si="10"/>
        <v>99.600000000000023</v>
      </c>
      <c r="R35" s="76">
        <f t="shared" si="11"/>
        <v>0</v>
      </c>
      <c r="S35" s="76">
        <f t="shared" si="11"/>
        <v>0.53580000000000005</v>
      </c>
      <c r="T35" s="76">
        <f t="shared" si="11"/>
        <v>0</v>
      </c>
      <c r="U35" s="76">
        <f t="shared" si="11"/>
        <v>0</v>
      </c>
      <c r="AB35" s="58"/>
      <c r="AC35" s="58"/>
      <c r="AD35" s="58"/>
      <c r="AE35" s="58"/>
      <c r="AF35" s="58"/>
      <c r="AG35" s="58"/>
      <c r="AH35" s="58"/>
      <c r="AI35" s="58"/>
    </row>
    <row r="36" spans="1:35" s="71" customFormat="1" ht="13" x14ac:dyDescent="0.35">
      <c r="A36" s="13">
        <f>H8</f>
        <v>36</v>
      </c>
      <c r="B36" s="15">
        <v>250</v>
      </c>
      <c r="C36" s="76">
        <f t="shared" si="6"/>
        <v>69</v>
      </c>
      <c r="D36" s="76">
        <f t="shared" si="7"/>
        <v>6.8867459999999996</v>
      </c>
      <c r="E36" s="76">
        <f t="shared" si="8"/>
        <v>2.6461800000000002</v>
      </c>
      <c r="F36" s="76">
        <f t="shared" si="9"/>
        <v>6.5258880000000001</v>
      </c>
      <c r="G36" s="76">
        <f t="shared" si="5"/>
        <v>0.21899999999999997</v>
      </c>
      <c r="H36" s="76">
        <f t="shared" si="5"/>
        <v>0.95399999999999996</v>
      </c>
      <c r="I36" s="76">
        <f t="shared" si="5"/>
        <v>0.15600000000000003</v>
      </c>
      <c r="J36" s="76">
        <f t="shared" si="5"/>
        <v>5.4000000000000012E-3</v>
      </c>
      <c r="K36" s="76">
        <f t="shared" si="5"/>
        <v>5.0400000000000002E-3</v>
      </c>
      <c r="L36" s="76">
        <f t="shared" si="5"/>
        <v>4.9800000000000004E-2</v>
      </c>
      <c r="M36" s="76">
        <f t="shared" si="5"/>
        <v>5.3280000000000008E-2</v>
      </c>
      <c r="N36" s="76">
        <f t="shared" si="5"/>
        <v>16.38</v>
      </c>
      <c r="O36" s="76">
        <f t="shared" si="5"/>
        <v>2424</v>
      </c>
      <c r="P36" s="76">
        <f t="shared" si="5"/>
        <v>0</v>
      </c>
      <c r="Q36" s="76">
        <f t="shared" si="10"/>
        <v>99.600000000000023</v>
      </c>
      <c r="R36" s="76">
        <f t="shared" si="11"/>
        <v>0</v>
      </c>
      <c r="S36" s="76">
        <f t="shared" si="11"/>
        <v>0.53580000000000005</v>
      </c>
      <c r="T36" s="76">
        <f t="shared" si="11"/>
        <v>0</v>
      </c>
      <c r="U36" s="76">
        <f t="shared" si="11"/>
        <v>0</v>
      </c>
      <c r="AB36" s="58"/>
      <c r="AC36" s="58"/>
      <c r="AD36" s="58"/>
      <c r="AE36" s="58"/>
      <c r="AF36" s="58"/>
      <c r="AG36" s="58"/>
      <c r="AH36" s="58"/>
      <c r="AI36" s="58"/>
    </row>
    <row r="37" spans="1:35" s="71" customFormat="1" ht="13" x14ac:dyDescent="0.35">
      <c r="A37" s="13">
        <f>I8</f>
        <v>37</v>
      </c>
      <c r="B37" s="15">
        <v>250</v>
      </c>
      <c r="C37" s="76">
        <f t="shared" si="6"/>
        <v>69</v>
      </c>
      <c r="D37" s="76">
        <f t="shared" si="7"/>
        <v>6.8867459999999996</v>
      </c>
      <c r="E37" s="76">
        <f t="shared" si="8"/>
        <v>2.6461800000000002</v>
      </c>
      <c r="F37" s="76">
        <f t="shared" si="9"/>
        <v>6.5258880000000001</v>
      </c>
      <c r="G37" s="76">
        <f t="shared" si="5"/>
        <v>0.21899999999999997</v>
      </c>
      <c r="H37" s="76">
        <f t="shared" si="5"/>
        <v>0.95399999999999996</v>
      </c>
      <c r="I37" s="76">
        <f t="shared" si="5"/>
        <v>0.15600000000000003</v>
      </c>
      <c r="J37" s="76">
        <f t="shared" si="5"/>
        <v>5.4000000000000012E-3</v>
      </c>
      <c r="K37" s="76">
        <f t="shared" si="5"/>
        <v>5.0400000000000002E-3</v>
      </c>
      <c r="L37" s="76">
        <f t="shared" si="5"/>
        <v>4.9800000000000004E-2</v>
      </c>
      <c r="M37" s="76">
        <f t="shared" si="5"/>
        <v>5.3280000000000008E-2</v>
      </c>
      <c r="N37" s="76">
        <f t="shared" si="5"/>
        <v>16.38</v>
      </c>
      <c r="O37" s="76">
        <f t="shared" si="5"/>
        <v>2424</v>
      </c>
      <c r="P37" s="76">
        <f t="shared" si="5"/>
        <v>0</v>
      </c>
      <c r="Q37" s="76">
        <f t="shared" si="10"/>
        <v>99.600000000000023</v>
      </c>
      <c r="R37" s="76">
        <f t="shared" si="11"/>
        <v>0</v>
      </c>
      <c r="S37" s="76">
        <f t="shared" si="11"/>
        <v>0.53580000000000005</v>
      </c>
      <c r="T37" s="76">
        <f t="shared" si="11"/>
        <v>0</v>
      </c>
      <c r="U37" s="76">
        <f t="shared" si="11"/>
        <v>0</v>
      </c>
      <c r="AB37" s="58"/>
      <c r="AC37" s="58"/>
      <c r="AD37" s="58"/>
      <c r="AE37" s="58"/>
      <c r="AF37" s="58"/>
      <c r="AG37" s="58"/>
      <c r="AH37" s="58"/>
      <c r="AI37" s="58"/>
    </row>
    <row r="38" spans="1:35" s="71" customFormat="1" ht="13" x14ac:dyDescent="0.35">
      <c r="A38" s="13">
        <f>J8</f>
        <v>38</v>
      </c>
      <c r="B38" s="15">
        <v>250</v>
      </c>
      <c r="C38" s="76">
        <f t="shared" si="6"/>
        <v>69</v>
      </c>
      <c r="D38" s="76">
        <f t="shared" si="7"/>
        <v>6.8867459999999996</v>
      </c>
      <c r="E38" s="76">
        <f t="shared" si="8"/>
        <v>2.6461800000000002</v>
      </c>
      <c r="F38" s="76">
        <f t="shared" si="9"/>
        <v>6.5258880000000001</v>
      </c>
      <c r="G38" s="76">
        <f t="shared" si="5"/>
        <v>0.21899999999999997</v>
      </c>
      <c r="H38" s="76">
        <f t="shared" si="5"/>
        <v>0.95399999999999996</v>
      </c>
      <c r="I38" s="76">
        <f t="shared" si="5"/>
        <v>0.15600000000000003</v>
      </c>
      <c r="J38" s="76">
        <f t="shared" si="5"/>
        <v>5.4000000000000012E-3</v>
      </c>
      <c r="K38" s="76">
        <f t="shared" si="5"/>
        <v>5.0400000000000002E-3</v>
      </c>
      <c r="L38" s="76">
        <f t="shared" si="5"/>
        <v>4.9800000000000004E-2</v>
      </c>
      <c r="M38" s="76">
        <f t="shared" si="5"/>
        <v>5.3280000000000008E-2</v>
      </c>
      <c r="N38" s="76">
        <f t="shared" si="5"/>
        <v>16.38</v>
      </c>
      <c r="O38" s="76">
        <f t="shared" si="5"/>
        <v>2424</v>
      </c>
      <c r="P38" s="76">
        <f t="shared" si="5"/>
        <v>0</v>
      </c>
      <c r="Q38" s="76">
        <f t="shared" si="10"/>
        <v>99.600000000000023</v>
      </c>
      <c r="R38" s="76">
        <f t="shared" si="11"/>
        <v>0</v>
      </c>
      <c r="S38" s="76">
        <f t="shared" si="11"/>
        <v>0.53580000000000005</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t="e">
        <f>VLOOKUP(K$14,Table24581114[],5,FALSE)</f>
        <v>#N/A</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8" sqref="B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7</v>
      </c>
      <c r="J1" s="128" t="s">
        <v>153</v>
      </c>
      <c r="K1" s="128"/>
      <c r="L1" s="96">
        <v>233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0.63600000000000001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3.6635220125786163</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0</v>
      </c>
      <c r="D18" s="16">
        <f>$D32</f>
        <v>0</v>
      </c>
      <c r="E18" s="16">
        <f>$D33</f>
        <v>0</v>
      </c>
      <c r="F18" s="16">
        <f>$D34</f>
        <v>0</v>
      </c>
      <c r="G18" s="16">
        <f>$D35</f>
        <v>22.213535999999998</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-42.386463999999997</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
      </c>
      <c r="D20" s="25" t="str">
        <f>IF($B32="","",IF(D$19&gt;=0,"INCREASE","DECREASE"))</f>
        <v/>
      </c>
      <c r="E20" s="25" t="str">
        <f>IF($B33="","",IF(E$19&gt;=0,"INCREASE","DECREASE"))</f>
        <v/>
      </c>
      <c r="F20" s="25" t="str">
        <f>IF($B34="","",IF(F$19&gt;=0,"INCREASE","DECREASE"))</f>
        <v/>
      </c>
      <c r="G20" s="25" t="str">
        <f>IF($B35="","",IF(G$19&gt;=0,"INCREASE","DECREASE"))</f>
        <v>DECREASE</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v>
      </c>
      <c r="D22" s="16">
        <f>$E32</f>
        <v>0</v>
      </c>
      <c r="E22" s="16">
        <f>$E33</f>
        <v>0</v>
      </c>
      <c r="F22" s="16">
        <f>$E34</f>
        <v>0</v>
      </c>
      <c r="G22" s="16">
        <f>$E35</f>
        <v>5.1477599999999981</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-222.85223999999999</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3.84</v>
      </c>
      <c r="C28" s="15">
        <v>0.63600000000000001</v>
      </c>
      <c r="D28" s="15">
        <v>0.10100000000000001</v>
      </c>
      <c r="E28" s="15">
        <v>4.4499999999999998E-2</v>
      </c>
      <c r="F28" s="15">
        <v>1080</v>
      </c>
      <c r="G28" s="15">
        <v>21.1</v>
      </c>
      <c r="H28" s="15">
        <v>52.2</v>
      </c>
      <c r="I28" s="15">
        <v>6.2</v>
      </c>
      <c r="J28" s="15">
        <v>0.25</v>
      </c>
      <c r="K28" s="15">
        <v>0.53</v>
      </c>
      <c r="L28" s="15">
        <v>5.0999999999999996</v>
      </c>
      <c r="M28" s="15">
        <v>4.3</v>
      </c>
      <c r="N28" s="15">
        <v>104000</v>
      </c>
      <c r="O28" s="15">
        <v>7840</v>
      </c>
      <c r="P28" s="15"/>
      <c r="Q28" s="15">
        <v>3810</v>
      </c>
      <c r="R28" s="15"/>
      <c r="S28" s="15">
        <v>40.700000000000003</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46"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34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61.055999999999997</v>
      </c>
      <c r="D35" s="76">
        <f t="shared" si="7"/>
        <v>22.213535999999998</v>
      </c>
      <c r="E35" s="76">
        <f t="shared" si="8"/>
        <v>5.1477599999999981</v>
      </c>
      <c r="F35" s="76">
        <f t="shared" si="9"/>
        <v>17.190144</v>
      </c>
      <c r="G35" s="76">
        <f t="shared" si="5"/>
        <v>0.20255999999999999</v>
      </c>
      <c r="H35" s="76">
        <f t="shared" si="5"/>
        <v>0.50112000000000001</v>
      </c>
      <c r="I35" s="76">
        <f t="shared" si="5"/>
        <v>5.9519999999999997E-2</v>
      </c>
      <c r="J35" s="76">
        <f t="shared" si="5"/>
        <v>2.3999999999999998E-3</v>
      </c>
      <c r="K35" s="76">
        <f t="shared" si="5"/>
        <v>5.0880000000000005E-3</v>
      </c>
      <c r="L35" s="76">
        <f t="shared" si="5"/>
        <v>4.895999999999999E-2</v>
      </c>
      <c r="M35" s="76">
        <f t="shared" si="5"/>
        <v>4.1279999999999997E-2</v>
      </c>
      <c r="N35" s="76">
        <f t="shared" si="5"/>
        <v>998.4</v>
      </c>
      <c r="O35" s="76">
        <f t="shared" si="5"/>
        <v>75.263999999999996</v>
      </c>
      <c r="P35" s="76">
        <f t="shared" si="5"/>
        <v>0</v>
      </c>
      <c r="Q35" s="76">
        <f t="shared" si="10"/>
        <v>91.44</v>
      </c>
      <c r="R35" s="76">
        <f t="shared" si="11"/>
        <v>0</v>
      </c>
      <c r="S35" s="76">
        <f t="shared" si="11"/>
        <v>0.39072000000000007</v>
      </c>
      <c r="T35" s="76">
        <f t="shared" si="11"/>
        <v>0</v>
      </c>
      <c r="U35" s="76">
        <f t="shared" si="11"/>
        <v>0</v>
      </c>
      <c r="AB35" s="58"/>
      <c r="AC35" s="58"/>
      <c r="AD35" s="58"/>
      <c r="AE35" s="58"/>
      <c r="AF35" s="58"/>
      <c r="AG35" s="58"/>
      <c r="AH35" s="58"/>
      <c r="AI35" s="58"/>
    </row>
    <row r="36" spans="1:35" s="71" customFormat="1" ht="13" x14ac:dyDescent="0.35">
      <c r="A36" s="13">
        <f>H8</f>
        <v>36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38</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t="e">
        <f>VLOOKUP(K$14,Table245810[],5,FALSE)</f>
        <v>#N/A</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0</v>
      </c>
      <c r="E62" s="76">
        <f>B34</f>
        <v>0</v>
      </c>
      <c r="F62" s="76">
        <f>B35</f>
        <v>250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25" sqref="F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6.3</v>
      </c>
      <c r="J1" s="128" t="s">
        <v>153</v>
      </c>
      <c r="K1" s="128"/>
      <c r="L1" s="96">
        <v>359</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1.1399999999999999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3.1491228070175445</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0</v>
      </c>
      <c r="D18" s="16">
        <f>$D32</f>
        <v>0</v>
      </c>
      <c r="E18" s="16">
        <f>$D33</f>
        <v>0</v>
      </c>
      <c r="F18" s="16">
        <f>$D34</f>
        <v>0</v>
      </c>
      <c r="G18" s="16">
        <f>$D35</f>
        <v>26.776062499999998</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-37.8239375</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
      </c>
      <c r="D20" s="25" t="str">
        <f>IF($B32="","",IF(D$19&gt;=0,"INCREASE","DECREASE"))</f>
        <v/>
      </c>
      <c r="E20" s="25" t="str">
        <f>IF($B33="","",IF(E$19&gt;=0,"INCREASE","DECREASE"))</f>
        <v/>
      </c>
      <c r="F20" s="25" t="str">
        <f>IF($B34="","",IF(F$19&gt;=0,"INCREASE","DECREASE"))</f>
        <v/>
      </c>
      <c r="G20" s="25" t="str">
        <f>IF($B35="","",IF(G$19&gt;=0,"INCREASE","DECREASE"))</f>
        <v>DECREASE</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v>
      </c>
      <c r="D22" s="16">
        <f>$E32</f>
        <v>0</v>
      </c>
      <c r="E22" s="16">
        <f>$E33</f>
        <v>0</v>
      </c>
      <c r="F22" s="16">
        <f>$E34</f>
        <v>0</v>
      </c>
      <c r="G22" s="16">
        <f>$E35</f>
        <v>0.72209625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-227.27790375000001</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1.7</v>
      </c>
      <c r="C28" s="15">
        <v>1.1399999999999999</v>
      </c>
      <c r="D28" s="15">
        <v>0.27500000000000002</v>
      </c>
      <c r="E28" s="15">
        <v>1.41E-2</v>
      </c>
      <c r="F28" s="15">
        <v>95.1</v>
      </c>
      <c r="G28" s="15">
        <v>7.8</v>
      </c>
      <c r="H28" s="15">
        <v>35</v>
      </c>
      <c r="I28" s="15">
        <v>6.2</v>
      </c>
      <c r="J28" s="15">
        <v>0.11</v>
      </c>
      <c r="K28" s="15">
        <v>1.18</v>
      </c>
      <c r="L28" s="15">
        <v>5.0999999999999996</v>
      </c>
      <c r="M28" s="15">
        <v>4.3</v>
      </c>
      <c r="N28" s="15">
        <v>149000</v>
      </c>
      <c r="O28" s="15">
        <v>17100</v>
      </c>
      <c r="P28" s="15"/>
      <c r="Q28" s="15">
        <v>4500</v>
      </c>
      <c r="R28" s="15"/>
      <c r="S28" s="15">
        <v>30.6</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46"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34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48.45</v>
      </c>
      <c r="D35" s="76">
        <f t="shared" si="7"/>
        <v>26.776062499999998</v>
      </c>
      <c r="E35" s="76">
        <f t="shared" si="8"/>
        <v>0.72209625</v>
      </c>
      <c r="F35" s="76">
        <f t="shared" si="9"/>
        <v>0.67012214999999997</v>
      </c>
      <c r="G35" s="76">
        <f t="shared" si="5"/>
        <v>3.3149999999999999E-2</v>
      </c>
      <c r="H35" s="76">
        <f t="shared" si="5"/>
        <v>0.14875000000000005</v>
      </c>
      <c r="I35" s="76">
        <f t="shared" si="5"/>
        <v>2.6350000000000002E-2</v>
      </c>
      <c r="J35" s="76">
        <f t="shared" si="5"/>
        <v>4.6750000000000003E-4</v>
      </c>
      <c r="K35" s="76">
        <f t="shared" si="5"/>
        <v>5.0150000000000004E-3</v>
      </c>
      <c r="L35" s="76">
        <f t="shared" si="5"/>
        <v>2.1675E-2</v>
      </c>
      <c r="M35" s="76">
        <f t="shared" si="5"/>
        <v>1.8275E-2</v>
      </c>
      <c r="N35" s="76">
        <f t="shared" si="5"/>
        <v>633.25000000000011</v>
      </c>
      <c r="O35" s="76">
        <f t="shared" si="5"/>
        <v>72.675000000000011</v>
      </c>
      <c r="P35" s="76">
        <f t="shared" si="5"/>
        <v>0</v>
      </c>
      <c r="Q35" s="76">
        <f t="shared" si="10"/>
        <v>47.812500000000007</v>
      </c>
      <c r="R35" s="76">
        <f t="shared" si="11"/>
        <v>0</v>
      </c>
      <c r="S35" s="76">
        <f t="shared" si="11"/>
        <v>0.13005000000000003</v>
      </c>
      <c r="T35" s="76">
        <f t="shared" si="11"/>
        <v>0</v>
      </c>
      <c r="U35" s="76">
        <f t="shared" si="11"/>
        <v>0</v>
      </c>
      <c r="AB35" s="58"/>
      <c r="AC35" s="58"/>
      <c r="AD35" s="58"/>
      <c r="AE35" s="58"/>
      <c r="AF35" s="58"/>
      <c r="AG35" s="58"/>
      <c r="AH35" s="58"/>
      <c r="AI35" s="58"/>
    </row>
    <row r="36" spans="1:35" s="71" customFormat="1" ht="13" x14ac:dyDescent="0.35">
      <c r="A36" s="13">
        <f>H8</f>
        <v>36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38</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t="e">
        <f>VLOOKUP(K$14,Table2458[],5,FALSE)</f>
        <v>#N/A</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0</v>
      </c>
      <c r="E62" s="76">
        <f>B34</f>
        <v>0</v>
      </c>
      <c r="F62" s="76">
        <f>B35</f>
        <v>250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8" sqref="B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6.3</v>
      </c>
      <c r="J1" s="128" t="s">
        <v>153</v>
      </c>
      <c r="K1" s="128"/>
      <c r="L1" s="96">
        <v>396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1.08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3.6666666666666665</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0</v>
      </c>
      <c r="D18" s="16">
        <f>$D32</f>
        <v>0</v>
      </c>
      <c r="E18" s="16">
        <f>$D33</f>
        <v>0</v>
      </c>
      <c r="F18" s="16">
        <f>$D34</f>
        <v>0</v>
      </c>
      <c r="G18" s="16">
        <f>$D35</f>
        <v>29.686777999999997</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-34.913221999999998</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
      </c>
      <c r="D20" s="25" t="str">
        <f>IF($B32="","",IF(D$19&gt;=0,"INCREASE","DECREASE"))</f>
        <v/>
      </c>
      <c r="E20" s="25" t="str">
        <f>IF($B33="","",IF(E$19&gt;=0,"INCREASE","DECREASE"))</f>
        <v/>
      </c>
      <c r="F20" s="25" t="str">
        <f>IF($B34="","",IF(F$19&gt;=0,"INCREASE","DECREASE"))</f>
        <v/>
      </c>
      <c r="G20" s="25" t="str">
        <f>IF($B35="","",IF(G$19&gt;=0,"INCREASE","DECREASE"))</f>
        <v>DECREASE</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v>
      </c>
      <c r="D22" s="16">
        <f>$E32</f>
        <v>0</v>
      </c>
      <c r="E22" s="16">
        <f>$E33</f>
        <v>0</v>
      </c>
      <c r="F22" s="16">
        <f>$E34</f>
        <v>0</v>
      </c>
      <c r="G22" s="16">
        <f>$E35</f>
        <v>3.9241427500000001</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-224.07585725000001</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3.41</v>
      </c>
      <c r="C28" s="15">
        <v>1.08</v>
      </c>
      <c r="D28" s="15">
        <v>0.152</v>
      </c>
      <c r="E28" s="15">
        <v>3.8199999999999998E-2</v>
      </c>
      <c r="F28" s="15">
        <v>357</v>
      </c>
      <c r="G28" s="15">
        <v>23.6</v>
      </c>
      <c r="H28" s="15">
        <v>16.600000000000001</v>
      </c>
      <c r="I28" s="15">
        <v>3.8</v>
      </c>
      <c r="J28" s="15">
        <v>0.42</v>
      </c>
      <c r="K28" s="15">
        <v>0.59</v>
      </c>
      <c r="L28" s="15">
        <v>5.0999999999999996</v>
      </c>
      <c r="M28" s="15">
        <v>6.07</v>
      </c>
      <c r="N28" s="15">
        <v>171000</v>
      </c>
      <c r="O28" s="15">
        <v>5210</v>
      </c>
      <c r="P28" s="15"/>
      <c r="Q28" s="15">
        <v>5700</v>
      </c>
      <c r="R28" s="15"/>
      <c r="S28" s="15">
        <v>43.9</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46"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34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92.07</v>
      </c>
      <c r="D35" s="76">
        <f t="shared" si="7"/>
        <v>29.686777999999997</v>
      </c>
      <c r="E35" s="76">
        <f t="shared" si="8"/>
        <v>3.9241427500000001</v>
      </c>
      <c r="F35" s="76">
        <f t="shared" si="9"/>
        <v>5.0459986499999987</v>
      </c>
      <c r="G35" s="76">
        <f t="shared" si="5"/>
        <v>0.20119000000000001</v>
      </c>
      <c r="H35" s="76">
        <f t="shared" si="5"/>
        <v>0.141515</v>
      </c>
      <c r="I35" s="76">
        <f t="shared" si="5"/>
        <v>3.2395E-2</v>
      </c>
      <c r="J35" s="76">
        <f t="shared" si="5"/>
        <v>3.5804999999999999E-3</v>
      </c>
      <c r="K35" s="76">
        <f t="shared" si="5"/>
        <v>5.0297500000000004E-3</v>
      </c>
      <c r="L35" s="76">
        <f t="shared" si="5"/>
        <v>4.3477499999999988E-2</v>
      </c>
      <c r="M35" s="76">
        <f t="shared" si="5"/>
        <v>5.1746750000000001E-2</v>
      </c>
      <c r="N35" s="76">
        <f t="shared" si="5"/>
        <v>1457.7749999999999</v>
      </c>
      <c r="O35" s="76">
        <f t="shared" si="5"/>
        <v>44.415249999999993</v>
      </c>
      <c r="P35" s="76">
        <f t="shared" si="5"/>
        <v>0</v>
      </c>
      <c r="Q35" s="76">
        <f t="shared" si="10"/>
        <v>121.48124999999999</v>
      </c>
      <c r="R35" s="76">
        <f t="shared" si="11"/>
        <v>0</v>
      </c>
      <c r="S35" s="76">
        <f t="shared" si="11"/>
        <v>0.37424749999999996</v>
      </c>
      <c r="T35" s="76">
        <f t="shared" si="11"/>
        <v>0</v>
      </c>
      <c r="U35" s="76">
        <f t="shared" si="11"/>
        <v>0</v>
      </c>
      <c r="AB35" s="58"/>
      <c r="AC35" s="58"/>
      <c r="AD35" s="58"/>
      <c r="AE35" s="58"/>
      <c r="AF35" s="58"/>
      <c r="AG35" s="58"/>
      <c r="AH35" s="58"/>
      <c r="AI35" s="58"/>
    </row>
    <row r="36" spans="1:35" s="71" customFormat="1" ht="13" x14ac:dyDescent="0.35">
      <c r="A36" s="13">
        <f>H8</f>
        <v>36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38</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t="e">
        <f>VLOOKUP(K$14,Table24581113[],5,FALSE)</f>
        <v>#N/A</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0</v>
      </c>
      <c r="E62" s="76">
        <f>B34</f>
        <v>0</v>
      </c>
      <c r="F62" s="76">
        <f>B35</f>
        <v>250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4" zoomScale="90" zoomScaleNormal="90" workbookViewId="0">
      <selection activeCell="B37" sqref="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7.1</v>
      </c>
      <c r="J1" s="128" t="s">
        <v>153</v>
      </c>
      <c r="K1" s="128"/>
      <c r="L1" s="96">
        <v>352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165</v>
      </c>
      <c r="G2" s="126" t="s">
        <v>110</v>
      </c>
      <c r="H2" s="127"/>
      <c r="I2" s="117"/>
      <c r="J2" s="128" t="s">
        <v>158</v>
      </c>
      <c r="K2" s="128"/>
      <c r="L2" s="96">
        <v>0.80900000000000005</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78</v>
      </c>
      <c r="G3" s="128" t="s">
        <v>159</v>
      </c>
      <c r="H3" s="128"/>
      <c r="I3" s="117"/>
      <c r="J3" s="124" t="s">
        <v>154</v>
      </c>
      <c r="K3" s="125"/>
      <c r="L3" s="96">
        <f>(L1/(L2*10000))*100</f>
        <v>4.3510506798516682</v>
      </c>
      <c r="AB3" s="29" t="s">
        <v>57</v>
      </c>
      <c r="AC3" s="17"/>
      <c r="AD3" s="29" t="s">
        <v>71</v>
      </c>
      <c r="AE3" s="17"/>
      <c r="AF3" s="17"/>
      <c r="AG3" s="43" t="s">
        <v>77</v>
      </c>
      <c r="AH3" s="18"/>
      <c r="AI3" s="47" t="s">
        <v>113</v>
      </c>
      <c r="AJ3" s="48">
        <v>1.7</v>
      </c>
      <c r="AK3" s="49">
        <v>6</v>
      </c>
      <c r="AL3" s="50">
        <v>1</v>
      </c>
      <c r="AM3" s="11">
        <v>6.2</v>
      </c>
      <c r="AN3" s="11" t="s">
        <v>112</v>
      </c>
    </row>
    <row r="4" spans="1:41" ht="37.5" x14ac:dyDescent="0.25">
      <c r="A4" s="128" t="s">
        <v>0</v>
      </c>
      <c r="B4" s="128"/>
      <c r="C4" s="141" t="str">
        <f>Bontgoch!C4:D4</f>
        <v>Noyadd Farm Rhayader, Powys, LD6 5HH</v>
      </c>
      <c r="D4" s="142"/>
      <c r="E4" s="93" t="s">
        <v>1</v>
      </c>
      <c r="F4" s="119" t="s">
        <v>166</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84.266416500000005</v>
      </c>
      <c r="D18" s="16">
        <f>$D32</f>
        <v>84.266416500000005</v>
      </c>
      <c r="E18" s="16">
        <f>$D33</f>
        <v>84.266416500000005</v>
      </c>
      <c r="F18" s="16">
        <f>$D34</f>
        <v>84.266416500000005</v>
      </c>
      <c r="G18" s="16">
        <f>$D35</f>
        <v>84.266416500000005</v>
      </c>
      <c r="H18" s="16">
        <f>$D36</f>
        <v>64.04247654000001</v>
      </c>
      <c r="I18" s="16">
        <f>$D37</f>
        <v>84.266416500000005</v>
      </c>
      <c r="J18" s="16">
        <f>$D38</f>
        <v>84.266416500000005</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19.666416500000011</v>
      </c>
      <c r="D19" s="16">
        <f t="shared" ref="D19:V19" si="1">D18-D17</f>
        <v>19.666416500000011</v>
      </c>
      <c r="E19" s="16">
        <f t="shared" si="1"/>
        <v>19.666416500000011</v>
      </c>
      <c r="F19" s="16">
        <f t="shared" si="1"/>
        <v>19.666416500000011</v>
      </c>
      <c r="G19" s="16">
        <f t="shared" si="1"/>
        <v>19.666416500000011</v>
      </c>
      <c r="H19" s="16">
        <f t="shared" si="1"/>
        <v>-0.55752345999998454</v>
      </c>
      <c r="I19" s="16">
        <f t="shared" si="1"/>
        <v>19.666416500000011</v>
      </c>
      <c r="J19" s="16">
        <f t="shared" si="1"/>
        <v>19.666416500000011</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DECREASE</v>
      </c>
      <c r="I20" s="25" t="str">
        <f>IF($B37="","",IF(I$19&gt;=0,"INCREASE","DECREASE"))</f>
        <v>INCREASE</v>
      </c>
      <c r="J20" s="25" t="str">
        <f>IF($B38="","",IF(J$19&gt;=0,"INCREASE","DECREASE"))</f>
        <v>INCREASE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15.100758749999997</v>
      </c>
      <c r="D22" s="16">
        <f>$E32</f>
        <v>15.100758749999997</v>
      </c>
      <c r="E22" s="16">
        <f>$E33</f>
        <v>15.100758749999997</v>
      </c>
      <c r="F22" s="16">
        <f>$E34</f>
        <v>15.100758749999997</v>
      </c>
      <c r="G22" s="16">
        <f>$E35</f>
        <v>15.100758749999997</v>
      </c>
      <c r="H22" s="16">
        <f>$E36</f>
        <v>11.476576649999998</v>
      </c>
      <c r="I22" s="16">
        <f>$E37</f>
        <v>15.100758749999997</v>
      </c>
      <c r="J22" s="16">
        <f>$E38</f>
        <v>15.100758749999997</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-212.89924124999999</v>
      </c>
      <c r="D23" s="16">
        <f t="shared" ref="D23:V23" si="3">D22-D21</f>
        <v>-212.89924124999999</v>
      </c>
      <c r="E23" s="16">
        <f t="shared" si="3"/>
        <v>-212.89924124999999</v>
      </c>
      <c r="F23" s="16">
        <f t="shared" si="3"/>
        <v>-212.89924124999999</v>
      </c>
      <c r="G23" s="16">
        <f t="shared" si="3"/>
        <v>-212.89924124999999</v>
      </c>
      <c r="H23" s="16">
        <f t="shared" si="3"/>
        <v>-216.52342335</v>
      </c>
      <c r="I23" s="16">
        <f t="shared" si="3"/>
        <v>-212.89924124999999</v>
      </c>
      <c r="J23" s="16">
        <f t="shared" si="3"/>
        <v>-212.89924124999999</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6.51</v>
      </c>
      <c r="C28" s="15">
        <v>0.80900000000000005</v>
      </c>
      <c r="D28" s="15">
        <v>0.22600000000000001</v>
      </c>
      <c r="E28" s="15">
        <v>7.6999999999999999E-2</v>
      </c>
      <c r="F28" s="15">
        <v>2500</v>
      </c>
      <c r="G28" s="15">
        <v>10.199999999999999</v>
      </c>
      <c r="H28" s="15">
        <v>124</v>
      </c>
      <c r="I28" s="15">
        <v>21.1</v>
      </c>
      <c r="J28" s="15">
        <v>0.34</v>
      </c>
      <c r="K28" s="15">
        <v>0.31</v>
      </c>
      <c r="L28" s="15">
        <v>18.600000000000001</v>
      </c>
      <c r="M28" s="15">
        <v>20.9</v>
      </c>
      <c r="N28" s="15">
        <v>5420</v>
      </c>
      <c r="O28" s="15">
        <v>414000</v>
      </c>
      <c r="P28" s="15"/>
      <c r="Q28" s="15">
        <v>2410</v>
      </c>
      <c r="R28" s="15"/>
      <c r="S28" s="15">
        <v>18.600000000000001</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v>250</v>
      </c>
      <c r="C31" s="76">
        <f>IF(C$27="%w/w SAR",((C$28*10)*$B31),IF(C$27="%w/w DM",(((C$28*10)*($B$28/100))*$B31),IF(C$27="kg/t SAR",(C$28*$B31),IF(C$27="kg/t DM",((C$28*($B$28/100))*$B31),IF(C$27="mg/kg SAR",((C$28*0.001)*$B31),IF(C$27="mg/kg DM",(((C$28*0.001)*($B$28/100))*$B31),0))))))</f>
        <v>131.66474999999997</v>
      </c>
      <c r="D31" s="76">
        <f>(IF(D$27="%w/w SAR",((D$28*10)*$B31),IF(D$27="%w/w DM",(((D$28*10)*($B$28/100))*$B31),IF(D$27="kg/t SAR",(D$28*$B31),IF(D$27="kg/t DM",((D$28*($B$28/100))*$B31),IF(D$27="mg/kg SAR",((D$28*0.001)*$B31),IF(D$27="mg/kg DM",(((D$28*0.001)*($B$28/100))*$B31),"0")))))))*2.291</f>
        <v>84.266416500000005</v>
      </c>
      <c r="E31" s="76">
        <f>(IF(E$27="%w/w SAR",((E$28*10)*$B31),IF(E$27="%w/w DM",(((E$28*10)*($B$28/100))*$B31),IF(E$27="kg/t SAR",(E$28*$B31),IF(E$27="kg/t DM",((E$28*($B$28/100))*$B31),IF(E$27="mg/kg SAR",((E$28*0.001)*$B31),IF(E$27="mg/kg DM",(((E$28*0.001)*($B$28/100))*$B31),"0")))))))*1.205</f>
        <v>15.100758749999997</v>
      </c>
      <c r="F31" s="76">
        <f>(IF(F$27="%w/w SAR",((F$28*10)*$B31),IF(F$27="%w/w DM",(((F$28*10)*($B$28/100))*$B31),IF(F$27="kg/t SAR",(F$28*$B31),IF(F$27="kg/t DM",((F$28*($B$28/100))*$B31),IF(F$27="mg/kg SAR",((F$28*0.001)*$B31),IF(F$27="mg/kg DM",(((F$28*0.001)*($B$28/100))*$B31),"0")))))))*1.658</f>
        <v>67.459874999999982</v>
      </c>
      <c r="G31" s="76">
        <f t="shared" ref="G31:P46" si="5">IF(G$27="%w/w SAR",((G$28*10)*$B31),IF(G$27="%w/w DM",(((G$28*10)*($B$28/100))*$B31),IF(G$27="kg/t SAR",(G$28*$B31),IF(G$27="kg/t DM",((G$28*($B$28/100))*$B31),IF(G$27="mg/kg SAR",((G$28*0.001)*$B31),IF(G$27="mg/kg DM",(((G$28*0.001)*($B$28/100))*$B31),0))))))</f>
        <v>0.16600499999999996</v>
      </c>
      <c r="H31" s="76">
        <f t="shared" si="5"/>
        <v>2.0180999999999996</v>
      </c>
      <c r="I31" s="76">
        <f t="shared" si="5"/>
        <v>0.3434025</v>
      </c>
      <c r="J31" s="76">
        <f t="shared" si="5"/>
        <v>5.5334999999999994E-3</v>
      </c>
      <c r="K31" s="76">
        <f t="shared" si="5"/>
        <v>5.0452499999999994E-3</v>
      </c>
      <c r="L31" s="76">
        <f t="shared" si="5"/>
        <v>0.30271500000000001</v>
      </c>
      <c r="M31" s="76">
        <f t="shared" si="5"/>
        <v>0.34014749999999988</v>
      </c>
      <c r="N31" s="76">
        <f t="shared" si="5"/>
        <v>88.210499999999982</v>
      </c>
      <c r="O31" s="76">
        <f t="shared" si="5"/>
        <v>6737.8499999999995</v>
      </c>
      <c r="P31" s="76">
        <f t="shared" si="5"/>
        <v>0</v>
      </c>
      <c r="Q31" s="76">
        <f>(IF(Q$27="%w/w SAR",((Q$28*10)*$B31),IF(Q$27="%w/w DM",(((Q$28*10)*($B$28/100))*$B31),IF(Q$27="kg/t SAR",(Q$28*$B31),IF(Q$27="kg/t DM",((Q$28*($B$28/100))*$B31),IF(Q$27="mg/kg SAR",((Q$28*0.001)*$B31),IF(Q$27="mg/kg DM",(((Q$28*0.001)*($B$28/100))*$B31),0)))))))*2.5</f>
        <v>98.056874999999977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0.30271500000000001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v>250</v>
      </c>
      <c r="C32" s="76">
        <f t="shared" ref="C32:C50" si="6">IF(C$27="%w/w SAR",((C$28*10)*$B32),IF(C$27="%w/w DM",(((C$28*10)*($B$28/100))*$B32),IF(C$27="kg/t SAR",(C$28*$B32),IF(C$27="kg/t DM",((C$28*($B$28/100))*$B32),IF(C$27="mg/kg SAR",((C$28*0.001)*$B32),IF(C$27="mg/kg DM",(((C$28*0.001)*($B$28/100))*$B32),0))))))</f>
        <v>131.66474999999997</v>
      </c>
      <c r="D32" s="76">
        <f t="shared" ref="D32:D50" si="7">(IF(D$27="%w/w SAR",((D$28*10)*$B32),IF(D$27="%w/w DM",(((D$28*10)*($B$28/100))*$B32),IF(D$27="kg/t SAR",(D$28*$B32),IF(D$27="kg/t DM",((D$28*($B$28/100))*$B32),IF(D$27="mg/kg SAR",((D$28*0.001)*$B32),IF(D$27="mg/kg DM",(((D$28*0.001)*($B$28/100))*$B32),"0")))))))*2.291</f>
        <v>84.266416500000005</v>
      </c>
      <c r="E32" s="76">
        <f t="shared" ref="E32:E50" si="8">(IF(E$27="%w/w SAR",((E$28*10)*$B32),IF(E$27="%w/w DM",(((E$28*10)*($B$28/100))*$B32),IF(E$27="kg/t SAR",(E$28*$B32),IF(E$27="kg/t DM",((E$28*($B$28/100))*$B32),IF(E$27="mg/kg SAR",((E$28*0.001)*$B32),IF(E$27="mg/kg DM",(((E$28*0.001)*($B$28/100))*$B32),"0")))))))*1.205</f>
        <v>15.100758749999997</v>
      </c>
      <c r="F32" s="76">
        <f t="shared" ref="F32:F50" si="9">(IF(F$27="%w/w SAR",((F$28*10)*$B32),IF(F$27="%w/w DM",(((F$28*10)*($B$28/100))*$B32),IF(F$27="kg/t SAR",(F$28*$B32),IF(F$27="kg/t DM",((F$28*($B$28/100))*$B32),IF(F$27="mg/kg SAR",((F$28*0.001)*$B32),IF(F$27="mg/kg DM",(((F$28*0.001)*($B$28/100))*$B32),"0")))))))*1.658</f>
        <v>67.459874999999982</v>
      </c>
      <c r="G32" s="76">
        <f t="shared" si="5"/>
        <v>0.16600499999999996</v>
      </c>
      <c r="H32" s="76">
        <f t="shared" si="5"/>
        <v>2.0180999999999996</v>
      </c>
      <c r="I32" s="76">
        <f t="shared" si="5"/>
        <v>0.3434025</v>
      </c>
      <c r="J32" s="76">
        <f t="shared" si="5"/>
        <v>5.5334999999999994E-3</v>
      </c>
      <c r="K32" s="76">
        <f t="shared" si="5"/>
        <v>5.0452499999999994E-3</v>
      </c>
      <c r="L32" s="76">
        <f t="shared" si="5"/>
        <v>0.30271500000000001</v>
      </c>
      <c r="M32" s="76">
        <f t="shared" si="5"/>
        <v>0.34014749999999988</v>
      </c>
      <c r="N32" s="76">
        <f t="shared" si="5"/>
        <v>88.210499999999982</v>
      </c>
      <c r="O32" s="76">
        <f t="shared" si="5"/>
        <v>6737.8499999999995</v>
      </c>
      <c r="P32" s="76">
        <f t="shared" si="5"/>
        <v>0</v>
      </c>
      <c r="Q32" s="76">
        <f t="shared" ref="Q32:Q50" si="10">(IF(Q$27="%w/w SAR",((Q$28*10)*$B32),IF(Q$27="%w/w DM",(((Q$28*10)*($B$28/100))*$B32),IF(Q$27="kg/t SAR",(Q$28*$B32),IF(Q$27="kg/t DM",((Q$28*($B$28/100))*$B32),IF(Q$27="mg/kg SAR",((Q$28*0.001)*$B32),IF(Q$27="mg/kg DM",(((Q$28*0.001)*($B$28/100))*$B32),0)))))))*2.5</f>
        <v>98.056874999999977</v>
      </c>
      <c r="R32" s="76">
        <f t="shared" ref="R32:U50" si="11">IF(R$27="%w/w SAR",((R$28*10)*$B32),IF(R$27="%w/w DM",(((R$28*10)*($B$28/100))*$B32),IF(R$27="kg/t SAR",(R$28*$B32),IF(R$27="kg/t DM",((R$28*($B$28/100))*$B32),IF(R$27="mg/kg SAR",((R$28*0.001)*$B32),IF(R$27="mg/kg DM",(((R$28*0.001)*($B$28/100))*$B32),0))))))</f>
        <v>0</v>
      </c>
      <c r="S32" s="76">
        <f t="shared" si="11"/>
        <v>0.30271500000000001</v>
      </c>
      <c r="T32" s="76">
        <f t="shared" si="11"/>
        <v>0</v>
      </c>
      <c r="U32" s="76">
        <f t="shared" si="11"/>
        <v>0</v>
      </c>
      <c r="AB32" s="58"/>
      <c r="AC32" s="58"/>
      <c r="AD32" s="58"/>
      <c r="AE32" s="58"/>
      <c r="AF32" s="58"/>
      <c r="AG32" s="58"/>
      <c r="AH32" s="58"/>
      <c r="AI32" s="58"/>
    </row>
    <row r="33" spans="1:35" s="71" customFormat="1" ht="13" x14ac:dyDescent="0.35">
      <c r="A33" s="13">
        <f>E8</f>
        <v>33</v>
      </c>
      <c r="B33" s="15">
        <v>250</v>
      </c>
      <c r="C33" s="76">
        <f t="shared" si="6"/>
        <v>131.66474999999997</v>
      </c>
      <c r="D33" s="76">
        <f t="shared" si="7"/>
        <v>84.266416500000005</v>
      </c>
      <c r="E33" s="76">
        <f t="shared" si="8"/>
        <v>15.100758749999997</v>
      </c>
      <c r="F33" s="76">
        <f t="shared" si="9"/>
        <v>67.459874999999982</v>
      </c>
      <c r="G33" s="76">
        <f t="shared" si="5"/>
        <v>0.16600499999999996</v>
      </c>
      <c r="H33" s="76">
        <f t="shared" si="5"/>
        <v>2.0180999999999996</v>
      </c>
      <c r="I33" s="76">
        <f t="shared" si="5"/>
        <v>0.3434025</v>
      </c>
      <c r="J33" s="76">
        <f t="shared" si="5"/>
        <v>5.5334999999999994E-3</v>
      </c>
      <c r="K33" s="76">
        <f t="shared" si="5"/>
        <v>5.0452499999999994E-3</v>
      </c>
      <c r="L33" s="76">
        <f t="shared" si="5"/>
        <v>0.30271500000000001</v>
      </c>
      <c r="M33" s="76">
        <f t="shared" si="5"/>
        <v>0.34014749999999988</v>
      </c>
      <c r="N33" s="76">
        <f t="shared" si="5"/>
        <v>88.210499999999982</v>
      </c>
      <c r="O33" s="76">
        <f t="shared" si="5"/>
        <v>6737.8499999999995</v>
      </c>
      <c r="P33" s="76">
        <f t="shared" si="5"/>
        <v>0</v>
      </c>
      <c r="Q33" s="76">
        <f t="shared" si="10"/>
        <v>98.056874999999977</v>
      </c>
      <c r="R33" s="76">
        <f t="shared" si="11"/>
        <v>0</v>
      </c>
      <c r="S33" s="76">
        <f t="shared" si="11"/>
        <v>0.30271500000000001</v>
      </c>
      <c r="T33" s="76">
        <f t="shared" si="11"/>
        <v>0</v>
      </c>
      <c r="U33" s="76">
        <f t="shared" si="11"/>
        <v>0</v>
      </c>
      <c r="AB33" s="58"/>
      <c r="AC33" s="58"/>
      <c r="AD33" s="58"/>
      <c r="AE33" s="58"/>
      <c r="AF33" s="58"/>
      <c r="AG33" s="58"/>
      <c r="AH33" s="58"/>
      <c r="AI33" s="58"/>
    </row>
    <row r="34" spans="1:35" s="71" customFormat="1" ht="13" x14ac:dyDescent="0.35">
      <c r="A34" s="13">
        <f>F8</f>
        <v>34</v>
      </c>
      <c r="B34" s="15">
        <v>250</v>
      </c>
      <c r="C34" s="76">
        <f t="shared" si="6"/>
        <v>131.66474999999997</v>
      </c>
      <c r="D34" s="76">
        <f t="shared" si="7"/>
        <v>84.266416500000005</v>
      </c>
      <c r="E34" s="76">
        <f t="shared" si="8"/>
        <v>15.100758749999997</v>
      </c>
      <c r="F34" s="76">
        <f t="shared" si="9"/>
        <v>67.459874999999982</v>
      </c>
      <c r="G34" s="76">
        <f t="shared" si="5"/>
        <v>0.16600499999999996</v>
      </c>
      <c r="H34" s="76">
        <f t="shared" si="5"/>
        <v>2.0180999999999996</v>
      </c>
      <c r="I34" s="76">
        <f t="shared" si="5"/>
        <v>0.3434025</v>
      </c>
      <c r="J34" s="76">
        <f t="shared" si="5"/>
        <v>5.5334999999999994E-3</v>
      </c>
      <c r="K34" s="76">
        <f t="shared" si="5"/>
        <v>5.0452499999999994E-3</v>
      </c>
      <c r="L34" s="76">
        <f t="shared" si="5"/>
        <v>0.30271500000000001</v>
      </c>
      <c r="M34" s="76">
        <f t="shared" si="5"/>
        <v>0.34014749999999988</v>
      </c>
      <c r="N34" s="76">
        <f t="shared" si="5"/>
        <v>88.210499999999982</v>
      </c>
      <c r="O34" s="76">
        <f t="shared" si="5"/>
        <v>6737.8499999999995</v>
      </c>
      <c r="P34" s="76">
        <f t="shared" si="5"/>
        <v>0</v>
      </c>
      <c r="Q34" s="76">
        <f t="shared" si="10"/>
        <v>98.056874999999977</v>
      </c>
      <c r="R34" s="76">
        <f t="shared" si="11"/>
        <v>0</v>
      </c>
      <c r="S34" s="76">
        <f t="shared" si="11"/>
        <v>0.30271500000000001</v>
      </c>
      <c r="T34" s="76">
        <f t="shared" si="11"/>
        <v>0</v>
      </c>
      <c r="U34" s="76">
        <f t="shared" si="11"/>
        <v>0</v>
      </c>
      <c r="AB34" s="58"/>
      <c r="AC34" s="58"/>
      <c r="AD34" s="58"/>
      <c r="AE34" s="58"/>
      <c r="AF34" s="58"/>
      <c r="AG34" s="58"/>
      <c r="AH34" s="58"/>
      <c r="AI34" s="58"/>
    </row>
    <row r="35" spans="1:35" s="71" customFormat="1" ht="13" x14ac:dyDescent="0.35">
      <c r="A35" s="13">
        <f>G8</f>
        <v>35</v>
      </c>
      <c r="B35" s="15">
        <v>250</v>
      </c>
      <c r="C35" s="76">
        <f t="shared" si="6"/>
        <v>131.66474999999997</v>
      </c>
      <c r="D35" s="76">
        <f t="shared" si="7"/>
        <v>84.266416500000005</v>
      </c>
      <c r="E35" s="76">
        <f t="shared" si="8"/>
        <v>15.100758749999997</v>
      </c>
      <c r="F35" s="76">
        <f t="shared" si="9"/>
        <v>67.459874999999982</v>
      </c>
      <c r="G35" s="76">
        <f t="shared" si="5"/>
        <v>0.16600499999999996</v>
      </c>
      <c r="H35" s="76">
        <f t="shared" si="5"/>
        <v>2.0180999999999996</v>
      </c>
      <c r="I35" s="76">
        <f t="shared" si="5"/>
        <v>0.3434025</v>
      </c>
      <c r="J35" s="76">
        <f t="shared" si="5"/>
        <v>5.5334999999999994E-3</v>
      </c>
      <c r="K35" s="76">
        <f t="shared" si="5"/>
        <v>5.0452499999999994E-3</v>
      </c>
      <c r="L35" s="76">
        <f t="shared" si="5"/>
        <v>0.30271500000000001</v>
      </c>
      <c r="M35" s="76">
        <f t="shared" si="5"/>
        <v>0.34014749999999988</v>
      </c>
      <c r="N35" s="76">
        <f t="shared" si="5"/>
        <v>88.210499999999982</v>
      </c>
      <c r="O35" s="76">
        <f t="shared" si="5"/>
        <v>6737.8499999999995</v>
      </c>
      <c r="P35" s="76">
        <f t="shared" si="5"/>
        <v>0</v>
      </c>
      <c r="Q35" s="76">
        <f t="shared" si="10"/>
        <v>98.056874999999977</v>
      </c>
      <c r="R35" s="76">
        <f t="shared" si="11"/>
        <v>0</v>
      </c>
      <c r="S35" s="76">
        <f t="shared" si="11"/>
        <v>0.30271500000000001</v>
      </c>
      <c r="T35" s="76">
        <f t="shared" si="11"/>
        <v>0</v>
      </c>
      <c r="U35" s="76">
        <f t="shared" si="11"/>
        <v>0</v>
      </c>
      <c r="AB35" s="58"/>
      <c r="AC35" s="58"/>
      <c r="AD35" s="58"/>
      <c r="AE35" s="58"/>
      <c r="AF35" s="58"/>
      <c r="AG35" s="58"/>
      <c r="AH35" s="58"/>
      <c r="AI35" s="58"/>
    </row>
    <row r="36" spans="1:35" s="71" customFormat="1" ht="13" x14ac:dyDescent="0.35">
      <c r="A36" s="13">
        <f>H8</f>
        <v>36</v>
      </c>
      <c r="B36" s="15">
        <v>190</v>
      </c>
      <c r="C36" s="76">
        <f t="shared" si="6"/>
        <v>100.06520999999998</v>
      </c>
      <c r="D36" s="76">
        <f t="shared" si="7"/>
        <v>64.04247654000001</v>
      </c>
      <c r="E36" s="76">
        <f t="shared" si="8"/>
        <v>11.476576649999998</v>
      </c>
      <c r="F36" s="76">
        <f t="shared" si="9"/>
        <v>51.269504999999988</v>
      </c>
      <c r="G36" s="76">
        <f t="shared" si="5"/>
        <v>0.12616379999999996</v>
      </c>
      <c r="H36" s="76">
        <f t="shared" si="5"/>
        <v>1.5337559999999997</v>
      </c>
      <c r="I36" s="76">
        <f t="shared" si="5"/>
        <v>0.26098589999999999</v>
      </c>
      <c r="J36" s="76">
        <f t="shared" si="5"/>
        <v>4.2054599999999994E-3</v>
      </c>
      <c r="K36" s="76">
        <f t="shared" si="5"/>
        <v>3.8343899999999996E-3</v>
      </c>
      <c r="L36" s="76">
        <f t="shared" si="5"/>
        <v>0.2300634</v>
      </c>
      <c r="M36" s="76">
        <f t="shared" si="5"/>
        <v>0.25851209999999991</v>
      </c>
      <c r="N36" s="76">
        <f t="shared" si="5"/>
        <v>67.039979999999986</v>
      </c>
      <c r="O36" s="76">
        <f t="shared" si="5"/>
        <v>5120.7659999999996</v>
      </c>
      <c r="P36" s="76">
        <f t="shared" si="5"/>
        <v>0</v>
      </c>
      <c r="Q36" s="76">
        <f t="shared" si="10"/>
        <v>74.523224999999982</v>
      </c>
      <c r="R36" s="76">
        <f t="shared" si="11"/>
        <v>0</v>
      </c>
      <c r="S36" s="76">
        <f t="shared" si="11"/>
        <v>0.2300634</v>
      </c>
      <c r="T36" s="76">
        <f t="shared" si="11"/>
        <v>0</v>
      </c>
      <c r="U36" s="76">
        <f t="shared" si="11"/>
        <v>0</v>
      </c>
      <c r="AB36" s="58"/>
      <c r="AC36" s="58"/>
      <c r="AD36" s="58"/>
      <c r="AE36" s="58"/>
      <c r="AF36" s="58"/>
      <c r="AG36" s="58"/>
      <c r="AH36" s="58"/>
      <c r="AI36" s="58"/>
    </row>
    <row r="37" spans="1:35" s="71" customFormat="1" ht="13" x14ac:dyDescent="0.35">
      <c r="A37" s="13">
        <f>I8</f>
        <v>37</v>
      </c>
      <c r="B37" s="15">
        <v>250</v>
      </c>
      <c r="C37" s="76">
        <f t="shared" si="6"/>
        <v>131.66474999999997</v>
      </c>
      <c r="D37" s="76">
        <f t="shared" si="7"/>
        <v>84.266416500000005</v>
      </c>
      <c r="E37" s="76">
        <f t="shared" si="8"/>
        <v>15.100758749999997</v>
      </c>
      <c r="F37" s="76">
        <f t="shared" si="9"/>
        <v>67.459874999999982</v>
      </c>
      <c r="G37" s="76">
        <f t="shared" si="5"/>
        <v>0.16600499999999996</v>
      </c>
      <c r="H37" s="76">
        <f t="shared" si="5"/>
        <v>2.0180999999999996</v>
      </c>
      <c r="I37" s="76">
        <f t="shared" si="5"/>
        <v>0.3434025</v>
      </c>
      <c r="J37" s="76">
        <f t="shared" si="5"/>
        <v>5.5334999999999994E-3</v>
      </c>
      <c r="K37" s="76">
        <f t="shared" si="5"/>
        <v>5.0452499999999994E-3</v>
      </c>
      <c r="L37" s="76">
        <f t="shared" si="5"/>
        <v>0.30271500000000001</v>
      </c>
      <c r="M37" s="76">
        <f t="shared" si="5"/>
        <v>0.34014749999999988</v>
      </c>
      <c r="N37" s="76">
        <f t="shared" si="5"/>
        <v>88.210499999999982</v>
      </c>
      <c r="O37" s="76">
        <f t="shared" si="5"/>
        <v>6737.8499999999995</v>
      </c>
      <c r="P37" s="76">
        <f t="shared" si="5"/>
        <v>0</v>
      </c>
      <c r="Q37" s="76">
        <f t="shared" si="10"/>
        <v>98.056874999999977</v>
      </c>
      <c r="R37" s="76">
        <f t="shared" si="11"/>
        <v>0</v>
      </c>
      <c r="S37" s="76">
        <f t="shared" si="11"/>
        <v>0.30271500000000001</v>
      </c>
      <c r="T37" s="76">
        <f t="shared" si="11"/>
        <v>0</v>
      </c>
      <c r="U37" s="76">
        <f t="shared" si="11"/>
        <v>0</v>
      </c>
      <c r="AB37" s="58"/>
      <c r="AC37" s="58"/>
      <c r="AD37" s="58"/>
      <c r="AE37" s="58"/>
      <c r="AF37" s="58"/>
      <c r="AG37" s="58"/>
      <c r="AH37" s="58"/>
      <c r="AI37" s="58"/>
    </row>
    <row r="38" spans="1:35" s="71" customFormat="1" ht="13" x14ac:dyDescent="0.35">
      <c r="A38" s="13">
        <f>J8</f>
        <v>38</v>
      </c>
      <c r="B38" s="15">
        <v>250</v>
      </c>
      <c r="C38" s="76">
        <f t="shared" si="6"/>
        <v>131.66474999999997</v>
      </c>
      <c r="D38" s="76">
        <f t="shared" si="7"/>
        <v>84.266416500000005</v>
      </c>
      <c r="E38" s="76">
        <f t="shared" si="8"/>
        <v>15.100758749999997</v>
      </c>
      <c r="F38" s="76">
        <f t="shared" si="9"/>
        <v>67.459874999999982</v>
      </c>
      <c r="G38" s="76">
        <f t="shared" si="5"/>
        <v>0.16600499999999996</v>
      </c>
      <c r="H38" s="76">
        <f t="shared" si="5"/>
        <v>2.0180999999999996</v>
      </c>
      <c r="I38" s="76">
        <f t="shared" si="5"/>
        <v>0.3434025</v>
      </c>
      <c r="J38" s="76">
        <f t="shared" si="5"/>
        <v>5.5334999999999994E-3</v>
      </c>
      <c r="K38" s="76">
        <f t="shared" si="5"/>
        <v>5.0452499999999994E-3</v>
      </c>
      <c r="L38" s="76">
        <f t="shared" si="5"/>
        <v>0.30271500000000001</v>
      </c>
      <c r="M38" s="76">
        <f t="shared" si="5"/>
        <v>0.34014749999999988</v>
      </c>
      <c r="N38" s="76">
        <f t="shared" si="5"/>
        <v>88.210499999999982</v>
      </c>
      <c r="O38" s="76">
        <f t="shared" si="5"/>
        <v>6737.8499999999995</v>
      </c>
      <c r="P38" s="76">
        <f t="shared" si="5"/>
        <v>0</v>
      </c>
      <c r="Q38" s="76">
        <f t="shared" si="10"/>
        <v>98.056874999999977</v>
      </c>
      <c r="R38" s="76">
        <f t="shared" si="11"/>
        <v>0</v>
      </c>
      <c r="S38" s="76">
        <f t="shared" si="11"/>
        <v>0.30271500000000001</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t="e">
        <f>VLOOKUP(K$14,Table24567[],5,FALSE)</f>
        <v>#N/A</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190</v>
      </c>
      <c r="H62" s="76">
        <f>B37</f>
        <v>250</v>
      </c>
      <c r="I62" s="76">
        <f>B38</f>
        <v>250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C30" sqref="C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Bontgoch!C1:D1</f>
        <v>PAN-017904</v>
      </c>
      <c r="D1" s="142"/>
      <c r="E1" s="92" t="s">
        <v>45</v>
      </c>
      <c r="F1" s="38">
        <f>Bontgoch!F1</f>
        <v>25.1</v>
      </c>
      <c r="G1" s="124" t="s">
        <v>43</v>
      </c>
      <c r="H1" s="125"/>
      <c r="I1" s="117">
        <v>8.1</v>
      </c>
      <c r="J1" s="128" t="s">
        <v>153</v>
      </c>
      <c r="K1" s="128"/>
      <c r="L1" s="96">
        <v>3512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Bontgoch!C2:D2</f>
        <v>EPR/GP3792SK</v>
      </c>
      <c r="D2" s="144"/>
      <c r="E2" s="92" t="s">
        <v>109</v>
      </c>
      <c r="F2" s="95" t="s">
        <v>168</v>
      </c>
      <c r="G2" s="126" t="s">
        <v>110</v>
      </c>
      <c r="H2" s="127"/>
      <c r="I2" s="117"/>
      <c r="J2" s="128" t="s">
        <v>158</v>
      </c>
      <c r="K2" s="128"/>
      <c r="L2" s="96">
        <v>0.57999999999999996</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Bontgoch!C3:D3</f>
        <v>Mr Richard Evans</v>
      </c>
      <c r="D3" s="144"/>
      <c r="E3" s="92" t="s">
        <v>108</v>
      </c>
      <c r="F3" s="30" t="s">
        <v>77</v>
      </c>
      <c r="G3" s="128" t="s">
        <v>159</v>
      </c>
      <c r="H3" s="128"/>
      <c r="I3" s="117"/>
      <c r="J3" s="124" t="s">
        <v>154</v>
      </c>
      <c r="K3" s="125"/>
      <c r="L3" s="96">
        <f>(L1/(L2*10000))*100</f>
        <v>60.551724137931039</v>
      </c>
      <c r="AB3" s="29" t="s">
        <v>57</v>
      </c>
      <c r="AC3" s="17"/>
      <c r="AD3" s="29" t="s">
        <v>71</v>
      </c>
      <c r="AE3" s="17"/>
      <c r="AF3" s="17"/>
      <c r="AG3" s="43" t="s">
        <v>77</v>
      </c>
      <c r="AH3" s="18"/>
      <c r="AI3" s="47" t="s">
        <v>113</v>
      </c>
      <c r="AJ3" s="48">
        <v>1.7</v>
      </c>
      <c r="AK3" s="49">
        <v>6</v>
      </c>
      <c r="AL3" s="50">
        <v>1</v>
      </c>
      <c r="AM3" s="11">
        <v>6.2</v>
      </c>
      <c r="AN3" s="11" t="s">
        <v>112</v>
      </c>
    </row>
    <row r="4" spans="1:41" ht="13" x14ac:dyDescent="0.25">
      <c r="A4" s="128" t="s">
        <v>0</v>
      </c>
      <c r="B4" s="128"/>
      <c r="C4" s="141" t="str">
        <f>Bontgoch!C4:D4</f>
        <v>Noyadd Farm Rhayader, Powys, LD6 5HH</v>
      </c>
      <c r="D4" s="142"/>
      <c r="E4" s="93" t="s">
        <v>1</v>
      </c>
      <c r="F4" s="95"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Bontgoch!C5:D5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Bontgoch!C8</f>
        <v>29</v>
      </c>
      <c r="D8" s="59">
        <f>Bontgoch!D8</f>
        <v>31</v>
      </c>
      <c r="E8" s="59">
        <f>Bontgoch!E8</f>
        <v>33</v>
      </c>
      <c r="F8" s="59">
        <f>Bontgoch!F8</f>
        <v>34</v>
      </c>
      <c r="G8" s="59">
        <f>Bontgoch!G8</f>
        <v>35</v>
      </c>
      <c r="H8" s="59">
        <f>Bontgoch!H8</f>
        <v>36</v>
      </c>
      <c r="I8" s="59">
        <f>Bontgoch!I8</f>
        <v>37</v>
      </c>
      <c r="J8" s="59">
        <f>Bontgoch!J8</f>
        <v>38</v>
      </c>
      <c r="K8" s="59">
        <f>Bontgoch!K8</f>
        <v>0</v>
      </c>
      <c r="L8" s="59">
        <f>Bontgoch!L8</f>
        <v>0</v>
      </c>
      <c r="M8" s="59">
        <f>Bontgoch!M8</f>
        <v>0</v>
      </c>
      <c r="N8" s="59">
        <f>Bontgoch!N8</f>
        <v>0</v>
      </c>
      <c r="O8" s="59">
        <f>Bontgoch!O8</f>
        <v>0</v>
      </c>
      <c r="P8" s="59">
        <f>Bontgoch!P8</f>
        <v>0</v>
      </c>
      <c r="Q8" s="59">
        <f>Bontgoch!Q8</f>
        <v>0</v>
      </c>
      <c r="R8" s="59">
        <f>Bontgoch!R8</f>
        <v>0</v>
      </c>
      <c r="S8" s="59">
        <f>Bontgoch!S8</f>
        <v>0</v>
      </c>
      <c r="T8" s="59">
        <f>Bontgoch!T8</f>
        <v>0</v>
      </c>
      <c r="U8" s="59">
        <f>Bontgoch!U8</f>
        <v>0</v>
      </c>
      <c r="V8" s="59">
        <f>Bontgoch!V8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Bontgoch!C9</f>
        <v xml:space="preserve">Moderate </v>
      </c>
      <c r="D9" s="59" t="str">
        <f>Bontgoch!D9</f>
        <v xml:space="preserve">Moderate </v>
      </c>
      <c r="E9" s="59" t="str">
        <f>Bontgoch!E9</f>
        <v xml:space="preserve">Moderate </v>
      </c>
      <c r="F9" s="59" t="str">
        <f>Bontgoch!F9</f>
        <v xml:space="preserve">Moderate </v>
      </c>
      <c r="G9" s="59" t="str">
        <f>Bontgoch!G9</f>
        <v xml:space="preserve">Moderate </v>
      </c>
      <c r="H9" s="59" t="str">
        <f>Bontgoch!H9</f>
        <v xml:space="preserve">Moderate </v>
      </c>
      <c r="I9" s="59" t="str">
        <f>Bontgoch!I9</f>
        <v xml:space="preserve">Moderate </v>
      </c>
      <c r="J9" s="59" t="str">
        <f>Bontgoch!J9</f>
        <v xml:space="preserve">Moderate </v>
      </c>
      <c r="K9" s="59">
        <f>Bontgoch!K9</f>
        <v>0</v>
      </c>
      <c r="L9" s="59">
        <f>Bontgoch!L9</f>
        <v>0</v>
      </c>
      <c r="M9" s="59">
        <f>Bontgoch!M9</f>
        <v>0</v>
      </c>
      <c r="N9" s="59">
        <f>Bontgoch!N9</f>
        <v>0</v>
      </c>
      <c r="O9" s="59">
        <f>Bontgoch!O9</f>
        <v>0</v>
      </c>
      <c r="P9" s="59">
        <f>Bontgoch!P9</f>
        <v>0</v>
      </c>
      <c r="Q9" s="59">
        <f>Bontgoch!Q9</f>
        <v>0</v>
      </c>
      <c r="R9" s="59">
        <f>Bontgoch!R9</f>
        <v>0</v>
      </c>
      <c r="S9" s="59">
        <f>Bontgoch!S9</f>
        <v>0</v>
      </c>
      <c r="T9" s="59">
        <f>Bontgoch!T9</f>
        <v>0</v>
      </c>
      <c r="U9" s="59">
        <f>Bontgoch!U9</f>
        <v>0</v>
      </c>
      <c r="V9" s="59">
        <f>Bontgoch!V9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Bontgoch!C10</f>
        <v>5.7</v>
      </c>
      <c r="D10" s="59">
        <f>Bontgoch!D10</f>
        <v>5.7</v>
      </c>
      <c r="E10" s="59">
        <f>Bontgoch!E10</f>
        <v>5.7</v>
      </c>
      <c r="F10" s="59">
        <f>Bontgoch!F10</f>
        <v>5.6</v>
      </c>
      <c r="G10" s="59">
        <f>Bontgoch!G10</f>
        <v>6.1</v>
      </c>
      <c r="H10" s="59">
        <f>Bontgoch!H10</f>
        <v>5.6</v>
      </c>
      <c r="I10" s="59">
        <f>Bontgoch!I10</f>
        <v>5.7</v>
      </c>
      <c r="J10" s="59">
        <f>Bontgoch!J10</f>
        <v>5.7</v>
      </c>
      <c r="K10" s="59">
        <f>Bontgoch!K10</f>
        <v>0</v>
      </c>
      <c r="L10" s="59">
        <f>Bontgoch!L10</f>
        <v>0</v>
      </c>
      <c r="M10" s="59">
        <f>Bontgoch!M10</f>
        <v>0</v>
      </c>
      <c r="N10" s="59">
        <f>Bontgoch!N10</f>
        <v>0</v>
      </c>
      <c r="O10" s="59">
        <f>Bontgoch!O10</f>
        <v>0</v>
      </c>
      <c r="P10" s="59">
        <f>Bontgoch!P10</f>
        <v>0</v>
      </c>
      <c r="Q10" s="59">
        <f>Bontgoch!Q10</f>
        <v>0</v>
      </c>
      <c r="R10" s="59">
        <f>Bontgoch!R10</f>
        <v>0</v>
      </c>
      <c r="S10" s="59">
        <f>Bontgoch!S10</f>
        <v>0</v>
      </c>
      <c r="T10" s="59">
        <f>Bontgoch!T10</f>
        <v>0</v>
      </c>
      <c r="U10" s="59">
        <f>Bontgoch!U10</f>
        <v>0</v>
      </c>
      <c r="V10" s="59">
        <f>Bontgoch!V10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Bontgoch!C11</f>
        <v>1</v>
      </c>
      <c r="D11" s="59">
        <f>Bontgoch!D11</f>
        <v>0</v>
      </c>
      <c r="E11" s="59">
        <f>Bontgoch!E11</f>
        <v>1</v>
      </c>
      <c r="F11" s="59">
        <f>Bontgoch!F11</f>
        <v>1</v>
      </c>
      <c r="G11" s="59">
        <f>Bontgoch!G11</f>
        <v>0</v>
      </c>
      <c r="H11" s="59">
        <f>Bontgoch!H11</f>
        <v>2</v>
      </c>
      <c r="I11" s="59">
        <f>Bontgoch!I11</f>
        <v>1</v>
      </c>
      <c r="J11" s="59">
        <f>Bontgoch!J11</f>
        <v>1</v>
      </c>
      <c r="K11" s="59">
        <f>Bontgoch!K11</f>
        <v>0</v>
      </c>
      <c r="L11" s="59">
        <f>Bontgoch!L11</f>
        <v>0</v>
      </c>
      <c r="M11" s="59">
        <f>Bontgoch!M11</f>
        <v>0</v>
      </c>
      <c r="N11" s="59">
        <f>Bontgoch!N11</f>
        <v>0</v>
      </c>
      <c r="O11" s="59">
        <f>Bontgoch!O11</f>
        <v>0</v>
      </c>
      <c r="P11" s="59">
        <f>Bontgoch!P11</f>
        <v>0</v>
      </c>
      <c r="Q11" s="59">
        <f>Bontgoch!Q11</f>
        <v>0</v>
      </c>
      <c r="R11" s="59">
        <f>Bontgoch!R11</f>
        <v>0</v>
      </c>
      <c r="S11" s="59">
        <f>Bontgoch!S11</f>
        <v>0</v>
      </c>
      <c r="T11" s="59">
        <f>Bontgoch!T11</f>
        <v>0</v>
      </c>
      <c r="U11" s="59">
        <f>Bontgoch!U11</f>
        <v>0</v>
      </c>
      <c r="V11" s="59">
        <f>Bontgoch!V11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Bontgoch!C12</f>
        <v>2</v>
      </c>
      <c r="D12" s="59">
        <f>Bontgoch!D12</f>
        <v>0</v>
      </c>
      <c r="E12" s="59">
        <f>Bontgoch!E12</f>
        <v>1</v>
      </c>
      <c r="F12" s="59">
        <f>Bontgoch!F12</f>
        <v>0</v>
      </c>
      <c r="G12" s="59">
        <f>Bontgoch!G12</f>
        <v>0</v>
      </c>
      <c r="H12" s="59">
        <f>Bontgoch!H12</f>
        <v>2</v>
      </c>
      <c r="I12" s="59">
        <f>Bontgoch!I12</f>
        <v>2</v>
      </c>
      <c r="J12" s="59">
        <f>Bontgoch!J12</f>
        <v>1</v>
      </c>
      <c r="K12" s="59">
        <f>Bontgoch!K12</f>
        <v>0</v>
      </c>
      <c r="L12" s="59">
        <f>Bontgoch!L12</f>
        <v>0</v>
      </c>
      <c r="M12" s="59">
        <f>Bontgoch!M12</f>
        <v>0</v>
      </c>
      <c r="N12" s="59">
        <f>Bontgoch!N12</f>
        <v>0</v>
      </c>
      <c r="O12" s="59">
        <f>Bontgoch!O12</f>
        <v>0</v>
      </c>
      <c r="P12" s="59">
        <f>Bontgoch!P12</f>
        <v>0</v>
      </c>
      <c r="Q12" s="59">
        <f>Bontgoch!Q12</f>
        <v>0</v>
      </c>
      <c r="R12" s="59">
        <f>Bontgoch!R12</f>
        <v>0</v>
      </c>
      <c r="S12" s="59">
        <f>Bontgoch!S12</f>
        <v>0</v>
      </c>
      <c r="T12" s="59">
        <f>Bontgoch!T12</f>
        <v>0</v>
      </c>
      <c r="U12" s="59">
        <f>Bontgoch!U12</f>
        <v>0</v>
      </c>
      <c r="V12" s="59">
        <f>Bontgoch!V12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Bontgoch!C13</f>
        <v>2</v>
      </c>
      <c r="D13" s="59">
        <f>Bontgoch!D13</f>
        <v>1</v>
      </c>
      <c r="E13" s="59">
        <f>Bontgoch!E13</f>
        <v>1</v>
      </c>
      <c r="F13" s="59">
        <f>Bontgoch!F13</f>
        <v>1</v>
      </c>
      <c r="G13" s="59">
        <f>Bontgoch!G13</f>
        <v>1</v>
      </c>
      <c r="H13" s="59">
        <f>Bontgoch!H13</f>
        <v>2</v>
      </c>
      <c r="I13" s="59">
        <f>Bontgoch!I13</f>
        <v>2</v>
      </c>
      <c r="J13" s="59">
        <f>Bontgoch!J13</f>
        <v>2</v>
      </c>
      <c r="K13" s="59">
        <f>Bontgoch!K13</f>
        <v>0</v>
      </c>
      <c r="L13" s="59">
        <f>Bontgoch!L13</f>
        <v>0</v>
      </c>
      <c r="M13" s="59">
        <f>Bontgoch!M13</f>
        <v>0</v>
      </c>
      <c r="N13" s="59">
        <f>Bontgoch!N13</f>
        <v>0</v>
      </c>
      <c r="O13" s="59">
        <f>Bontgoch!O13</f>
        <v>0</v>
      </c>
      <c r="P13" s="59">
        <f>Bontgoch!P13</f>
        <v>0</v>
      </c>
      <c r="Q13" s="59">
        <f>Bontgoch!Q13</f>
        <v>0</v>
      </c>
      <c r="R13" s="59">
        <f>Bontgoch!R13</f>
        <v>0</v>
      </c>
      <c r="S13" s="59">
        <f>Bontgoch!S13</f>
        <v>0</v>
      </c>
      <c r="T13" s="59">
        <f>Bontgoch!T13</f>
        <v>0</v>
      </c>
      <c r="U13" s="59">
        <f>Bontgoch!U13</f>
        <v>0</v>
      </c>
      <c r="V13" s="59">
        <f>Bontgoch!V13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Bontgoch!C14</f>
        <v xml:space="preserve">Grass Silage (25% DM) </v>
      </c>
      <c r="D14" s="101" t="str">
        <f>Bontgoch!D14</f>
        <v xml:space="preserve">Grass Silage (25% DM) </v>
      </c>
      <c r="E14" s="101" t="str">
        <f>Bontgoch!E14</f>
        <v xml:space="preserve">Grass Silage (25% DM) </v>
      </c>
      <c r="F14" s="101" t="str">
        <f>Bontgoch!F14</f>
        <v xml:space="preserve">Grass Silage (25% DM) </v>
      </c>
      <c r="G14" s="101" t="str">
        <f>Bontgoch!G14</f>
        <v xml:space="preserve">Grass Silage (25% DM) </v>
      </c>
      <c r="H14" s="101" t="str">
        <f>Bontgoch!H14</f>
        <v xml:space="preserve">Grass Silage (25% DM) </v>
      </c>
      <c r="I14" s="101" t="str">
        <f>Bontgoch!I14</f>
        <v xml:space="preserve">Grass Silage (25% DM) </v>
      </c>
      <c r="J14" s="101" t="str">
        <f>Bontgoch!J14</f>
        <v xml:space="preserve">Grass Silage (25% DM) </v>
      </c>
      <c r="K14" s="101">
        <f>Bontgoch!K14</f>
        <v>0</v>
      </c>
      <c r="L14" s="101">
        <f>Bontgoch!L14</f>
        <v>0</v>
      </c>
      <c r="M14" s="101">
        <f>Bontgoch!M14</f>
        <v>0</v>
      </c>
      <c r="N14" s="101">
        <f>Bontgoch!N14</f>
        <v>0</v>
      </c>
      <c r="O14" s="101">
        <f>Bontgoch!O14</f>
        <v>0</v>
      </c>
      <c r="P14" s="101">
        <f>Bontgoch!P14</f>
        <v>0</v>
      </c>
      <c r="Q14" s="101">
        <f>Bontgoch!Q14</f>
        <v>0</v>
      </c>
      <c r="R14" s="101">
        <f>Bontgoch!R14</f>
        <v>0</v>
      </c>
      <c r="S14" s="101">
        <f>Bontgoch!S14</f>
        <v>0</v>
      </c>
      <c r="T14" s="101">
        <f>Bontgoch!T14</f>
        <v>0</v>
      </c>
      <c r="U14" s="101">
        <f>Bontgoch!U14</f>
        <v>0</v>
      </c>
      <c r="V14" s="101">
        <f>Bontgoch!V14</f>
        <v>0</v>
      </c>
      <c r="AD14" s="29" t="s">
        <v>138</v>
      </c>
      <c r="AE14" s="29">
        <v>6</v>
      </c>
      <c r="AI14" s="52" t="s">
        <v>119</v>
      </c>
      <c r="AJ14" s="53">
        <v>0.8</v>
      </c>
      <c r="AK14" s="54">
        <v>1.7</v>
      </c>
      <c r="AL14" s="11">
        <v>12</v>
      </c>
      <c r="AM14" s="11">
        <v>6.7</v>
      </c>
      <c r="AN14" s="11" t="s">
        <v>135</v>
      </c>
    </row>
    <row r="15" spans="1:41" ht="13" x14ac:dyDescent="0.25">
      <c r="A15" s="136" t="s">
        <v>9</v>
      </c>
      <c r="B15" s="136"/>
      <c r="C15" s="59">
        <f>Bontgoch!C15</f>
        <v>38</v>
      </c>
      <c r="D15" s="59">
        <f>Bontgoch!D15</f>
        <v>38</v>
      </c>
      <c r="E15" s="59">
        <f>Bontgoch!E15</f>
        <v>38</v>
      </c>
      <c r="F15" s="59">
        <f>Bontgoch!F15</f>
        <v>38</v>
      </c>
      <c r="G15" s="59">
        <f>Bontgoch!G15</f>
        <v>38</v>
      </c>
      <c r="H15" s="59">
        <f>Bontgoch!H15</f>
        <v>38</v>
      </c>
      <c r="I15" s="59">
        <f>Bontgoch!I15</f>
        <v>38</v>
      </c>
      <c r="J15" s="59">
        <f>Bontgoch!J15</f>
        <v>38</v>
      </c>
      <c r="K15" s="59">
        <f>Bontgoch!K15</f>
        <v>0</v>
      </c>
      <c r="L15" s="59">
        <f>Bontgoch!L15</f>
        <v>0</v>
      </c>
      <c r="M15" s="59">
        <f>Bontgoch!M15</f>
        <v>0</v>
      </c>
      <c r="N15" s="59">
        <f>Bontgoch!N15</f>
        <v>0</v>
      </c>
      <c r="O15" s="59">
        <f>Bontgoch!O15</f>
        <v>0</v>
      </c>
      <c r="P15" s="59">
        <f>Bontgoch!P15</f>
        <v>0</v>
      </c>
      <c r="Q15" s="59">
        <f>Bontgoch!Q15</f>
        <v>0</v>
      </c>
      <c r="R15" s="59">
        <f>Bontgoch!R15</f>
        <v>0</v>
      </c>
      <c r="S15" s="59">
        <f>Bontgoch!S15</f>
        <v>0</v>
      </c>
      <c r="T15" s="59">
        <f>Bontgoch!T15</f>
        <v>0</v>
      </c>
      <c r="U15" s="59">
        <f>Bontgoch!U15</f>
        <v>0</v>
      </c>
      <c r="V15" s="59">
        <f>Bontgoch!V15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Bontgoch!C16</f>
        <v>Medium/Clay</v>
      </c>
      <c r="D16" s="102" t="str">
        <f>Bontgoch!D16</f>
        <v>Medium/Clay</v>
      </c>
      <c r="E16" s="102" t="str">
        <f>Bontgoch!E16</f>
        <v>Medium/Clay</v>
      </c>
      <c r="F16" s="102" t="str">
        <f>Bontgoch!F16</f>
        <v>Medium/Clay</v>
      </c>
      <c r="G16" s="102" t="str">
        <f>Bontgoch!G16</f>
        <v>Medium/Clay</v>
      </c>
      <c r="H16" s="102" t="str">
        <f>Bontgoch!H16</f>
        <v>Medium/Clay</v>
      </c>
      <c r="I16" s="102" t="str">
        <f>Bontgoch!I16</f>
        <v>Medium/Clay</v>
      </c>
      <c r="J16" s="102" t="str">
        <f>Bontgoch!J16</f>
        <v>Medium/Clay</v>
      </c>
      <c r="K16" s="102">
        <f>Bontgoch!K16</f>
        <v>0</v>
      </c>
      <c r="L16" s="102">
        <f>Bontgoch!L16</f>
        <v>0</v>
      </c>
      <c r="M16" s="102">
        <f>Bontgoch!M16</f>
        <v>0</v>
      </c>
      <c r="N16" s="102">
        <f>Bontgoch!N16</f>
        <v>0</v>
      </c>
      <c r="O16" s="102">
        <f>Bontgoch!O16</f>
        <v>0</v>
      </c>
      <c r="P16" s="102">
        <f>Bontgoch!P16</f>
        <v>0</v>
      </c>
      <c r="Q16" s="102">
        <f>Bontgoch!Q16</f>
        <v>0</v>
      </c>
      <c r="R16" s="102">
        <f>Bontgoch!R16</f>
        <v>0</v>
      </c>
      <c r="S16" s="102">
        <f>Bontgoch!S16</f>
        <v>0</v>
      </c>
      <c r="T16" s="102">
        <f>Bontgoch!T16</f>
        <v>0</v>
      </c>
      <c r="U16" s="102">
        <f>Bontgoch!U16</f>
        <v>0</v>
      </c>
      <c r="V16" s="102">
        <f>Bontgoch!V16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47.089214000000005</v>
      </c>
      <c r="D18" s="16">
        <f>$D32</f>
        <v>47.089214000000005</v>
      </c>
      <c r="E18" s="16">
        <f>$D33</f>
        <v>47.089214000000005</v>
      </c>
      <c r="F18" s="16">
        <f>$D34</f>
        <v>47.089214000000005</v>
      </c>
      <c r="G18" s="16">
        <f>$D35</f>
        <v>47.089214000000005</v>
      </c>
      <c r="H18" s="16">
        <f>$D36</f>
        <v>47.089214000000005</v>
      </c>
      <c r="I18" s="16">
        <f>$D37</f>
        <v>47.089214000000005</v>
      </c>
      <c r="J18" s="16">
        <f>$D38</f>
        <v>47.089214000000005</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-17.510785999999989</v>
      </c>
      <c r="D19" s="16">
        <f t="shared" ref="D19:V19" si="1">D18-D17</f>
        <v>-17.510785999999989</v>
      </c>
      <c r="E19" s="16">
        <f t="shared" si="1"/>
        <v>-17.510785999999989</v>
      </c>
      <c r="F19" s="16">
        <f t="shared" si="1"/>
        <v>-17.510785999999989</v>
      </c>
      <c r="G19" s="16">
        <f t="shared" si="1"/>
        <v>-17.510785999999989</v>
      </c>
      <c r="H19" s="16">
        <f t="shared" si="1"/>
        <v>-17.510785999999989</v>
      </c>
      <c r="I19" s="16">
        <f t="shared" si="1"/>
        <v>-17.510785999999989</v>
      </c>
      <c r="J19" s="16">
        <f t="shared" si="1"/>
        <v>-17.510785999999989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101.71284500000002</v>
      </c>
      <c r="D22" s="16">
        <f>$E32</f>
        <v>101.71284500000002</v>
      </c>
      <c r="E22" s="16">
        <f>$E33</f>
        <v>101.71284500000002</v>
      </c>
      <c r="F22" s="16">
        <f>$E34</f>
        <v>101.71284500000002</v>
      </c>
      <c r="G22" s="16">
        <f>$E35</f>
        <v>101.71284500000002</v>
      </c>
      <c r="H22" s="16">
        <f>$E36</f>
        <v>101.71284500000002</v>
      </c>
      <c r="I22" s="16">
        <f>$E37</f>
        <v>101.71284500000002</v>
      </c>
      <c r="J22" s="16">
        <f>$E38</f>
        <v>101.71284500000002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-126.28715499999998</v>
      </c>
      <c r="D23" s="16">
        <f t="shared" ref="D23:V23" si="3">D22-D21</f>
        <v>-126.28715499999998</v>
      </c>
      <c r="E23" s="16">
        <f t="shared" si="3"/>
        <v>-126.28715499999998</v>
      </c>
      <c r="F23" s="16">
        <f t="shared" si="3"/>
        <v>-126.28715499999998</v>
      </c>
      <c r="G23" s="16">
        <f t="shared" si="3"/>
        <v>-126.28715499999998</v>
      </c>
      <c r="H23" s="16">
        <f t="shared" si="3"/>
        <v>-126.28715499999998</v>
      </c>
      <c r="I23" s="16">
        <f t="shared" si="3"/>
        <v>-126.28715499999998</v>
      </c>
      <c r="J23" s="16">
        <f t="shared" si="3"/>
        <v>-126.28715499999998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c r="Q27" s="106" t="s">
        <v>54</v>
      </c>
      <c r="R27" s="106"/>
      <c r="S27" s="106"/>
      <c r="T27" s="106"/>
      <c r="U27" s="106"/>
    </row>
    <row r="28" spans="1:40" s="56" customFormat="1" x14ac:dyDescent="0.35">
      <c r="A28" s="107"/>
      <c r="B28" s="23">
        <v>4.0999999999999996</v>
      </c>
      <c r="C28" s="15">
        <v>0.57999999999999996</v>
      </c>
      <c r="D28" s="15">
        <v>478</v>
      </c>
      <c r="E28" s="15">
        <v>1963</v>
      </c>
      <c r="F28" s="15">
        <v>57.5</v>
      </c>
      <c r="G28" s="15">
        <v>1.2</v>
      </c>
      <c r="H28" s="15">
        <v>7.95</v>
      </c>
      <c r="I28" s="15">
        <v>0.5</v>
      </c>
      <c r="J28" s="15">
        <v>0.02</v>
      </c>
      <c r="K28" s="15">
        <v>0.05</v>
      </c>
      <c r="L28" s="15">
        <v>0.34</v>
      </c>
      <c r="M28" s="15">
        <v>0.41</v>
      </c>
      <c r="N28" s="15"/>
      <c r="O28" s="15"/>
      <c r="P28" s="15"/>
      <c r="Q28" s="15">
        <v>437</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29</v>
      </c>
      <c r="B31" s="15">
        <v>43</v>
      </c>
      <c r="C31" s="76">
        <f>IF(C$27="%w/w SAR",((C$28*10)*$B31),IF(C$27="%w/w DM",(((C$28*10)*($B$28/100))*$B31),IF(C$27="kg/t SAR",(C$28*$B31),IF(C$27="kg/t DM",((C$28*($B$28/100))*$B31),IF(C$27="mg/kg SAR",((C$28*0.001)*$B31),IF(C$27="mg/kg DM",(((C$28*0.001)*($B$28/100))*$B31),0))))))</f>
        <v>249.4</v>
      </c>
      <c r="D31" s="76">
        <f>(IF(D$27="%w/w SAR",((D$28*10)*$B31),IF(D$27="%w/w DM",(((D$28*10)*($B$28/100))*$B31),IF(D$27="kg/t SAR",(D$28*$B31),IF(D$27="kg/t DM",((D$28*($B$28/100))*$B31),IF(D$27="mg/kg SAR",((D$28*0.001)*$B31),IF(D$27="mg/kg DM",(((D$28*0.001)*($B$28/100))*$B31),"0")))))))*2.291</f>
        <v>47.089214000000005</v>
      </c>
      <c r="E31" s="76">
        <f>(IF(E$27="%w/w SAR",((E$28*10)*$B31),IF(E$27="%w/w DM",(((E$28*10)*($B$28/100))*$B31),IF(E$27="kg/t SAR",(E$28*$B31),IF(E$27="kg/t DM",((E$28*($B$28/100))*$B31),IF(E$27="mg/kg SAR",((E$28*0.001)*$B31),IF(E$27="mg/kg DM",(((E$28*0.001)*($B$28/100))*$B31),"0")))))))*1.205</f>
        <v>101.71284500000002</v>
      </c>
      <c r="F31" s="76">
        <f>(IF(F$27="%w/w SAR",((F$28*10)*$B31),IF(F$27="%w/w DM",(((F$28*10)*($B$28/100))*$B31),IF(F$27="kg/t SAR",(F$28*$B31),IF(F$27="kg/t DM",((F$28*($B$28/100))*$B31),IF(F$27="mg/kg SAR",((F$28*0.001)*$B31),IF(F$27="mg/kg DM",(((F$28*0.001)*($B$28/100))*$B31),"0")))))))*1.658</f>
        <v>4.099405</v>
      </c>
      <c r="G31" s="76">
        <f t="shared" ref="G31:P46" si="5">IF(G$27="%w/w SAR",((G$28*10)*$B31),IF(G$27="%w/w DM",(((G$28*10)*($B$28/100))*$B31),IF(G$27="kg/t SAR",(G$28*$B31),IF(G$27="kg/t DM",((G$28*($B$28/100))*$B31),IF(G$27="mg/kg SAR",((G$28*0.001)*$B31),IF(G$27="mg/kg DM",(((G$28*0.001)*($B$28/100))*$B31),0))))))</f>
        <v>5.1599999999999993E-2</v>
      </c>
      <c r="H31" s="76">
        <f t="shared" si="5"/>
        <v>0.34185000000000004</v>
      </c>
      <c r="I31" s="76">
        <f t="shared" si="5"/>
        <v>2.1500000000000002E-2</v>
      </c>
      <c r="J31" s="76">
        <f t="shared" si="5"/>
        <v>8.6000000000000009E-4</v>
      </c>
      <c r="K31" s="76">
        <f t="shared" si="5"/>
        <v>2.15E-3</v>
      </c>
      <c r="L31" s="76">
        <f t="shared" si="5"/>
        <v>1.4620000000000001E-2</v>
      </c>
      <c r="M31" s="76">
        <f t="shared" si="5"/>
        <v>1.763E-2</v>
      </c>
      <c r="N31" s="76">
        <f t="shared" si="5"/>
        <v>0</v>
      </c>
      <c r="O31" s="76">
        <f t="shared" si="5"/>
        <v>0</v>
      </c>
      <c r="P31" s="76">
        <f t="shared" si="5"/>
        <v>0</v>
      </c>
      <c r="Q31" s="76">
        <f>(IF(Q$27="%w/w SAR",((Q$28*10)*$B31),IF(Q$27="%w/w DM",(((Q$28*10)*($B$28/100))*$B31),IF(Q$27="kg/t SAR",(Q$28*$B31),IF(Q$27="kg/t DM",((Q$28*($B$28/100))*$B31),IF(Q$27="mg/kg SAR",((Q$28*0.001)*$B31),IF(Q$27="mg/kg DM",(((Q$28*0.001)*($B$28/100))*$B31),0)))))))*2.5</f>
        <v>46.977499999999999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31</v>
      </c>
      <c r="B32" s="15">
        <v>43</v>
      </c>
      <c r="C32" s="76">
        <f t="shared" ref="C32:C50" si="6">IF(C$27="%w/w SAR",((C$28*10)*$B32),IF(C$27="%w/w DM",(((C$28*10)*($B$28/100))*$B32),IF(C$27="kg/t SAR",(C$28*$B32),IF(C$27="kg/t DM",((C$28*($B$28/100))*$B32),IF(C$27="mg/kg SAR",((C$28*0.001)*$B32),IF(C$27="mg/kg DM",(((C$28*0.001)*($B$28/100))*$B32),0))))))</f>
        <v>249.4</v>
      </c>
      <c r="D32" s="76">
        <f t="shared" ref="D32:D50" si="7">(IF(D$27="%w/w SAR",((D$28*10)*$B32),IF(D$27="%w/w DM",(((D$28*10)*($B$28/100))*$B32),IF(D$27="kg/t SAR",(D$28*$B32),IF(D$27="kg/t DM",((D$28*($B$28/100))*$B32),IF(D$27="mg/kg SAR",((D$28*0.001)*$B32),IF(D$27="mg/kg DM",(((D$28*0.001)*($B$28/100))*$B32),"0")))))))*2.291</f>
        <v>47.089214000000005</v>
      </c>
      <c r="E32" s="76">
        <f t="shared" ref="E32:E50" si="8">(IF(E$27="%w/w SAR",((E$28*10)*$B32),IF(E$27="%w/w DM",(((E$28*10)*($B$28/100))*$B32),IF(E$27="kg/t SAR",(E$28*$B32),IF(E$27="kg/t DM",((E$28*($B$28/100))*$B32),IF(E$27="mg/kg SAR",((E$28*0.001)*$B32),IF(E$27="mg/kg DM",(((E$28*0.001)*($B$28/100))*$B32),"0")))))))*1.205</f>
        <v>101.71284500000002</v>
      </c>
      <c r="F32" s="76">
        <f t="shared" ref="F32:F50" si="9">(IF(F$27="%w/w SAR",((F$28*10)*$B32),IF(F$27="%w/w DM",(((F$28*10)*($B$28/100))*$B32),IF(F$27="kg/t SAR",(F$28*$B32),IF(F$27="kg/t DM",((F$28*($B$28/100))*$B32),IF(F$27="mg/kg SAR",((F$28*0.001)*$B32),IF(F$27="mg/kg DM",(((F$28*0.001)*($B$28/100))*$B32),"0")))))))*1.658</f>
        <v>4.099405</v>
      </c>
      <c r="G32" s="76">
        <f t="shared" si="5"/>
        <v>5.1599999999999993E-2</v>
      </c>
      <c r="H32" s="76">
        <f t="shared" si="5"/>
        <v>0.34185000000000004</v>
      </c>
      <c r="I32" s="76">
        <f t="shared" si="5"/>
        <v>2.1500000000000002E-2</v>
      </c>
      <c r="J32" s="76">
        <f t="shared" si="5"/>
        <v>8.6000000000000009E-4</v>
      </c>
      <c r="K32" s="76">
        <f t="shared" si="5"/>
        <v>2.15E-3</v>
      </c>
      <c r="L32" s="76">
        <f t="shared" si="5"/>
        <v>1.4620000000000001E-2</v>
      </c>
      <c r="M32" s="76">
        <f t="shared" si="5"/>
        <v>1.763E-2</v>
      </c>
      <c r="N32" s="76">
        <f t="shared" si="5"/>
        <v>0</v>
      </c>
      <c r="O32" s="76">
        <f t="shared" si="5"/>
        <v>0</v>
      </c>
      <c r="P32" s="76">
        <f t="shared" si="5"/>
        <v>0</v>
      </c>
      <c r="Q32" s="76">
        <f t="shared" ref="Q32:Q50" si="10">(IF(Q$27="%w/w SAR",((Q$28*10)*$B32),IF(Q$27="%w/w DM",(((Q$28*10)*($B$28/100))*$B32),IF(Q$27="kg/t SAR",(Q$28*$B32),IF(Q$27="kg/t DM",((Q$28*($B$28/100))*$B32),IF(Q$27="mg/kg SAR",((Q$28*0.001)*$B32),IF(Q$27="mg/kg DM",(((Q$28*0.001)*($B$28/100))*$B32),0)))))))*2.5</f>
        <v>46.977499999999999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33</v>
      </c>
      <c r="B33" s="15">
        <v>43</v>
      </c>
      <c r="C33" s="76">
        <f t="shared" si="6"/>
        <v>249.4</v>
      </c>
      <c r="D33" s="76">
        <f t="shared" si="7"/>
        <v>47.089214000000005</v>
      </c>
      <c r="E33" s="76">
        <f t="shared" si="8"/>
        <v>101.71284500000002</v>
      </c>
      <c r="F33" s="76">
        <f t="shared" si="9"/>
        <v>4.099405</v>
      </c>
      <c r="G33" s="76">
        <f t="shared" si="5"/>
        <v>5.1599999999999993E-2</v>
      </c>
      <c r="H33" s="76">
        <f t="shared" si="5"/>
        <v>0.34185000000000004</v>
      </c>
      <c r="I33" s="76">
        <f t="shared" si="5"/>
        <v>2.1500000000000002E-2</v>
      </c>
      <c r="J33" s="76">
        <f t="shared" si="5"/>
        <v>8.6000000000000009E-4</v>
      </c>
      <c r="K33" s="76">
        <f t="shared" si="5"/>
        <v>2.15E-3</v>
      </c>
      <c r="L33" s="76">
        <f t="shared" si="5"/>
        <v>1.4620000000000001E-2</v>
      </c>
      <c r="M33" s="76">
        <f t="shared" si="5"/>
        <v>1.763E-2</v>
      </c>
      <c r="N33" s="76">
        <f t="shared" si="5"/>
        <v>0</v>
      </c>
      <c r="O33" s="76">
        <f t="shared" si="5"/>
        <v>0</v>
      </c>
      <c r="P33" s="76">
        <f t="shared" si="5"/>
        <v>0</v>
      </c>
      <c r="Q33" s="76">
        <f t="shared" si="10"/>
        <v>46.977499999999999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34</v>
      </c>
      <c r="B34" s="15">
        <v>43</v>
      </c>
      <c r="C34" s="76">
        <f t="shared" si="6"/>
        <v>249.4</v>
      </c>
      <c r="D34" s="76">
        <f t="shared" si="7"/>
        <v>47.089214000000005</v>
      </c>
      <c r="E34" s="76">
        <f t="shared" si="8"/>
        <v>101.71284500000002</v>
      </c>
      <c r="F34" s="76">
        <f t="shared" si="9"/>
        <v>4.099405</v>
      </c>
      <c r="G34" s="76">
        <f t="shared" si="5"/>
        <v>5.1599999999999993E-2</v>
      </c>
      <c r="H34" s="76">
        <f t="shared" si="5"/>
        <v>0.34185000000000004</v>
      </c>
      <c r="I34" s="76">
        <f t="shared" si="5"/>
        <v>2.1500000000000002E-2</v>
      </c>
      <c r="J34" s="76">
        <f t="shared" si="5"/>
        <v>8.6000000000000009E-4</v>
      </c>
      <c r="K34" s="76">
        <f t="shared" si="5"/>
        <v>2.15E-3</v>
      </c>
      <c r="L34" s="76">
        <f t="shared" si="5"/>
        <v>1.4620000000000001E-2</v>
      </c>
      <c r="M34" s="76">
        <f t="shared" si="5"/>
        <v>1.763E-2</v>
      </c>
      <c r="N34" s="76">
        <f t="shared" si="5"/>
        <v>0</v>
      </c>
      <c r="O34" s="76">
        <f t="shared" si="5"/>
        <v>0</v>
      </c>
      <c r="P34" s="76">
        <f t="shared" si="5"/>
        <v>0</v>
      </c>
      <c r="Q34" s="76">
        <f t="shared" si="10"/>
        <v>46.977499999999999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35</v>
      </c>
      <c r="B35" s="15">
        <v>43</v>
      </c>
      <c r="C35" s="76">
        <f t="shared" si="6"/>
        <v>249.4</v>
      </c>
      <c r="D35" s="76">
        <f t="shared" si="7"/>
        <v>47.089214000000005</v>
      </c>
      <c r="E35" s="76">
        <f t="shared" si="8"/>
        <v>101.71284500000002</v>
      </c>
      <c r="F35" s="76">
        <f t="shared" si="9"/>
        <v>4.099405</v>
      </c>
      <c r="G35" s="76">
        <f t="shared" si="5"/>
        <v>5.1599999999999993E-2</v>
      </c>
      <c r="H35" s="76">
        <f t="shared" si="5"/>
        <v>0.34185000000000004</v>
      </c>
      <c r="I35" s="76">
        <f t="shared" si="5"/>
        <v>2.1500000000000002E-2</v>
      </c>
      <c r="J35" s="76">
        <f t="shared" si="5"/>
        <v>8.6000000000000009E-4</v>
      </c>
      <c r="K35" s="76">
        <f t="shared" si="5"/>
        <v>2.15E-3</v>
      </c>
      <c r="L35" s="76">
        <f t="shared" si="5"/>
        <v>1.4620000000000001E-2</v>
      </c>
      <c r="M35" s="76">
        <f t="shared" si="5"/>
        <v>1.763E-2</v>
      </c>
      <c r="N35" s="76">
        <f t="shared" si="5"/>
        <v>0</v>
      </c>
      <c r="O35" s="76">
        <f t="shared" si="5"/>
        <v>0</v>
      </c>
      <c r="P35" s="76">
        <f t="shared" si="5"/>
        <v>0</v>
      </c>
      <c r="Q35" s="76">
        <f t="shared" si="10"/>
        <v>46.977499999999999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36</v>
      </c>
      <c r="B36" s="15">
        <v>43</v>
      </c>
      <c r="C36" s="76">
        <f t="shared" si="6"/>
        <v>249.4</v>
      </c>
      <c r="D36" s="76">
        <f t="shared" si="7"/>
        <v>47.089214000000005</v>
      </c>
      <c r="E36" s="76">
        <f t="shared" si="8"/>
        <v>101.71284500000002</v>
      </c>
      <c r="F36" s="76">
        <f t="shared" si="9"/>
        <v>4.099405</v>
      </c>
      <c r="G36" s="76">
        <f t="shared" si="5"/>
        <v>5.1599999999999993E-2</v>
      </c>
      <c r="H36" s="76">
        <f t="shared" si="5"/>
        <v>0.34185000000000004</v>
      </c>
      <c r="I36" s="76">
        <f t="shared" si="5"/>
        <v>2.1500000000000002E-2</v>
      </c>
      <c r="J36" s="76">
        <f t="shared" si="5"/>
        <v>8.6000000000000009E-4</v>
      </c>
      <c r="K36" s="76">
        <f t="shared" si="5"/>
        <v>2.15E-3</v>
      </c>
      <c r="L36" s="76">
        <f t="shared" si="5"/>
        <v>1.4620000000000001E-2</v>
      </c>
      <c r="M36" s="76">
        <f t="shared" si="5"/>
        <v>1.763E-2</v>
      </c>
      <c r="N36" s="76">
        <f t="shared" si="5"/>
        <v>0</v>
      </c>
      <c r="O36" s="76">
        <f t="shared" si="5"/>
        <v>0</v>
      </c>
      <c r="P36" s="76">
        <f t="shared" si="5"/>
        <v>0</v>
      </c>
      <c r="Q36" s="76">
        <f t="shared" si="10"/>
        <v>46.977499999999999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37</v>
      </c>
      <c r="B37" s="15">
        <v>43</v>
      </c>
      <c r="C37" s="76">
        <f t="shared" si="6"/>
        <v>249.4</v>
      </c>
      <c r="D37" s="76">
        <f t="shared" si="7"/>
        <v>47.089214000000005</v>
      </c>
      <c r="E37" s="76">
        <f t="shared" si="8"/>
        <v>101.71284500000002</v>
      </c>
      <c r="F37" s="76">
        <f t="shared" si="9"/>
        <v>4.099405</v>
      </c>
      <c r="G37" s="76">
        <f t="shared" si="5"/>
        <v>5.1599999999999993E-2</v>
      </c>
      <c r="H37" s="76">
        <f t="shared" si="5"/>
        <v>0.34185000000000004</v>
      </c>
      <c r="I37" s="76">
        <f t="shared" si="5"/>
        <v>2.1500000000000002E-2</v>
      </c>
      <c r="J37" s="76">
        <f t="shared" si="5"/>
        <v>8.6000000000000009E-4</v>
      </c>
      <c r="K37" s="76">
        <f t="shared" si="5"/>
        <v>2.15E-3</v>
      </c>
      <c r="L37" s="76">
        <f t="shared" si="5"/>
        <v>1.4620000000000001E-2</v>
      </c>
      <c r="M37" s="76">
        <f t="shared" si="5"/>
        <v>1.763E-2</v>
      </c>
      <c r="N37" s="76">
        <f t="shared" si="5"/>
        <v>0</v>
      </c>
      <c r="O37" s="76">
        <f t="shared" si="5"/>
        <v>0</v>
      </c>
      <c r="P37" s="76">
        <f t="shared" si="5"/>
        <v>0</v>
      </c>
      <c r="Q37" s="76">
        <f t="shared" si="10"/>
        <v>46.977499999999999</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38</v>
      </c>
      <c r="B38" s="15">
        <v>43</v>
      </c>
      <c r="C38" s="76">
        <f t="shared" si="6"/>
        <v>249.4</v>
      </c>
      <c r="D38" s="76">
        <f t="shared" si="7"/>
        <v>47.089214000000005</v>
      </c>
      <c r="E38" s="76">
        <f t="shared" si="8"/>
        <v>101.71284500000002</v>
      </c>
      <c r="F38" s="76">
        <f t="shared" si="9"/>
        <v>4.099405</v>
      </c>
      <c r="G38" s="76">
        <f t="shared" si="5"/>
        <v>5.1599999999999993E-2</v>
      </c>
      <c r="H38" s="76">
        <f t="shared" si="5"/>
        <v>0.34185000000000004</v>
      </c>
      <c r="I38" s="76">
        <f t="shared" si="5"/>
        <v>2.1500000000000002E-2</v>
      </c>
      <c r="J38" s="76">
        <f t="shared" si="5"/>
        <v>8.6000000000000009E-4</v>
      </c>
      <c r="K38" s="76">
        <f t="shared" si="5"/>
        <v>2.15E-3</v>
      </c>
      <c r="L38" s="76">
        <f t="shared" si="5"/>
        <v>1.4620000000000001E-2</v>
      </c>
      <c r="M38" s="76">
        <f t="shared" si="5"/>
        <v>1.763E-2</v>
      </c>
      <c r="N38" s="76">
        <f t="shared" si="5"/>
        <v>0</v>
      </c>
      <c r="O38" s="76">
        <f t="shared" si="5"/>
        <v>0</v>
      </c>
      <c r="P38" s="76">
        <f t="shared" si="5"/>
        <v>0</v>
      </c>
      <c r="Q38" s="76">
        <f t="shared" si="10"/>
        <v>46.977499999999999</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132</v>
      </c>
      <c r="B59" s="75">
        <f>VLOOKUP(C$14,Table2456[],5,FALSE)</f>
        <v>6.2</v>
      </c>
      <c r="C59" s="75">
        <f>VLOOKUP(D$14,Table2456[],5,FALSE)</f>
        <v>6.2</v>
      </c>
      <c r="D59" s="75">
        <f>VLOOKUP(E$14,Table2456[],5,FALSE)</f>
        <v>6.2</v>
      </c>
      <c r="E59" s="75">
        <f>VLOOKUP(F$14,Table2456[],5,FALSE)</f>
        <v>6.2</v>
      </c>
      <c r="F59" s="75">
        <f>VLOOKUP(G$14,Table2456[],5,FALSE)</f>
        <v>6.2</v>
      </c>
      <c r="G59" s="75">
        <f>VLOOKUP(H$14,Table2456[],5,FALSE)</f>
        <v>6.2</v>
      </c>
      <c r="H59" s="75">
        <f>VLOOKUP(I$14,Table2456[],5,FALSE)</f>
        <v>6.2</v>
      </c>
      <c r="I59" s="75">
        <f>VLOOKUP(J$14,Table2456[],5,FALSE)</f>
        <v>6.2</v>
      </c>
      <c r="J59" s="75" t="e">
        <f>VLOOKUP(K$14,Table2456[],5,FALSE)</f>
        <v>#N/A</v>
      </c>
      <c r="K59" s="75" t="e">
        <f>VLOOKUP(L$14,Table2456[],5,FALSE)</f>
        <v>#N/A</v>
      </c>
      <c r="L59" s="75" t="e">
        <f>VLOOKUP(M$14,Table2456[],5,FALSE)</f>
        <v>#N/A</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5.7</v>
      </c>
      <c r="C60" s="75">
        <f t="shared" ref="C60:U60" si="14">D10</f>
        <v>5.7</v>
      </c>
      <c r="D60" s="75">
        <f t="shared" si="14"/>
        <v>5.7</v>
      </c>
      <c r="E60" s="75">
        <f t="shared" si="14"/>
        <v>5.6</v>
      </c>
      <c r="F60" s="75">
        <f t="shared" si="14"/>
        <v>6.1</v>
      </c>
      <c r="G60" s="75">
        <f t="shared" si="14"/>
        <v>5.6</v>
      </c>
      <c r="H60" s="75">
        <f t="shared" si="14"/>
        <v>5.7</v>
      </c>
      <c r="I60" s="75">
        <f t="shared" si="14"/>
        <v>5.7</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43</v>
      </c>
      <c r="C62" s="76">
        <f>B32</f>
        <v>43</v>
      </c>
      <c r="D62" s="76">
        <f>B33</f>
        <v>43</v>
      </c>
      <c r="E62" s="76">
        <f>B34</f>
        <v>43</v>
      </c>
      <c r="F62" s="76">
        <f>B35</f>
        <v>43</v>
      </c>
      <c r="G62" s="76">
        <f>B36</f>
        <v>43</v>
      </c>
      <c r="H62" s="76">
        <f>B37</f>
        <v>43</v>
      </c>
      <c r="I62" s="76">
        <f>B38</f>
        <v>43</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3</v>
      </c>
      <c r="D64" s="76">
        <f t="shared" si="17"/>
        <v>3</v>
      </c>
      <c r="E64" s="76">
        <f t="shared" si="17"/>
        <v>3.6000000000000032</v>
      </c>
      <c r="F64" s="76">
        <f t="shared" si="17"/>
        <v>0.6000000000000032</v>
      </c>
      <c r="G64" s="76">
        <f t="shared" si="17"/>
        <v>3.6000000000000032</v>
      </c>
      <c r="H64" s="76">
        <f t="shared" si="17"/>
        <v>3</v>
      </c>
      <c r="I64" s="76">
        <f t="shared" si="17"/>
        <v>3</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-3</v>
      </c>
      <c r="D65" s="76">
        <f t="shared" si="18"/>
        <v>-3</v>
      </c>
      <c r="E65" s="76">
        <f t="shared" si="18"/>
        <v>-3.6000000000000032</v>
      </c>
      <c r="F65" s="76">
        <f t="shared" si="18"/>
        <v>-0.6000000000000032</v>
      </c>
      <c r="G65" s="76">
        <f t="shared" si="18"/>
        <v>-3.6000000000000032</v>
      </c>
      <c r="H65" s="76">
        <f t="shared" si="18"/>
        <v>-3</v>
      </c>
      <c r="I65" s="76">
        <f t="shared" si="18"/>
        <v>-3</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P42" sqref="P4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Bontgoch!B29</f>
        <v>Application Rate</v>
      </c>
      <c r="C1" s="37" t="str">
        <f>Bontgoch!C29</f>
        <v>Nitrogen Addition</v>
      </c>
      <c r="D1" s="37" t="str">
        <f>Bontgoch!D29</f>
        <v>Phosphate Addition</v>
      </c>
      <c r="E1" s="37" t="str">
        <f>Bontgoch!E29</f>
        <v>Potash  Addition</v>
      </c>
      <c r="F1" s="37" t="str">
        <f>Bontgoch!F29</f>
        <v>Mg Oxide Addition</v>
      </c>
      <c r="G1" s="37" t="str">
        <f>Bontgoch!G29</f>
        <v>Copper Addition</v>
      </c>
      <c r="H1" s="37" t="str">
        <f>Bontgoch!H29</f>
        <v>Zinc Addition</v>
      </c>
      <c r="I1" s="37" t="str">
        <f>Bontgoch!I29</f>
        <v>Lead Addition</v>
      </c>
      <c r="J1" s="37" t="str">
        <f>Bontgoch!J29</f>
        <v>Cadmium Addition</v>
      </c>
      <c r="K1" s="37" t="str">
        <f>Bontgoch!K29</f>
        <v>Mercury Addition</v>
      </c>
      <c r="L1" s="37" t="str">
        <f>Bontgoch!L29</f>
        <v>Nickel Addition</v>
      </c>
      <c r="M1" s="37" t="str">
        <f>Bontgoch!M29</f>
        <v>Chromium Addition</v>
      </c>
      <c r="N1" s="37" t="str">
        <f>Bontgoch!N29</f>
        <v>Aluminium Addition</v>
      </c>
      <c r="O1" s="37" t="str">
        <f>Bontgoch!O29</f>
        <v>Iron Addition</v>
      </c>
      <c r="P1" s="37" t="str">
        <f>Bontgoch!P29</f>
        <v xml:space="preserve">Sodium Addition                 </v>
      </c>
      <c r="Q1" s="37" t="str">
        <f>Bontgoch!Q29</f>
        <v>SO3  Addition                             kg/ha</v>
      </c>
      <c r="R1" s="37" t="str">
        <f>Bontgoch!R29</f>
        <v xml:space="preserve">Selenium Addition </v>
      </c>
      <c r="S1" s="37" t="str">
        <f>Bontgoch!S29</f>
        <v xml:space="preserve">Arsenic  Addition  </v>
      </c>
      <c r="T1" s="37" t="str">
        <f>Bontgoch!T29</f>
        <v xml:space="preserve">Molybdenum Addition  </v>
      </c>
      <c r="U1" s="37" t="str">
        <f>Bontgoch!U29</f>
        <v xml:space="preserve">Fluoride Addition </v>
      </c>
    </row>
    <row r="2" spans="1:21" ht="25" x14ac:dyDescent="0.25">
      <c r="A2" s="145"/>
      <c r="B2" s="37" t="str">
        <f>Bontgoch!B30</f>
        <v>tonnes/ha</v>
      </c>
      <c r="C2" s="37" t="str">
        <f>Bontgoch!C30</f>
        <v>kg/ha</v>
      </c>
      <c r="D2" s="37" t="str">
        <f>Bontgoch!D30</f>
        <v>P2O5 
kg/ha</v>
      </c>
      <c r="E2" s="37" t="str">
        <f>Bontgoch!E30</f>
        <v>K2O 
kg/ha</v>
      </c>
      <c r="F2" s="37" t="str">
        <f>Bontgoch!F30</f>
        <v>MgO 
kg/ha</v>
      </c>
      <c r="G2" s="37" t="str">
        <f>Bontgoch!G30</f>
        <v>kg/ha</v>
      </c>
      <c r="H2" s="37" t="str">
        <f>Bontgoch!H30</f>
        <v>kg/ha</v>
      </c>
      <c r="I2" s="37" t="str">
        <f>Bontgoch!I30</f>
        <v>kg/ha</v>
      </c>
      <c r="J2" s="37" t="str">
        <f>Bontgoch!J30</f>
        <v>kg/ha</v>
      </c>
      <c r="K2" s="37" t="str">
        <f>Bontgoch!K30</f>
        <v>kg/ha</v>
      </c>
      <c r="L2" s="37" t="str">
        <f>Bontgoch!L30</f>
        <v>kg/ha</v>
      </c>
      <c r="M2" s="37" t="str">
        <f>Bontgoch!M30</f>
        <v>kg/ha</v>
      </c>
      <c r="N2" s="37" t="str">
        <f>Bontgoch!N30</f>
        <v>kg/ha</v>
      </c>
      <c r="O2" s="37" t="str">
        <f>Bontgoch!O30</f>
        <v>kg/ha</v>
      </c>
      <c r="P2" s="37" t="str">
        <f>Bontgoch!P30</f>
        <v>kg/ha</v>
      </c>
      <c r="Q2" s="37" t="str">
        <f>Bontgoch!Q30</f>
        <v>kg/ha</v>
      </c>
      <c r="R2" s="37" t="str">
        <f>Bontgoch!R30</f>
        <v>kg/ha</v>
      </c>
      <c r="S2" s="37" t="str">
        <f>Bontgoch!S30</f>
        <v>kg/ha</v>
      </c>
      <c r="T2" s="37" t="str">
        <f>Bontgoch!T30</f>
        <v>kg/ha</v>
      </c>
      <c r="U2" s="37" t="str">
        <f>Bontgoch!U30</f>
        <v>kg/ha</v>
      </c>
    </row>
    <row r="3" spans="1:21" x14ac:dyDescent="0.25">
      <c r="A3" s="35">
        <v>1</v>
      </c>
      <c r="B3" s="32">
        <f>Bontgoch!B31</f>
        <v>250</v>
      </c>
      <c r="C3" s="32">
        <f>Bontgoch!C31</f>
        <v>53.152499999999996</v>
      </c>
      <c r="D3" s="32">
        <f>Bontgoch!D31</f>
        <v>124.22088375000001</v>
      </c>
      <c r="E3" s="32">
        <f>Bontgoch!E31</f>
        <v>1.0989600000000002</v>
      </c>
      <c r="F3" s="32">
        <f>Bontgoch!F31</f>
        <v>15.593489999999997</v>
      </c>
      <c r="G3" s="32">
        <f>Bontgoch!G31</f>
        <v>5.5574999999999999E-2</v>
      </c>
      <c r="H3" s="32">
        <f>Bontgoch!H31</f>
        <v>4.4958749999999998</v>
      </c>
      <c r="I3" s="32">
        <f>Bontgoch!I31</f>
        <v>0.26291250000000005</v>
      </c>
      <c r="J3" s="32">
        <f>Bontgoch!J31</f>
        <v>1.7456250000000003E-2</v>
      </c>
      <c r="K3" s="32">
        <f>Bontgoch!K31</f>
        <v>5.0587500000000007E-3</v>
      </c>
      <c r="L3" s="32">
        <f>Bontgoch!L31</f>
        <v>0.28001249999999994</v>
      </c>
      <c r="M3" s="32">
        <f>Bontgoch!M31</f>
        <v>8.5500000000000007E-2</v>
      </c>
      <c r="N3" s="32">
        <f>Bontgoch!N31</f>
        <v>43.177500000000009</v>
      </c>
      <c r="O3" s="32">
        <f>Bontgoch!O31</f>
        <v>2408.25</v>
      </c>
      <c r="P3" s="32">
        <f>Bontgoch!P31</f>
        <v>0</v>
      </c>
      <c r="Q3" s="32">
        <f>Bontgoch!Q31</f>
        <v>44.709375000000009</v>
      </c>
      <c r="R3" s="32">
        <f>Bontgoch!R31</f>
        <v>0</v>
      </c>
      <c r="S3" s="32">
        <f>Bontgoch!S31</f>
        <v>0.11685</v>
      </c>
      <c r="T3" s="32">
        <f>Bontgoch!T31</f>
        <v>0</v>
      </c>
      <c r="U3" s="32">
        <f>Bontgoch!U31</f>
        <v>0</v>
      </c>
    </row>
    <row r="4" spans="1:21" x14ac:dyDescent="0.25">
      <c r="A4" s="35">
        <v>2</v>
      </c>
      <c r="B4" s="32">
        <f>'Bryngwyn liquid'!B31</f>
        <v>250</v>
      </c>
      <c r="C4" s="32">
        <f>'Bryngwyn liquid'!C31</f>
        <v>50</v>
      </c>
      <c r="D4" s="32">
        <f>'Bryngwyn liquid'!D31</f>
        <v>20.504449999999999</v>
      </c>
      <c r="E4" s="32">
        <f>'Bryngwyn liquid'!E31</f>
        <v>3.0125000000000002</v>
      </c>
      <c r="F4" s="32">
        <f>'Bryngwyn liquid'!F31</f>
        <v>4.1449999999999996</v>
      </c>
      <c r="G4" s="32">
        <f>'Bryngwyn liquid'!G31</f>
        <v>0.185</v>
      </c>
      <c r="H4" s="32">
        <f>'Bryngwyn liquid'!H31</f>
        <v>0.84250000000000003</v>
      </c>
      <c r="I4" s="32">
        <f>'Bryngwyn liquid'!I31</f>
        <v>0.125</v>
      </c>
      <c r="J4" s="32">
        <f>'Bryngwyn liquid'!J31</f>
        <v>4.0000000000000001E-3</v>
      </c>
      <c r="K4" s="32">
        <f>'Bryngwyn liquid'!K31</f>
        <v>1.2500000000000001E-2</v>
      </c>
      <c r="L4" s="32">
        <f>'Bryngwyn liquid'!L31</f>
        <v>0.193</v>
      </c>
      <c r="M4" s="32">
        <f>'Bryngwyn liquid'!M31</f>
        <v>0.22875000000000001</v>
      </c>
      <c r="N4" s="32">
        <f>'Bryngwyn liquid'!N31</f>
        <v>11.75</v>
      </c>
      <c r="O4" s="32">
        <f>'Bryngwyn liquid'!O31</f>
        <v>2670.2500000000005</v>
      </c>
      <c r="P4" s="32">
        <f>'Bryngwyn liquid'!P31</f>
        <v>0</v>
      </c>
      <c r="Q4" s="32">
        <f>'Bryngwyn liquid'!Q31</f>
        <v>51.625</v>
      </c>
      <c r="R4" s="32">
        <f>'Bryngwyn liquid'!R31</f>
        <v>0</v>
      </c>
      <c r="S4" s="32">
        <f>'Bryngwyn liquid'!S31</f>
        <v>0.125</v>
      </c>
      <c r="T4" s="32">
        <f>'Bryngwyn liquid'!T31</f>
        <v>0</v>
      </c>
      <c r="U4" s="32">
        <f>'Bryngwyn liquid'!U31</f>
        <v>0</v>
      </c>
    </row>
    <row r="5" spans="1:21" x14ac:dyDescent="0.25">
      <c r="A5" s="35">
        <v>3</v>
      </c>
      <c r="B5" s="32">
        <f>'Cefn Dryscoed'!B31</f>
        <v>0</v>
      </c>
      <c r="C5" s="32">
        <f>'Cefn Dryscoed'!C31</f>
        <v>0</v>
      </c>
      <c r="D5" s="32">
        <f>'Cefn Dryscoed'!D31</f>
        <v>0</v>
      </c>
      <c r="E5" s="32">
        <f>'Cefn Dryscoed'!E31</f>
        <v>0</v>
      </c>
      <c r="F5" s="32">
        <f>'Cefn Dryscoed'!F31</f>
        <v>0</v>
      </c>
      <c r="G5" s="32">
        <f>'Cefn Dryscoed'!G31</f>
        <v>0</v>
      </c>
      <c r="H5" s="32">
        <f>'Cefn Dryscoed'!H31</f>
        <v>0</v>
      </c>
      <c r="I5" s="32">
        <f>'Cefn Dryscoed'!I31</f>
        <v>0</v>
      </c>
      <c r="J5" s="32">
        <f>'Cefn Dryscoed'!J31</f>
        <v>0</v>
      </c>
      <c r="K5" s="32">
        <f>'Cefn Dryscoed'!K31</f>
        <v>0</v>
      </c>
      <c r="L5" s="32">
        <f>'Cefn Dryscoed'!L31</f>
        <v>0</v>
      </c>
      <c r="M5" s="32">
        <f>'Cefn Dryscoed'!M31</f>
        <v>0</v>
      </c>
      <c r="N5" s="32">
        <f>'Cefn Dryscoed'!N31</f>
        <v>0</v>
      </c>
      <c r="O5" s="32">
        <f>'Cefn Dryscoed'!O31</f>
        <v>0</v>
      </c>
      <c r="P5" s="32">
        <f>'Cefn Dryscoed'!P31</f>
        <v>0</v>
      </c>
      <c r="Q5" s="32">
        <f>'Cefn Dryscoed'!Q31</f>
        <v>0</v>
      </c>
      <c r="R5" s="32">
        <f>'Cefn Dryscoed'!R31</f>
        <v>0</v>
      </c>
      <c r="S5" s="32">
        <f>'Cefn Dryscoed'!S31</f>
        <v>0</v>
      </c>
      <c r="T5" s="32">
        <f>'Cefn Dryscoed'!T31</f>
        <v>0</v>
      </c>
      <c r="U5" s="32">
        <f>'Cefn Dryscoed'!U31</f>
        <v>0</v>
      </c>
    </row>
    <row r="6" spans="1:21" x14ac:dyDescent="0.25">
      <c r="A6" s="35">
        <v>4</v>
      </c>
      <c r="B6" s="32">
        <f>Crai!B31</f>
        <v>250</v>
      </c>
      <c r="C6" s="32">
        <f>Crai!C31</f>
        <v>60.434000000000005</v>
      </c>
      <c r="D6" s="32">
        <f>Crai!D31</f>
        <v>14.4440677</v>
      </c>
      <c r="E6" s="32">
        <f>Crai!E31</f>
        <v>0.70239450000000003</v>
      </c>
      <c r="F6" s="32">
        <f>Crai!F31</f>
        <v>4.8877839999999999</v>
      </c>
      <c r="G6" s="32">
        <f>Crai!G31</f>
        <v>0.13467000000000004</v>
      </c>
      <c r="H6" s="32">
        <f>Crai!H31</f>
        <v>0.76380000000000003</v>
      </c>
      <c r="I6" s="32">
        <f>Crai!I31</f>
        <v>0.11256000000000002</v>
      </c>
      <c r="J6" s="32">
        <f>Crai!J31</f>
        <v>6.365E-3</v>
      </c>
      <c r="K6" s="32">
        <f>Crai!K31</f>
        <v>5.025E-3</v>
      </c>
      <c r="L6" s="32">
        <f>Crai!L31</f>
        <v>9.3800000000000008E-2</v>
      </c>
      <c r="M6" s="32">
        <f>Crai!M31</f>
        <v>7.9060000000000019E-2</v>
      </c>
      <c r="N6" s="32">
        <f>Crai!N31</f>
        <v>19.765000000000001</v>
      </c>
      <c r="O6" s="32">
        <f>Crai!O31</f>
        <v>2834.1000000000004</v>
      </c>
      <c r="P6" s="32">
        <f>Crai!P31</f>
        <v>0</v>
      </c>
      <c r="Q6" s="32">
        <f>Crai!Q31</f>
        <v>58.625000000000007</v>
      </c>
      <c r="R6" s="32">
        <f>Crai!R31</f>
        <v>0</v>
      </c>
      <c r="S6" s="32">
        <f>Crai!S31</f>
        <v>0.29547000000000001</v>
      </c>
      <c r="T6" s="32">
        <f>Crai!T31</f>
        <v>0</v>
      </c>
      <c r="U6" s="32">
        <f>Crai!U31</f>
        <v>0</v>
      </c>
    </row>
    <row r="7" spans="1:21" x14ac:dyDescent="0.25">
      <c r="A7" s="35">
        <v>5</v>
      </c>
      <c r="B7" s="32">
        <f>'Elan valley'!B31</f>
        <v>250</v>
      </c>
      <c r="C7" s="32">
        <f>'Elan valley'!C31</f>
        <v>69</v>
      </c>
      <c r="D7" s="32">
        <f>'Elan valley'!D31</f>
        <v>6.8867459999999996</v>
      </c>
      <c r="E7" s="32">
        <f>'Elan valley'!E31</f>
        <v>2.6461800000000002</v>
      </c>
      <c r="F7" s="32">
        <f>'Elan valley'!F31</f>
        <v>6.5258880000000001</v>
      </c>
      <c r="G7" s="32">
        <f>'Elan valley'!G31</f>
        <v>0.21899999999999997</v>
      </c>
      <c r="H7" s="32">
        <f>'Elan valley'!H31</f>
        <v>0.95399999999999996</v>
      </c>
      <c r="I7" s="32">
        <f>'Elan valley'!I31</f>
        <v>0.15600000000000003</v>
      </c>
      <c r="J7" s="32">
        <f>'Elan valley'!J31</f>
        <v>5.4000000000000012E-3</v>
      </c>
      <c r="K7" s="32">
        <f>'Elan valley'!K31</f>
        <v>5.0400000000000002E-3</v>
      </c>
      <c r="L7" s="32">
        <f>'Elan valley'!L31</f>
        <v>4.9800000000000004E-2</v>
      </c>
      <c r="M7" s="32">
        <f>'Elan valley'!M31</f>
        <v>5.3280000000000008E-2</v>
      </c>
      <c r="N7" s="32">
        <f>'Elan valley'!N31</f>
        <v>16.38</v>
      </c>
      <c r="O7" s="32">
        <f>'Elan valley'!O31</f>
        <v>2424</v>
      </c>
      <c r="P7" s="32">
        <f>'Elan valley'!P31</f>
        <v>0</v>
      </c>
      <c r="Q7" s="32">
        <f>'Elan valley'!Q31</f>
        <v>99.600000000000023</v>
      </c>
      <c r="R7" s="32">
        <f>'Elan valley'!R31</f>
        <v>0</v>
      </c>
      <c r="S7" s="32">
        <f>'Elan valley'!S31</f>
        <v>0.53580000000000005</v>
      </c>
      <c r="T7" s="32">
        <f>'Elan valley'!T31</f>
        <v>0</v>
      </c>
      <c r="U7" s="32">
        <f>'Elan valley'!U31</f>
        <v>0</v>
      </c>
    </row>
    <row r="8" spans="1:21" x14ac:dyDescent="0.25">
      <c r="A8" s="35">
        <v>6</v>
      </c>
      <c r="B8" s="32">
        <f>Llyswen!B31</f>
        <v>0</v>
      </c>
      <c r="C8" s="32">
        <f>Llyswen!C31</f>
        <v>0</v>
      </c>
      <c r="D8" s="32">
        <f>Llyswen!D31</f>
        <v>0</v>
      </c>
      <c r="E8" s="32">
        <f>Llyswen!E31</f>
        <v>0</v>
      </c>
      <c r="F8" s="32">
        <f>Llyswen!F31</f>
        <v>0</v>
      </c>
      <c r="G8" s="32">
        <f>Llyswen!G31</f>
        <v>0</v>
      </c>
      <c r="H8" s="32">
        <f>Llyswen!H31</f>
        <v>0</v>
      </c>
      <c r="I8" s="32">
        <f>Llyswen!I31</f>
        <v>0</v>
      </c>
      <c r="J8" s="32">
        <f>Llyswen!J31</f>
        <v>0</v>
      </c>
      <c r="K8" s="32">
        <f>Llyswen!K31</f>
        <v>0</v>
      </c>
      <c r="L8" s="32">
        <f>Llyswen!L31</f>
        <v>0</v>
      </c>
      <c r="M8" s="32">
        <f>Llyswen!M31</f>
        <v>0</v>
      </c>
      <c r="N8" s="32">
        <f>Llyswen!N31</f>
        <v>0</v>
      </c>
      <c r="O8" s="32">
        <f>Llyswen!O31</f>
        <v>0</v>
      </c>
      <c r="P8" s="32">
        <f>Llyswen!P31</f>
        <v>0</v>
      </c>
      <c r="Q8" s="32">
        <f>Llyswen!Q31</f>
        <v>0</v>
      </c>
      <c r="R8" s="32">
        <f>Llyswen!R31</f>
        <v>0</v>
      </c>
      <c r="S8" s="32">
        <f>Llyswen!S31</f>
        <v>0</v>
      </c>
      <c r="T8" s="32">
        <f>Llyswen!T31</f>
        <v>0</v>
      </c>
      <c r="U8" s="32">
        <f>Llyswen!U31</f>
        <v>0</v>
      </c>
    </row>
    <row r="9" spans="1:21" x14ac:dyDescent="0.25">
      <c r="A9" s="35">
        <v>7</v>
      </c>
      <c r="B9" s="32">
        <f>'Strata florida'!B31</f>
        <v>0</v>
      </c>
      <c r="C9" s="32">
        <f>'Strata florida'!C31</f>
        <v>0</v>
      </c>
      <c r="D9" s="32">
        <f>'Strata florida'!D31</f>
        <v>0</v>
      </c>
      <c r="E9" s="32">
        <f>'Strata florida'!E31</f>
        <v>0</v>
      </c>
      <c r="F9" s="32">
        <f>'Strata florida'!F31</f>
        <v>0</v>
      </c>
      <c r="G9" s="32">
        <f>'Strata florida'!G31</f>
        <v>0</v>
      </c>
      <c r="H9" s="32">
        <f>'Strata florida'!H31</f>
        <v>0</v>
      </c>
      <c r="I9" s="32">
        <f>'Strata florida'!I31</f>
        <v>0</v>
      </c>
      <c r="J9" s="32">
        <f>'Strata florida'!J31</f>
        <v>0</v>
      </c>
      <c r="K9" s="32">
        <f>'Strata florida'!K31</f>
        <v>0</v>
      </c>
      <c r="L9" s="32">
        <f>'Strata florida'!L31</f>
        <v>0</v>
      </c>
      <c r="M9" s="32">
        <f>'Strata florida'!M31</f>
        <v>0</v>
      </c>
      <c r="N9" s="32">
        <f>'Strata florida'!N31</f>
        <v>0</v>
      </c>
      <c r="O9" s="32">
        <f>'Strata florida'!O31</f>
        <v>0</v>
      </c>
      <c r="P9" s="32">
        <f>'Strata florida'!P31</f>
        <v>0</v>
      </c>
      <c r="Q9" s="32">
        <f>'Strata florida'!Q31</f>
        <v>0</v>
      </c>
      <c r="R9" s="32">
        <f>'Strata florida'!R31</f>
        <v>0</v>
      </c>
      <c r="S9" s="32">
        <f>'Strata florida'!S31</f>
        <v>0</v>
      </c>
      <c r="T9" s="32">
        <f>'Strata florida'!T31</f>
        <v>0</v>
      </c>
      <c r="U9" s="32">
        <f>'Strata florida'!U31</f>
        <v>0</v>
      </c>
    </row>
    <row r="10" spans="1:21" x14ac:dyDescent="0.25">
      <c r="A10" s="35">
        <v>8</v>
      </c>
      <c r="B10" s="32">
        <f>Talybont!B31</f>
        <v>0</v>
      </c>
      <c r="C10" s="32">
        <f>Talybont!C31</f>
        <v>0</v>
      </c>
      <c r="D10" s="32">
        <f>Talybont!D31</f>
        <v>0</v>
      </c>
      <c r="E10" s="32">
        <f>Talybont!E31</f>
        <v>0</v>
      </c>
      <c r="F10" s="32">
        <f>Talybont!F31</f>
        <v>0</v>
      </c>
      <c r="G10" s="32">
        <f>Talybont!G31</f>
        <v>0</v>
      </c>
      <c r="H10" s="32">
        <f>Talybont!H31</f>
        <v>0</v>
      </c>
      <c r="I10" s="32">
        <f>Talybont!I31</f>
        <v>0</v>
      </c>
      <c r="J10" s="32">
        <f>Talybont!J31</f>
        <v>0</v>
      </c>
      <c r="K10" s="32">
        <f>Talybont!K31</f>
        <v>0</v>
      </c>
      <c r="L10" s="32">
        <f>Talybont!L31</f>
        <v>0</v>
      </c>
      <c r="M10" s="32">
        <f>Talybont!M31</f>
        <v>0</v>
      </c>
      <c r="N10" s="32">
        <f>Talybont!N31</f>
        <v>0</v>
      </c>
      <c r="O10" s="32">
        <f>Talybont!O31</f>
        <v>0</v>
      </c>
      <c r="P10" s="32">
        <f>Talybont!P31</f>
        <v>0</v>
      </c>
      <c r="Q10" s="32">
        <f>Talybont!Q31</f>
        <v>0</v>
      </c>
      <c r="R10" s="32">
        <f>Talybont!R31</f>
        <v>0</v>
      </c>
      <c r="S10" s="32">
        <f>Talybont!S31</f>
        <v>0</v>
      </c>
      <c r="T10" s="32">
        <f>Talybont!T31</f>
        <v>0</v>
      </c>
      <c r="U10" s="32">
        <f>Talybont!U31</f>
        <v>0</v>
      </c>
    </row>
    <row r="11" spans="1:21" x14ac:dyDescent="0.25">
      <c r="A11" s="35">
        <v>9</v>
      </c>
      <c r="B11" s="32">
        <f>Whitbourne!B31</f>
        <v>250</v>
      </c>
      <c r="C11" s="32">
        <f>Whitbourne!C31</f>
        <v>131.66474999999997</v>
      </c>
      <c r="D11" s="32">
        <f>Whitbourne!D31</f>
        <v>84.266416500000005</v>
      </c>
      <c r="E11" s="32">
        <f>Whitbourne!E31</f>
        <v>15.100758749999997</v>
      </c>
      <c r="F11" s="32">
        <f>Whitbourne!F31</f>
        <v>67.459874999999982</v>
      </c>
      <c r="G11" s="32">
        <f>Whitbourne!G31</f>
        <v>0.16600499999999996</v>
      </c>
      <c r="H11" s="32">
        <f>Whitbourne!H31</f>
        <v>2.0180999999999996</v>
      </c>
      <c r="I11" s="32">
        <f>Whitbourne!I31</f>
        <v>0.3434025</v>
      </c>
      <c r="J11" s="32">
        <f>Whitbourne!J31</f>
        <v>5.5334999999999994E-3</v>
      </c>
      <c r="K11" s="32">
        <f>Whitbourne!K31</f>
        <v>5.0452499999999994E-3</v>
      </c>
      <c r="L11" s="32">
        <f>Whitbourne!L31</f>
        <v>0.30271500000000001</v>
      </c>
      <c r="M11" s="32">
        <f>Whitbourne!M31</f>
        <v>0.34014749999999988</v>
      </c>
      <c r="N11" s="32">
        <f>Whitbourne!N31</f>
        <v>88.210499999999982</v>
      </c>
      <c r="O11" s="32">
        <f>Whitbourne!O31</f>
        <v>6737.8499999999995</v>
      </c>
      <c r="P11" s="32">
        <f>Whitbourne!P31</f>
        <v>0</v>
      </c>
      <c r="Q11" s="32">
        <f>Whitbourne!Q31</f>
        <v>98.056874999999977</v>
      </c>
      <c r="R11" s="32">
        <f>Whitbourne!R31</f>
        <v>0</v>
      </c>
      <c r="S11" s="32">
        <f>Whitbourne!S31</f>
        <v>0.30271500000000001</v>
      </c>
      <c r="T11" s="32">
        <f>Whitbourne!T31</f>
        <v>0</v>
      </c>
      <c r="U11" s="32">
        <f>Whitbourne!U31</f>
        <v>0</v>
      </c>
    </row>
    <row r="12" spans="1:21" x14ac:dyDescent="0.25">
      <c r="A12" s="35">
        <v>10</v>
      </c>
      <c r="B12" s="32">
        <f>Andigestion!B31</f>
        <v>43</v>
      </c>
      <c r="C12" s="32">
        <f>Andigestion!C31</f>
        <v>249.4</v>
      </c>
      <c r="D12" s="32">
        <f>Andigestion!D31</f>
        <v>47.089214000000005</v>
      </c>
      <c r="E12" s="32">
        <f>Andigestion!E31</f>
        <v>101.71284500000002</v>
      </c>
      <c r="F12" s="32">
        <f>Andigestion!F31</f>
        <v>4.099405</v>
      </c>
      <c r="G12" s="32">
        <f>Andigestion!G31</f>
        <v>5.1599999999999993E-2</v>
      </c>
      <c r="H12" s="32">
        <f>Andigestion!H31</f>
        <v>0.34185000000000004</v>
      </c>
      <c r="I12" s="32">
        <f>Andigestion!I31</f>
        <v>2.1500000000000002E-2</v>
      </c>
      <c r="J12" s="32">
        <f>Andigestion!J31</f>
        <v>8.6000000000000009E-4</v>
      </c>
      <c r="K12" s="32">
        <f>Andigestion!K31</f>
        <v>2.15E-3</v>
      </c>
      <c r="L12" s="32">
        <f>Andigestion!L31</f>
        <v>1.4620000000000001E-2</v>
      </c>
      <c r="M12" s="32">
        <f>Andigestion!M31</f>
        <v>1.763E-2</v>
      </c>
      <c r="N12" s="32">
        <f>Andigestion!N31</f>
        <v>0</v>
      </c>
      <c r="O12" s="32">
        <f>Andigestion!O31</f>
        <v>0</v>
      </c>
      <c r="P12" s="32">
        <f>Andigestion!P31</f>
        <v>0</v>
      </c>
      <c r="Q12" s="32">
        <f>Andigestion!Q31</f>
        <v>46.977499999999999</v>
      </c>
      <c r="R12" s="32">
        <f>Andigestion!R31</f>
        <v>0</v>
      </c>
      <c r="S12" s="32">
        <f>Andigestion!S31</f>
        <v>0</v>
      </c>
      <c r="T12" s="32">
        <f>Andigestion!T31</f>
        <v>0</v>
      </c>
      <c r="U12" s="32">
        <f>Andigestion!U31</f>
        <v>0</v>
      </c>
    </row>
    <row r="13" spans="1:21" s="81" customFormat="1" ht="15.5" x14ac:dyDescent="0.35">
      <c r="A13" s="79" t="s">
        <v>85</v>
      </c>
      <c r="B13" s="80">
        <f>SUM(B3:B12)</f>
        <v>1293</v>
      </c>
      <c r="C13" s="80">
        <f t="shared" ref="C13:U13" si="0">SUM(C3:C12)</f>
        <v>613.65125</v>
      </c>
      <c r="D13" s="80">
        <f t="shared" si="0"/>
        <v>297.41177795000004</v>
      </c>
      <c r="E13" s="80">
        <f t="shared" si="0"/>
        <v>124.27363825</v>
      </c>
      <c r="F13" s="80">
        <f t="shared" si="0"/>
        <v>102.71144199999999</v>
      </c>
      <c r="G13" s="80">
        <f t="shared" si="0"/>
        <v>0.81184999999999996</v>
      </c>
      <c r="H13" s="80">
        <f t="shared" si="0"/>
        <v>9.416125000000001</v>
      </c>
      <c r="I13" s="80">
        <f t="shared" si="0"/>
        <v>1.0213750000000001</v>
      </c>
      <c r="J13" s="80">
        <f t="shared" si="0"/>
        <v>3.9614749999999997E-2</v>
      </c>
      <c r="K13" s="80">
        <f t="shared" si="0"/>
        <v>3.4818999999999996E-2</v>
      </c>
      <c r="L13" s="80">
        <f t="shared" si="0"/>
        <v>0.93394749999999982</v>
      </c>
      <c r="M13" s="80">
        <f t="shared" si="0"/>
        <v>0.8043674999999999</v>
      </c>
      <c r="N13" s="80">
        <f t="shared" si="0"/>
        <v>179.28299999999999</v>
      </c>
      <c r="O13" s="80">
        <f t="shared" si="0"/>
        <v>17074.45</v>
      </c>
      <c r="P13" s="80">
        <f t="shared" si="0"/>
        <v>0</v>
      </c>
      <c r="Q13" s="80">
        <f t="shared" si="0"/>
        <v>399.59375000000006</v>
      </c>
      <c r="R13" s="80">
        <f t="shared" si="0"/>
        <v>0</v>
      </c>
      <c r="S13" s="80">
        <f t="shared" si="0"/>
        <v>1.3758350000000001</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I30" sqref="I30"/>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Bontgoch!B29</f>
        <v>Application Rate</v>
      </c>
      <c r="D1" s="34" t="str">
        <f>Bontgoch!C29</f>
        <v>Nitrogen Addition</v>
      </c>
      <c r="E1" s="34" t="str">
        <f>Bontgoch!D29</f>
        <v>Phosphate Addition</v>
      </c>
      <c r="F1" s="34" t="str">
        <f>Bontgoch!E29</f>
        <v>Potash  Addition</v>
      </c>
      <c r="G1" s="34" t="str">
        <f>Bontgoch!F29</f>
        <v>Mg Oxide Addition</v>
      </c>
      <c r="H1" s="34" t="str">
        <f>Bontgoch!G29</f>
        <v>Copper Addition</v>
      </c>
      <c r="I1" s="34" t="str">
        <f>Bontgoch!H29</f>
        <v>Zinc Addition</v>
      </c>
      <c r="J1" s="34" t="str">
        <f>Bontgoch!I29</f>
        <v>Lead Addition</v>
      </c>
      <c r="K1" s="34" t="str">
        <f>Bontgoch!J29</f>
        <v>Cadmium Addition</v>
      </c>
      <c r="L1" s="34" t="str">
        <f>Bontgoch!K29</f>
        <v>Mercury Addition</v>
      </c>
      <c r="M1" s="34" t="str">
        <f>Bontgoch!L29</f>
        <v>Nickel Addition</v>
      </c>
      <c r="N1" s="34" t="str">
        <f>Bontgoch!M29</f>
        <v>Chromium Addition</v>
      </c>
      <c r="O1" s="34" t="str">
        <f>Bontgoch!N29</f>
        <v>Aluminium Addition</v>
      </c>
      <c r="P1" s="34" t="str">
        <f>Bontgoch!O29</f>
        <v>Iron Addition</v>
      </c>
      <c r="Q1" s="34" t="str">
        <f>Bontgoch!P29</f>
        <v xml:space="preserve">Sodium Addition                 </v>
      </c>
      <c r="R1" s="34" t="str">
        <f>Bontgoch!Q29</f>
        <v>SO3  Addition                             kg/ha</v>
      </c>
      <c r="S1" s="34" t="str">
        <f>Bontgoch!R29</f>
        <v xml:space="preserve">Selenium Addition </v>
      </c>
      <c r="T1" s="34" t="str">
        <f>Bontgoch!S29</f>
        <v xml:space="preserve">Arsenic  Addition  </v>
      </c>
      <c r="U1" s="34" t="str">
        <f>Bontgoch!T29</f>
        <v xml:space="preserve">Molybdenum Addition  </v>
      </c>
      <c r="V1" s="34" t="str">
        <f>Bontgoch!U29</f>
        <v xml:space="preserve">Fluoride Addition </v>
      </c>
    </row>
    <row r="2" spans="1:22" s="82" customFormat="1" ht="25" x14ac:dyDescent="0.35">
      <c r="A2" s="146"/>
      <c r="B2" s="31" t="s">
        <v>46</v>
      </c>
      <c r="C2" s="34" t="str">
        <f>Bontgoch!B30</f>
        <v>tonnes/ha</v>
      </c>
      <c r="D2" s="34" t="str">
        <f>Bontgoch!C30</f>
        <v>kg/ha</v>
      </c>
      <c r="E2" s="34" t="str">
        <f>Bontgoch!D30</f>
        <v>P2O5 
kg/ha</v>
      </c>
      <c r="F2" s="34" t="str">
        <f>Bontgoch!E30</f>
        <v>K2O 
kg/ha</v>
      </c>
      <c r="G2" s="34" t="str">
        <f>Bontgoch!F30</f>
        <v>MgO 
kg/ha</v>
      </c>
      <c r="H2" s="34" t="str">
        <f>Bontgoch!G30</f>
        <v>kg/ha</v>
      </c>
      <c r="I2" s="34" t="str">
        <f>Bontgoch!H30</f>
        <v>kg/ha</v>
      </c>
      <c r="J2" s="34" t="str">
        <f>Bontgoch!I30</f>
        <v>kg/ha</v>
      </c>
      <c r="K2" s="34" t="str">
        <f>Bontgoch!J30</f>
        <v>kg/ha</v>
      </c>
      <c r="L2" s="34" t="str">
        <f>Bontgoch!K30</f>
        <v>kg/ha</v>
      </c>
      <c r="M2" s="34" t="str">
        <f>Bontgoch!L30</f>
        <v>kg/ha</v>
      </c>
      <c r="N2" s="34" t="str">
        <f>Bontgoch!M30</f>
        <v>kg/ha</v>
      </c>
      <c r="O2" s="34" t="str">
        <f>Bontgoch!N30</f>
        <v>kg/ha</v>
      </c>
      <c r="P2" s="34" t="str">
        <f>Bontgoch!O30</f>
        <v>kg/ha</v>
      </c>
      <c r="Q2" s="34" t="str">
        <f>Bontgoch!P30</f>
        <v>kg/ha</v>
      </c>
      <c r="R2" s="34" t="str">
        <f>Bontgoch!Q30</f>
        <v>kg/ha</v>
      </c>
      <c r="S2" s="34" t="str">
        <f>Bontgoch!R30</f>
        <v>kg/ha</v>
      </c>
      <c r="T2" s="34" t="str">
        <f>Bontgoch!S30</f>
        <v>kg/ha</v>
      </c>
      <c r="U2" s="34" t="str">
        <f>Bontgoch!T30</f>
        <v>kg/ha</v>
      </c>
      <c r="V2" s="34" t="str">
        <f>Bontgoch!U30</f>
        <v>kg/ha</v>
      </c>
    </row>
    <row r="3" spans="1:22" x14ac:dyDescent="0.25">
      <c r="A3" s="35">
        <v>1</v>
      </c>
      <c r="B3" s="90"/>
      <c r="C3" s="32">
        <f>Bontgoch!B31</f>
        <v>250</v>
      </c>
      <c r="D3" s="32">
        <f>Bontgoch!C31</f>
        <v>53.152499999999996</v>
      </c>
      <c r="E3" s="32">
        <f>Bontgoch!D31</f>
        <v>124.22088375000001</v>
      </c>
      <c r="F3" s="32">
        <f>Bontgoch!E31</f>
        <v>1.0989600000000002</v>
      </c>
      <c r="G3" s="32">
        <f>Bontgoch!F31</f>
        <v>15.593489999999997</v>
      </c>
      <c r="H3" s="32">
        <f>Bontgoch!G31</f>
        <v>5.5574999999999999E-2</v>
      </c>
      <c r="I3" s="32">
        <f>Bontgoch!H31</f>
        <v>4.4958749999999998</v>
      </c>
      <c r="J3" s="32">
        <f>Bontgoch!I31</f>
        <v>0.26291250000000005</v>
      </c>
      <c r="K3" s="32">
        <f>Bontgoch!J31</f>
        <v>1.7456250000000003E-2</v>
      </c>
      <c r="L3" s="32">
        <f>Bontgoch!K31</f>
        <v>5.0587500000000007E-3</v>
      </c>
      <c r="M3" s="32">
        <f>Bontgoch!L31</f>
        <v>0.28001249999999994</v>
      </c>
      <c r="N3" s="32">
        <f>Bontgoch!M31</f>
        <v>8.5500000000000007E-2</v>
      </c>
      <c r="O3" s="32">
        <f>Bontgoch!N31</f>
        <v>43.177500000000009</v>
      </c>
      <c r="P3" s="32">
        <f>Bontgoch!O31</f>
        <v>2408.25</v>
      </c>
      <c r="Q3" s="32">
        <f>Bontgoch!P31</f>
        <v>0</v>
      </c>
      <c r="R3" s="32">
        <f>Bontgoch!Q31</f>
        <v>44.709375000000009</v>
      </c>
      <c r="S3" s="32">
        <f>Bontgoch!R31</f>
        <v>0</v>
      </c>
      <c r="T3" s="32">
        <f>Bontgoch!S31</f>
        <v>0.11685</v>
      </c>
      <c r="U3" s="32">
        <f>Bontgoch!T31</f>
        <v>0</v>
      </c>
      <c r="V3" s="32">
        <f>Bontgoch!U31</f>
        <v>0</v>
      </c>
    </row>
    <row r="4" spans="1:22" x14ac:dyDescent="0.25">
      <c r="A4" s="35">
        <v>2</v>
      </c>
      <c r="B4" s="90">
        <v>0.48</v>
      </c>
      <c r="C4" s="32">
        <f>'Bryngwyn liquid'!B31</f>
        <v>250</v>
      </c>
      <c r="D4" s="32">
        <f>'Bryngwyn liquid'!C31</f>
        <v>50</v>
      </c>
      <c r="E4" s="32">
        <f>'Bryngwyn liquid'!D31</f>
        <v>20.504449999999999</v>
      </c>
      <c r="F4" s="32">
        <f>'Bryngwyn liquid'!E31</f>
        <v>3.0125000000000002</v>
      </c>
      <c r="G4" s="32">
        <f>'Bryngwyn liquid'!F31</f>
        <v>4.1449999999999996</v>
      </c>
      <c r="H4" s="32">
        <f>'Bryngwyn liquid'!G31</f>
        <v>0.185</v>
      </c>
      <c r="I4" s="32">
        <f>'Bryngwyn liquid'!H31</f>
        <v>0.84250000000000003</v>
      </c>
      <c r="J4" s="32">
        <f>'Bryngwyn liquid'!I31</f>
        <v>0.125</v>
      </c>
      <c r="K4" s="32">
        <f>'Bryngwyn liquid'!J31</f>
        <v>4.0000000000000001E-3</v>
      </c>
      <c r="L4" s="32">
        <f>'Bryngwyn liquid'!K31</f>
        <v>1.2500000000000001E-2</v>
      </c>
      <c r="M4" s="32">
        <f>'Bryngwyn liquid'!L31</f>
        <v>0.193</v>
      </c>
      <c r="N4" s="32">
        <f>'Bryngwyn liquid'!M31</f>
        <v>0.22875000000000001</v>
      </c>
      <c r="O4" s="32">
        <f>'Bryngwyn liquid'!N31</f>
        <v>11.75</v>
      </c>
      <c r="P4" s="32">
        <f>'Bryngwyn liquid'!O31</f>
        <v>2670.2500000000005</v>
      </c>
      <c r="Q4" s="32">
        <f>'Bryngwyn liquid'!P31</f>
        <v>0</v>
      </c>
      <c r="R4" s="32">
        <f>'Bryngwyn liquid'!Q31</f>
        <v>51.625</v>
      </c>
      <c r="S4" s="32">
        <f>'Bryngwyn liquid'!R31</f>
        <v>0</v>
      </c>
      <c r="T4" s="32">
        <f>'Bryngwyn liquid'!S31</f>
        <v>0.125</v>
      </c>
      <c r="U4" s="32">
        <f>'Bryngwyn liquid'!T31</f>
        <v>0</v>
      </c>
      <c r="V4" s="32">
        <f>'Bryngwyn liquid'!U31</f>
        <v>0</v>
      </c>
    </row>
    <row r="5" spans="1:22" x14ac:dyDescent="0.25">
      <c r="A5" s="35">
        <v>3</v>
      </c>
      <c r="B5" s="90"/>
      <c r="C5" s="32">
        <f>'Cefn Dryscoed'!B31</f>
        <v>0</v>
      </c>
      <c r="D5" s="32">
        <f>'Cefn Dryscoed'!C31</f>
        <v>0</v>
      </c>
      <c r="E5" s="32">
        <f>'Cefn Dryscoed'!D31</f>
        <v>0</v>
      </c>
      <c r="F5" s="32">
        <f>'Cefn Dryscoed'!E31</f>
        <v>0</v>
      </c>
      <c r="G5" s="32">
        <f>'Cefn Dryscoed'!F31</f>
        <v>0</v>
      </c>
      <c r="H5" s="32">
        <f>'Cefn Dryscoed'!G31</f>
        <v>0</v>
      </c>
      <c r="I5" s="32">
        <f>'Cefn Dryscoed'!H31</f>
        <v>0</v>
      </c>
      <c r="J5" s="32">
        <f>'Cefn Dryscoed'!I31</f>
        <v>0</v>
      </c>
      <c r="K5" s="32">
        <f>'Cefn Dryscoed'!J31</f>
        <v>0</v>
      </c>
      <c r="L5" s="32">
        <f>'Cefn Dryscoed'!K31</f>
        <v>0</v>
      </c>
      <c r="M5" s="32">
        <f>'Cefn Dryscoed'!L31</f>
        <v>0</v>
      </c>
      <c r="N5" s="32">
        <f>'Cefn Dryscoed'!M31</f>
        <v>0</v>
      </c>
      <c r="O5" s="32">
        <f>'Cefn Dryscoed'!N31</f>
        <v>0</v>
      </c>
      <c r="P5" s="32">
        <f>'Cefn Dryscoed'!O31</f>
        <v>0</v>
      </c>
      <c r="Q5" s="32">
        <f>'Cefn Dryscoed'!P31</f>
        <v>0</v>
      </c>
      <c r="R5" s="32">
        <f>'Cefn Dryscoed'!Q31</f>
        <v>0</v>
      </c>
      <c r="S5" s="32">
        <f>'Cefn Dryscoed'!R31</f>
        <v>0</v>
      </c>
      <c r="T5" s="32">
        <f>'Cefn Dryscoed'!S31</f>
        <v>0</v>
      </c>
      <c r="U5" s="32">
        <f>'Cefn Dryscoed'!T31</f>
        <v>0</v>
      </c>
      <c r="V5" s="32">
        <f>'Cefn Dryscoed'!U31</f>
        <v>0</v>
      </c>
    </row>
    <row r="6" spans="1:22" x14ac:dyDescent="0.25">
      <c r="A6" s="35">
        <v>4</v>
      </c>
      <c r="B6" s="90">
        <v>0.52</v>
      </c>
      <c r="C6" s="32">
        <f>Crai!B31</f>
        <v>250</v>
      </c>
      <c r="D6" s="32">
        <f>Crai!C31</f>
        <v>60.434000000000005</v>
      </c>
      <c r="E6" s="32">
        <f>Crai!D31</f>
        <v>14.4440677</v>
      </c>
      <c r="F6" s="32">
        <f>Crai!E31</f>
        <v>0.70239450000000003</v>
      </c>
      <c r="G6" s="32">
        <f>Crai!F31</f>
        <v>4.8877839999999999</v>
      </c>
      <c r="H6" s="32">
        <f>Crai!G31</f>
        <v>0.13467000000000004</v>
      </c>
      <c r="I6" s="32">
        <f>Crai!H31</f>
        <v>0.76380000000000003</v>
      </c>
      <c r="J6" s="32">
        <f>Crai!I31</f>
        <v>0.11256000000000002</v>
      </c>
      <c r="K6" s="32">
        <f>Crai!J31</f>
        <v>6.365E-3</v>
      </c>
      <c r="L6" s="32">
        <f>Crai!K31</f>
        <v>5.025E-3</v>
      </c>
      <c r="M6" s="32">
        <f>Crai!L31</f>
        <v>9.3800000000000008E-2</v>
      </c>
      <c r="N6" s="32">
        <f>Crai!M31</f>
        <v>7.9060000000000019E-2</v>
      </c>
      <c r="O6" s="32">
        <f>Crai!N31</f>
        <v>19.765000000000001</v>
      </c>
      <c r="P6" s="32">
        <f>Crai!O31</f>
        <v>2834.1000000000004</v>
      </c>
      <c r="Q6" s="32">
        <f>Crai!P31</f>
        <v>0</v>
      </c>
      <c r="R6" s="32">
        <f>Crai!Q31</f>
        <v>58.625000000000007</v>
      </c>
      <c r="S6" s="32">
        <f>Crai!R31</f>
        <v>0</v>
      </c>
      <c r="T6" s="32">
        <f>Crai!S31</f>
        <v>0.29547000000000001</v>
      </c>
      <c r="U6" s="32">
        <f>Crai!T31</f>
        <v>0</v>
      </c>
      <c r="V6" s="32">
        <f>Crai!U31</f>
        <v>0</v>
      </c>
    </row>
    <row r="7" spans="1:22" x14ac:dyDescent="0.25">
      <c r="A7" s="35">
        <v>5</v>
      </c>
      <c r="B7" s="90"/>
      <c r="C7" s="32">
        <f>'Elan valley'!B31</f>
        <v>250</v>
      </c>
      <c r="D7" s="32">
        <f>'Elan valley'!C31</f>
        <v>69</v>
      </c>
      <c r="E7" s="32">
        <f>'Elan valley'!D31</f>
        <v>6.8867459999999996</v>
      </c>
      <c r="F7" s="32">
        <f>'Elan valley'!E31</f>
        <v>2.6461800000000002</v>
      </c>
      <c r="G7" s="32">
        <f>'Elan valley'!F31</f>
        <v>6.5258880000000001</v>
      </c>
      <c r="H7" s="32">
        <f>'Elan valley'!G31</f>
        <v>0.21899999999999997</v>
      </c>
      <c r="I7" s="32">
        <f>'Elan valley'!H31</f>
        <v>0.95399999999999996</v>
      </c>
      <c r="J7" s="32">
        <f>'Elan valley'!I31</f>
        <v>0.15600000000000003</v>
      </c>
      <c r="K7" s="32">
        <f>'Elan valley'!J31</f>
        <v>5.4000000000000012E-3</v>
      </c>
      <c r="L7" s="32">
        <f>'Elan valley'!K31</f>
        <v>5.0400000000000002E-3</v>
      </c>
      <c r="M7" s="32">
        <f>'Elan valley'!L31</f>
        <v>4.9800000000000004E-2</v>
      </c>
      <c r="N7" s="32">
        <f>'Elan valley'!M31</f>
        <v>5.3280000000000008E-2</v>
      </c>
      <c r="O7" s="32">
        <f>'Elan valley'!N31</f>
        <v>16.38</v>
      </c>
      <c r="P7" s="32">
        <f>'Elan valley'!O31</f>
        <v>2424</v>
      </c>
      <c r="Q7" s="32">
        <f>'Elan valley'!P31</f>
        <v>0</v>
      </c>
      <c r="R7" s="32">
        <f>'Elan valley'!Q31</f>
        <v>99.600000000000023</v>
      </c>
      <c r="S7" s="32">
        <f>'Elan valley'!R31</f>
        <v>0</v>
      </c>
      <c r="T7" s="32">
        <f>'Elan valley'!S31</f>
        <v>0.53580000000000005</v>
      </c>
      <c r="U7" s="32">
        <f>'Elan valley'!T31</f>
        <v>0</v>
      </c>
      <c r="V7" s="32">
        <f>'Elan valley'!U31</f>
        <v>0</v>
      </c>
    </row>
    <row r="8" spans="1:22" x14ac:dyDescent="0.25">
      <c r="A8" s="35">
        <v>6</v>
      </c>
      <c r="B8" s="90"/>
      <c r="C8" s="32">
        <f>Llyswen!B31</f>
        <v>0</v>
      </c>
      <c r="D8" s="32">
        <f>Llyswen!C31</f>
        <v>0</v>
      </c>
      <c r="E8" s="32">
        <f>Llyswen!D31</f>
        <v>0</v>
      </c>
      <c r="F8" s="32">
        <f>Llyswen!E31</f>
        <v>0</v>
      </c>
      <c r="G8" s="32">
        <f>Llyswen!F31</f>
        <v>0</v>
      </c>
      <c r="H8" s="32">
        <f>Llyswen!G31</f>
        <v>0</v>
      </c>
      <c r="I8" s="32">
        <f>Llyswen!H31</f>
        <v>0</v>
      </c>
      <c r="J8" s="32">
        <f>Llyswen!I31</f>
        <v>0</v>
      </c>
      <c r="K8" s="32">
        <f>Llyswen!J31</f>
        <v>0</v>
      </c>
      <c r="L8" s="32">
        <f>Llyswen!K31</f>
        <v>0</v>
      </c>
      <c r="M8" s="32">
        <f>Llyswen!L31</f>
        <v>0</v>
      </c>
      <c r="N8" s="32">
        <f>Llyswen!M31</f>
        <v>0</v>
      </c>
      <c r="O8" s="32">
        <f>Llyswen!N31</f>
        <v>0</v>
      </c>
      <c r="P8" s="32">
        <f>Llyswen!O31</f>
        <v>0</v>
      </c>
      <c r="Q8" s="32">
        <f>Llyswen!P31</f>
        <v>0</v>
      </c>
      <c r="R8" s="32">
        <f>Llyswen!Q31</f>
        <v>0</v>
      </c>
      <c r="S8" s="32">
        <f>Llyswen!R31</f>
        <v>0</v>
      </c>
      <c r="T8" s="32">
        <f>Llyswen!S31</f>
        <v>0</v>
      </c>
      <c r="U8" s="32">
        <f>Llyswen!T31</f>
        <v>0</v>
      </c>
      <c r="V8" s="32">
        <f>Llyswen!U31</f>
        <v>0</v>
      </c>
    </row>
    <row r="9" spans="1:22" x14ac:dyDescent="0.25">
      <c r="A9" s="35">
        <v>7</v>
      </c>
      <c r="B9" s="90"/>
      <c r="C9" s="32">
        <f>'Strata florida'!B31</f>
        <v>0</v>
      </c>
      <c r="D9" s="32">
        <f>'Strata florida'!C31</f>
        <v>0</v>
      </c>
      <c r="E9" s="32">
        <f>'Strata florida'!D31</f>
        <v>0</v>
      </c>
      <c r="F9" s="32">
        <f>'Strata florida'!E31</f>
        <v>0</v>
      </c>
      <c r="G9" s="32">
        <f>'Strata florida'!F31</f>
        <v>0</v>
      </c>
      <c r="H9" s="32">
        <f>'Strata florida'!G31</f>
        <v>0</v>
      </c>
      <c r="I9" s="32">
        <f>'Strata florida'!H31</f>
        <v>0</v>
      </c>
      <c r="J9" s="32">
        <f>'Strata florida'!I31</f>
        <v>0</v>
      </c>
      <c r="K9" s="32">
        <f>'Strata florida'!J31</f>
        <v>0</v>
      </c>
      <c r="L9" s="32">
        <f>'Strata florida'!K31</f>
        <v>0</v>
      </c>
      <c r="M9" s="32">
        <f>'Strata florida'!L31</f>
        <v>0</v>
      </c>
      <c r="N9" s="32">
        <f>'Strata florida'!M31</f>
        <v>0</v>
      </c>
      <c r="O9" s="32">
        <f>'Strata florida'!N31</f>
        <v>0</v>
      </c>
      <c r="P9" s="32">
        <f>'Strata florida'!O31</f>
        <v>0</v>
      </c>
      <c r="Q9" s="32">
        <f>'Strata florida'!P31</f>
        <v>0</v>
      </c>
      <c r="R9" s="32">
        <f>'Strata florida'!Q31</f>
        <v>0</v>
      </c>
      <c r="S9" s="32">
        <f>'Strata florida'!R31</f>
        <v>0</v>
      </c>
      <c r="T9" s="32">
        <f>'Strata florida'!S31</f>
        <v>0</v>
      </c>
      <c r="U9" s="32">
        <f>'Strata florida'!T31</f>
        <v>0</v>
      </c>
      <c r="V9" s="32">
        <f>'Strata florida'!U31</f>
        <v>0</v>
      </c>
    </row>
    <row r="10" spans="1:22" x14ac:dyDescent="0.25">
      <c r="A10" s="35">
        <v>8</v>
      </c>
      <c r="B10" s="90"/>
      <c r="C10" s="32">
        <f>Talybont!B31</f>
        <v>0</v>
      </c>
      <c r="D10" s="32">
        <f>Talybont!C31</f>
        <v>0</v>
      </c>
      <c r="E10" s="32">
        <f>Talybont!D31</f>
        <v>0</v>
      </c>
      <c r="F10" s="32">
        <f>Talybont!E31</f>
        <v>0</v>
      </c>
      <c r="G10" s="32">
        <f>Talybont!F31</f>
        <v>0</v>
      </c>
      <c r="H10" s="32">
        <f>Talybont!G31</f>
        <v>0</v>
      </c>
      <c r="I10" s="32">
        <f>Talybont!H31</f>
        <v>0</v>
      </c>
      <c r="J10" s="32">
        <f>Talybont!I31</f>
        <v>0</v>
      </c>
      <c r="K10" s="32">
        <f>Talybont!J31</f>
        <v>0</v>
      </c>
      <c r="L10" s="32">
        <f>Talybont!K31</f>
        <v>0</v>
      </c>
      <c r="M10" s="32">
        <f>Talybont!L31</f>
        <v>0</v>
      </c>
      <c r="N10" s="32">
        <f>Talybont!M31</f>
        <v>0</v>
      </c>
      <c r="O10" s="32">
        <f>Talybont!N31</f>
        <v>0</v>
      </c>
      <c r="P10" s="32">
        <f>Talybont!O31</f>
        <v>0</v>
      </c>
      <c r="Q10" s="32">
        <f>Talybont!P31</f>
        <v>0</v>
      </c>
      <c r="R10" s="32">
        <f>Talybont!Q31</f>
        <v>0</v>
      </c>
      <c r="S10" s="32">
        <f>Talybont!R31</f>
        <v>0</v>
      </c>
      <c r="T10" s="32">
        <f>Talybont!S31</f>
        <v>0</v>
      </c>
      <c r="U10" s="32">
        <f>Talybont!T31</f>
        <v>0</v>
      </c>
      <c r="V10" s="32">
        <f>Talybont!U31</f>
        <v>0</v>
      </c>
    </row>
    <row r="11" spans="1:22" x14ac:dyDescent="0.25">
      <c r="A11" s="35">
        <v>9</v>
      </c>
      <c r="B11" s="90"/>
      <c r="C11" s="32">
        <f>Whitbourne!B31</f>
        <v>250</v>
      </c>
      <c r="D11" s="32">
        <f>Whitbourne!C31</f>
        <v>131.66474999999997</v>
      </c>
      <c r="E11" s="32">
        <f>Whitbourne!D31</f>
        <v>84.266416500000005</v>
      </c>
      <c r="F11" s="32">
        <f>Whitbourne!E31</f>
        <v>15.100758749999997</v>
      </c>
      <c r="G11" s="32">
        <f>Whitbourne!F31</f>
        <v>67.459874999999982</v>
      </c>
      <c r="H11" s="32">
        <f>Whitbourne!G31</f>
        <v>0.16600499999999996</v>
      </c>
      <c r="I11" s="32">
        <f>Whitbourne!H31</f>
        <v>2.0180999999999996</v>
      </c>
      <c r="J11" s="32">
        <f>Whitbourne!I31</f>
        <v>0.3434025</v>
      </c>
      <c r="K11" s="32">
        <f>Whitbourne!J31</f>
        <v>5.5334999999999994E-3</v>
      </c>
      <c r="L11" s="32">
        <f>Whitbourne!K31</f>
        <v>5.0452499999999994E-3</v>
      </c>
      <c r="M11" s="32">
        <f>Whitbourne!L31</f>
        <v>0.30271500000000001</v>
      </c>
      <c r="N11" s="32">
        <f>Whitbourne!M31</f>
        <v>0.34014749999999988</v>
      </c>
      <c r="O11" s="32">
        <f>Whitbourne!N31</f>
        <v>88.210499999999982</v>
      </c>
      <c r="P11" s="32">
        <f>Whitbourne!O31</f>
        <v>6737.8499999999995</v>
      </c>
      <c r="Q11" s="32">
        <f>Whitbourne!P31</f>
        <v>0</v>
      </c>
      <c r="R11" s="32">
        <f>Whitbourne!Q31</f>
        <v>98.056874999999977</v>
      </c>
      <c r="S11" s="32">
        <f>Whitbourne!R31</f>
        <v>0</v>
      </c>
      <c r="T11" s="32">
        <f>Whitbourne!S31</f>
        <v>0.30271500000000001</v>
      </c>
      <c r="U11" s="32">
        <f>Whitbourne!T31</f>
        <v>0</v>
      </c>
      <c r="V11" s="32">
        <f>Whitbourne!U31</f>
        <v>0</v>
      </c>
    </row>
    <row r="12" spans="1:22" x14ac:dyDescent="0.25">
      <c r="A12" s="35">
        <v>10</v>
      </c>
      <c r="B12" s="90"/>
      <c r="C12" s="32">
        <f>Andigestion!B31</f>
        <v>43</v>
      </c>
      <c r="D12" s="32">
        <f>Andigestion!C31</f>
        <v>249.4</v>
      </c>
      <c r="E12" s="32">
        <f>Andigestion!D31</f>
        <v>47.089214000000005</v>
      </c>
      <c r="F12" s="32">
        <f>Andigestion!E31</f>
        <v>101.71284500000002</v>
      </c>
      <c r="G12" s="32">
        <f>Andigestion!F31</f>
        <v>4.099405</v>
      </c>
      <c r="H12" s="32">
        <f>Andigestion!G31</f>
        <v>5.1599999999999993E-2</v>
      </c>
      <c r="I12" s="32">
        <f>Andigestion!H31</f>
        <v>0.34185000000000004</v>
      </c>
      <c r="J12" s="32">
        <f>Andigestion!I31</f>
        <v>2.1500000000000002E-2</v>
      </c>
      <c r="K12" s="32">
        <f>Andigestion!J31</f>
        <v>8.6000000000000009E-4</v>
      </c>
      <c r="L12" s="32">
        <f>Andigestion!K31</f>
        <v>2.15E-3</v>
      </c>
      <c r="M12" s="32">
        <f>Andigestion!L31</f>
        <v>1.4620000000000001E-2</v>
      </c>
      <c r="N12" s="32">
        <f>Andigestion!M31</f>
        <v>1.763E-2</v>
      </c>
      <c r="O12" s="32">
        <f>Andigestion!N31</f>
        <v>0</v>
      </c>
      <c r="P12" s="32">
        <f>Andigestion!O31</f>
        <v>0</v>
      </c>
      <c r="Q12" s="32">
        <f>Andigestion!P31</f>
        <v>0</v>
      </c>
      <c r="R12" s="32">
        <f>Andigestion!Q31</f>
        <v>46.977499999999999</v>
      </c>
      <c r="S12" s="32">
        <f>Andigestion!R31</f>
        <v>0</v>
      </c>
      <c r="T12" s="32">
        <f>Andigestion!S31</f>
        <v>0</v>
      </c>
      <c r="U12" s="32">
        <f>Andigestion!T31</f>
        <v>0</v>
      </c>
      <c r="V12" s="32">
        <f>Andigestion!U31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Bontgoch!B43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Bontgoch!B44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250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0.48</v>
      </c>
      <c r="C18" s="86">
        <f t="shared" si="3"/>
        <v>250</v>
      </c>
      <c r="D18" s="87">
        <f>D4*$B$4</f>
        <v>24</v>
      </c>
      <c r="E18" s="87">
        <f t="shared" ref="E18:V18" si="4">E4*$B$4</f>
        <v>9.8421359999999982</v>
      </c>
      <c r="F18" s="87">
        <f t="shared" si="4"/>
        <v>1.446</v>
      </c>
      <c r="G18" s="87">
        <f t="shared" si="4"/>
        <v>1.9895999999999998</v>
      </c>
      <c r="H18" s="87">
        <f t="shared" si="4"/>
        <v>8.879999999999999E-2</v>
      </c>
      <c r="I18" s="87">
        <f t="shared" si="4"/>
        <v>0.40439999999999998</v>
      </c>
      <c r="J18" s="87">
        <f t="shared" si="4"/>
        <v>0.06</v>
      </c>
      <c r="K18" s="87">
        <f t="shared" si="4"/>
        <v>1.92E-3</v>
      </c>
      <c r="L18" s="87">
        <f t="shared" si="4"/>
        <v>6.0000000000000001E-3</v>
      </c>
      <c r="M18" s="87">
        <f t="shared" si="4"/>
        <v>9.264E-2</v>
      </c>
      <c r="N18" s="87">
        <f t="shared" si="4"/>
        <v>0.10979999999999999</v>
      </c>
      <c r="O18" s="87">
        <f t="shared" si="4"/>
        <v>5.64</v>
      </c>
      <c r="P18" s="87">
        <f t="shared" si="4"/>
        <v>1281.7200000000003</v>
      </c>
      <c r="Q18" s="87">
        <f t="shared" si="4"/>
        <v>0</v>
      </c>
      <c r="R18" s="87">
        <f t="shared" si="4"/>
        <v>24.779999999999998</v>
      </c>
      <c r="S18" s="87">
        <f t="shared" si="4"/>
        <v>0</v>
      </c>
      <c r="T18" s="87">
        <f t="shared" si="4"/>
        <v>0.06</v>
      </c>
      <c r="U18" s="87">
        <f t="shared" si="4"/>
        <v>0</v>
      </c>
      <c r="V18" s="87">
        <f t="shared" si="4"/>
        <v>0</v>
      </c>
    </row>
    <row r="19" spans="1:22" x14ac:dyDescent="0.25">
      <c r="A19" s="84">
        <v>3</v>
      </c>
      <c r="B19" s="85">
        <f t="shared" ref="B19:C19" si="5">B5</f>
        <v>0</v>
      </c>
      <c r="C19" s="86">
        <f t="shared" si="5"/>
        <v>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0.52</v>
      </c>
      <c r="C20" s="86">
        <f t="shared" si="7"/>
        <v>250</v>
      </c>
      <c r="D20" s="87">
        <f>D6*$B$6</f>
        <v>31.425680000000003</v>
      </c>
      <c r="E20" s="87">
        <f t="shared" ref="E20:V20" si="8">E6*$B$6</f>
        <v>7.5109152039999998</v>
      </c>
      <c r="F20" s="87">
        <f t="shared" si="8"/>
        <v>0.36524514000000002</v>
      </c>
      <c r="G20" s="87">
        <f t="shared" si="8"/>
        <v>2.5416476800000001</v>
      </c>
      <c r="H20" s="87">
        <f t="shared" si="8"/>
        <v>7.0028400000000018E-2</v>
      </c>
      <c r="I20" s="87">
        <f t="shared" si="8"/>
        <v>0.39717600000000003</v>
      </c>
      <c r="J20" s="87">
        <f t="shared" si="8"/>
        <v>5.8531200000000012E-2</v>
      </c>
      <c r="K20" s="87">
        <f t="shared" si="8"/>
        <v>3.3098000000000003E-3</v>
      </c>
      <c r="L20" s="87">
        <f t="shared" si="8"/>
        <v>2.6129999999999999E-3</v>
      </c>
      <c r="M20" s="87">
        <f t="shared" si="8"/>
        <v>4.8776000000000007E-2</v>
      </c>
      <c r="N20" s="87">
        <f t="shared" si="8"/>
        <v>4.1111200000000014E-2</v>
      </c>
      <c r="O20" s="87">
        <f t="shared" si="8"/>
        <v>10.277800000000001</v>
      </c>
      <c r="P20" s="87">
        <f t="shared" si="8"/>
        <v>1473.7320000000002</v>
      </c>
      <c r="Q20" s="87">
        <f t="shared" si="8"/>
        <v>0</v>
      </c>
      <c r="R20" s="87">
        <f t="shared" si="8"/>
        <v>30.485000000000003</v>
      </c>
      <c r="S20" s="87">
        <f t="shared" si="8"/>
        <v>0</v>
      </c>
      <c r="T20" s="87">
        <f t="shared" si="8"/>
        <v>0.15364440000000001</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43</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7" t="s">
        <v>85</v>
      </c>
      <c r="B27" s="147"/>
      <c r="C27" s="147"/>
      <c r="D27" s="88">
        <f>SUM(D17:D26)</f>
        <v>55.42568</v>
      </c>
      <c r="E27" s="88">
        <f t="shared" ref="E27:V27" si="21">SUM(E17:E26)</f>
        <v>17.353051203999996</v>
      </c>
      <c r="F27" s="88">
        <f t="shared" si="21"/>
        <v>1.81124514</v>
      </c>
      <c r="G27" s="88">
        <f t="shared" si="21"/>
        <v>4.5312476799999999</v>
      </c>
      <c r="H27" s="88">
        <f t="shared" si="21"/>
        <v>0.15882840000000001</v>
      </c>
      <c r="I27" s="88">
        <f t="shared" si="21"/>
        <v>0.80157600000000007</v>
      </c>
      <c r="J27" s="88">
        <f t="shared" si="21"/>
        <v>0.1185312</v>
      </c>
      <c r="K27" s="88">
        <f t="shared" si="21"/>
        <v>5.2298000000000006E-3</v>
      </c>
      <c r="L27" s="88">
        <f t="shared" si="21"/>
        <v>8.6129999999999991E-3</v>
      </c>
      <c r="M27" s="88">
        <f t="shared" si="21"/>
        <v>0.14141600000000001</v>
      </c>
      <c r="N27" s="88">
        <f t="shared" si="21"/>
        <v>0.15091120000000002</v>
      </c>
      <c r="O27" s="88">
        <f t="shared" si="21"/>
        <v>15.9178</v>
      </c>
      <c r="P27" s="88">
        <f t="shared" si="21"/>
        <v>2755.4520000000002</v>
      </c>
      <c r="Q27" s="88">
        <f t="shared" si="21"/>
        <v>0</v>
      </c>
      <c r="R27" s="88">
        <f t="shared" si="21"/>
        <v>55.265000000000001</v>
      </c>
      <c r="S27" s="88">
        <f t="shared" si="21"/>
        <v>0</v>
      </c>
      <c r="T27" s="88">
        <f t="shared" si="21"/>
        <v>0.21364440000000001</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dadc077d345e3af64f05d4303ca937f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0159520a6db34e9973f109a4ec00e6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REGU-415-1629780</_dlc_DocId>
    <_dlc_DocIdUrl xmlns="9be56660-2c31-41ef-bc00-23e72f632f2a">
      <Url>https://cyfoethnaturiolcymru.sharepoint.com/teams/Regulatory/Permitting/_layouts/15/DocIdRedir.aspx?ID=REGU-415-1629780</Url>
      <Description>REGU-415-1629780</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2022-06-13T23:00:00+00:00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AF6A3D07-7547-4C69-B5D6-BFD3DD76FF75}"/>
</file>

<file path=customXml/itemProps3.xml><?xml version="1.0" encoding="utf-8"?>
<ds:datastoreItem xmlns:ds="http://schemas.openxmlformats.org/officeDocument/2006/customXml" ds:itemID="{92963DFF-1603-4FB1-8A8B-C4013B66E506}"/>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Bontgoch</vt:lpstr>
      <vt:lpstr>Bryngwyn liquid</vt:lpstr>
      <vt:lpstr>Cefn Dryscoed</vt:lpstr>
      <vt:lpstr>Crai</vt:lpstr>
      <vt:lpstr>Elan valley</vt:lpstr>
      <vt:lpstr>Llyswen</vt:lpstr>
      <vt:lpstr>Strata florida</vt:lpstr>
      <vt:lpstr>Talybont</vt:lpstr>
      <vt:lpstr>Whitbourne</vt:lpstr>
      <vt:lpstr>Andigestion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2022-06-14T10:55:48Z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be96f132-dbba-4cc6-8605-9a4393e47bd2</vt:lpwstr>
  </property>
</Properties>
</file>