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sharepoint.com/teams/Regulatory/Permitting/North EPR Regulated Industry/PAN-001236/"/>
    </mc:Choice>
  </mc:AlternateContent>
  <workbookProtection workbookPassword="953B" lockStructure="1"/>
  <bookViews>
    <workbookView xWindow="0" yWindow="0" windowWidth="28800" windowHeight="12435" tabRatio="894" activeTab="10"/>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c r="D43" i="8" s="1"/>
  <c r="G9" i="6"/>
  <c r="G10" i="6"/>
  <c r="G11" i="6"/>
  <c r="G12" i="6"/>
  <c r="G14" i="6" s="1"/>
  <c r="D10" i="3" s="1"/>
  <c r="D24" i="3" s="1"/>
  <c r="E24" i="3" s="1"/>
  <c r="F17" i="1" s="1"/>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F21" i="9"/>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G18" i="10"/>
  <c r="G26" i="10"/>
  <c r="D460" i="17" s="1"/>
  <c r="F460" i="17" s="1"/>
  <c r="G29" i="10"/>
  <c r="D466" i="17" s="1"/>
  <c r="F466" i="17" s="1"/>
  <c r="G30" i="10"/>
  <c r="D472" i="17" s="1"/>
  <c r="F472" i="17" s="1"/>
  <c r="G31" i="10"/>
  <c r="G32" i="10"/>
  <c r="D484" i="17" s="1"/>
  <c r="F484" i="17" s="1"/>
  <c r="G33" i="10"/>
  <c r="G34" i="10"/>
  <c r="G35" i="10"/>
  <c r="D502" i="17" s="1"/>
  <c r="F502" i="17" s="1"/>
  <c r="G36" i="10"/>
  <c r="D508" i="17" s="1"/>
  <c r="F508" i="17" s="1"/>
  <c r="G37" i="10"/>
  <c r="D514" i="17" s="1"/>
  <c r="F514" i="17" s="1"/>
  <c r="G38" i="10"/>
  <c r="D520" i="17" s="1"/>
  <c r="F520" i="17" s="1"/>
  <c r="G39" i="10"/>
  <c r="G51" i="10"/>
  <c r="D534" i="17" s="1"/>
  <c r="F534" i="17" s="1"/>
  <c r="G52" i="10"/>
  <c r="G53" i="10"/>
  <c r="D608" i="17" s="1"/>
  <c r="F608" i="17" s="1"/>
  <c r="G54" i="10"/>
  <c r="D614" i="17" s="1"/>
  <c r="F614" i="17" s="1"/>
  <c r="G55" i="10"/>
  <c r="D558" i="17" s="1"/>
  <c r="F558" i="17" s="1"/>
  <c r="G56" i="10"/>
  <c r="D564" i="17" s="1"/>
  <c r="F564" i="17" s="1"/>
  <c r="G57" i="10"/>
  <c r="D570" i="17" s="1"/>
  <c r="F570" i="17" s="1"/>
  <c r="G58" i="10"/>
  <c r="D576" i="17" s="1"/>
  <c r="F576" i="17" s="1"/>
  <c r="G70" i="10"/>
  <c r="G71" i="10"/>
  <c r="G72" i="10"/>
  <c r="G74" i="10"/>
  <c r="D620" i="17" s="1"/>
  <c r="G75" i="10"/>
  <c r="D626" i="17" s="1"/>
  <c r="F626" i="17" s="1"/>
  <c r="G76" i="10"/>
  <c r="D632" i="17" s="1"/>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D51" i="9"/>
  <c r="D50"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c r="D806" i="17"/>
  <c r="F806" i="17" s="1"/>
  <c r="D805" i="17"/>
  <c r="F805" i="17"/>
  <c r="D802" i="17"/>
  <c r="F802" i="17" s="1"/>
  <c r="D801" i="17"/>
  <c r="F801" i="17"/>
  <c r="D800" i="17"/>
  <c r="F800" i="17" s="1"/>
  <c r="D797" i="17"/>
  <c r="F797" i="17"/>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c r="D781" i="17"/>
  <c r="F781" i="17" s="1"/>
  <c r="D780" i="17"/>
  <c r="F780" i="17"/>
  <c r="F783" i="17"/>
  <c r="F779" i="17"/>
  <c r="D773" i="17"/>
  <c r="F773" i="17"/>
  <c r="D772" i="17"/>
  <c r="F772" i="17" s="1"/>
  <c r="D771" i="17"/>
  <c r="F771" i="17"/>
  <c r="D768" i="17"/>
  <c r="F768" i="17" s="1"/>
  <c r="D767" i="17"/>
  <c r="F767" i="17"/>
  <c r="D766" i="17"/>
  <c r="F766" i="17" s="1"/>
  <c r="D763" i="17"/>
  <c r="F763" i="17"/>
  <c r="D762" i="17"/>
  <c r="F762" i="17" s="1"/>
  <c r="D761" i="17"/>
  <c r="F761" i="17"/>
  <c r="D758" i="17"/>
  <c r="F758" i="17" s="1"/>
  <c r="D757" i="17"/>
  <c r="F757" i="17"/>
  <c r="D756" i="17"/>
  <c r="F756" i="17" s="1"/>
  <c r="D753" i="17"/>
  <c r="F753" i="17"/>
  <c r="D752" i="17"/>
  <c r="F752" i="17" s="1"/>
  <c r="D751" i="17"/>
  <c r="F751" i="17"/>
  <c r="D748" i="17"/>
  <c r="F748" i="17" s="1"/>
  <c r="D747" i="17"/>
  <c r="F747" i="17"/>
  <c r="D746" i="17"/>
  <c r="F746" i="17" s="1"/>
  <c r="F765" i="17"/>
  <c r="D749" i="17"/>
  <c r="D743" i="17"/>
  <c r="F743" i="17" s="1"/>
  <c r="D739" i="17"/>
  <c r="F739" i="17"/>
  <c r="D738" i="17"/>
  <c r="F738" i="17" s="1"/>
  <c r="D737" i="17"/>
  <c r="F737" i="17"/>
  <c r="D734" i="17"/>
  <c r="F734" i="17" s="1"/>
  <c r="D733" i="17"/>
  <c r="F733" i="17"/>
  <c r="D732" i="17"/>
  <c r="F732" i="17" s="1"/>
  <c r="D729" i="17"/>
  <c r="F729" i="17"/>
  <c r="D728" i="17"/>
  <c r="F728" i="17" s="1"/>
  <c r="D727" i="17"/>
  <c r="F727" i="17"/>
  <c r="D724" i="17"/>
  <c r="F724" i="17" s="1"/>
  <c r="D723" i="17"/>
  <c r="F723" i="17"/>
  <c r="D722" i="17"/>
  <c r="F722" i="17" s="1"/>
  <c r="D719" i="17"/>
  <c r="F719" i="17"/>
  <c r="D718" i="17"/>
  <c r="F718" i="17" s="1"/>
  <c r="D717" i="17"/>
  <c r="F717" i="17"/>
  <c r="D714" i="17"/>
  <c r="F714" i="17" s="1"/>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819" i="17" s="1"/>
  <c r="F819" i="17" s="1"/>
  <c r="D778" i="17"/>
  <c r="F778" i="17"/>
  <c r="D777" i="17"/>
  <c r="F777" i="17"/>
  <c r="D744" i="17"/>
  <c r="F744" i="17" s="1"/>
  <c r="D713" i="17"/>
  <c r="F713" i="17" s="1"/>
  <c r="D712" i="17"/>
  <c r="F712" i="17" s="1"/>
  <c r="D710" i="17"/>
  <c r="F710" i="17" s="1"/>
  <c r="D676" i="17"/>
  <c r="F676" i="17" s="1"/>
  <c r="D675" i="17"/>
  <c r="F675" i="17" s="1"/>
  <c r="D670" i="17"/>
  <c r="F670" i="17" s="1"/>
  <c r="D669" i="17"/>
  <c r="F669" i="17"/>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c r="D645" i="17"/>
  <c r="F645" i="17" s="1"/>
  <c r="D643" i="17"/>
  <c r="F643" i="17" s="1"/>
  <c r="D640" i="17"/>
  <c r="F640" i="17" s="1"/>
  <c r="D639" i="17"/>
  <c r="F639" i="17" s="1"/>
  <c r="D637" i="17"/>
  <c r="F637" i="17" s="1"/>
  <c r="D634" i="17"/>
  <c r="F634" i="17" s="1"/>
  <c r="D633" i="17"/>
  <c r="F633" i="17" s="1"/>
  <c r="D631" i="17"/>
  <c r="F631" i="17" s="1"/>
  <c r="D628" i="17"/>
  <c r="F628" i="17" s="1"/>
  <c r="D627" i="17"/>
  <c r="F627" i="17" s="1"/>
  <c r="D625" i="17"/>
  <c r="F625" i="17" s="1"/>
  <c r="D622" i="17"/>
  <c r="F622" i="17"/>
  <c r="D621" i="17"/>
  <c r="F621" i="17" s="1"/>
  <c r="F620" i="17"/>
  <c r="D619" i="17"/>
  <c r="F619" i="17" s="1"/>
  <c r="D616" i="17"/>
  <c r="F616" i="17"/>
  <c r="D615" i="17"/>
  <c r="F615" i="17" s="1"/>
  <c r="D613" i="17"/>
  <c r="F613" i="17" s="1"/>
  <c r="D610" i="17"/>
  <c r="F610" i="17" s="1"/>
  <c r="D609" i="17"/>
  <c r="F609" i="17" s="1"/>
  <c r="D607" i="17"/>
  <c r="F607" i="17" s="1"/>
  <c r="D604" i="17"/>
  <c r="F604" i="17"/>
  <c r="D603" i="17"/>
  <c r="F603" i="17" s="1"/>
  <c r="D601" i="17"/>
  <c r="F601" i="17" s="1"/>
  <c r="D598" i="17"/>
  <c r="F598" i="17"/>
  <c r="D597" i="17"/>
  <c r="F597" i="17"/>
  <c r="D595" i="17"/>
  <c r="F595" i="17" s="1"/>
  <c r="D592" i="17"/>
  <c r="F592" i="17" s="1"/>
  <c r="D591" i="17"/>
  <c r="F591" i="17"/>
  <c r="D589" i="17"/>
  <c r="F589" i="17" s="1"/>
  <c r="D586" i="17"/>
  <c r="F586" i="17"/>
  <c r="D585" i="17"/>
  <c r="F585" i="17"/>
  <c r="D583" i="17"/>
  <c r="F583" i="17" s="1"/>
  <c r="D578" i="17"/>
  <c r="F578" i="17"/>
  <c r="D577" i="17"/>
  <c r="F577" i="17" s="1"/>
  <c r="D575" i="17"/>
  <c r="F575" i="17" s="1"/>
  <c r="D572" i="17"/>
  <c r="F572" i="17"/>
  <c r="D571" i="17"/>
  <c r="F571" i="17" s="1"/>
  <c r="D569" i="17"/>
  <c r="F569" i="17" s="1"/>
  <c r="D566" i="17"/>
  <c r="F566" i="17"/>
  <c r="D565" i="17"/>
  <c r="F565" i="17"/>
  <c r="D563" i="17"/>
  <c r="F563" i="17"/>
  <c r="D560" i="17"/>
  <c r="F560" i="17"/>
  <c r="D559" i="17"/>
  <c r="F559" i="17"/>
  <c r="D557" i="17"/>
  <c r="F557" i="17" s="1"/>
  <c r="D554" i="17"/>
  <c r="F554" i="17"/>
  <c r="D553" i="17"/>
  <c r="F553" i="17" s="1"/>
  <c r="D552" i="17"/>
  <c r="F552" i="17" s="1"/>
  <c r="D551" i="17"/>
  <c r="F551" i="17" s="1"/>
  <c r="D548" i="17"/>
  <c r="F548" i="17" s="1"/>
  <c r="D547" i="17"/>
  <c r="F547" i="17"/>
  <c r="D546" i="17"/>
  <c r="F546" i="17" s="1"/>
  <c r="D545" i="17"/>
  <c r="F545" i="17" s="1"/>
  <c r="D542" i="17"/>
  <c r="F542" i="17"/>
  <c r="D541" i="17"/>
  <c r="F541" i="17" s="1"/>
  <c r="D539" i="17"/>
  <c r="F539" i="17" s="1"/>
  <c r="D536" i="17"/>
  <c r="F536" i="17"/>
  <c r="D535" i="17"/>
  <c r="F535" i="17"/>
  <c r="D533" i="17"/>
  <c r="F533" i="17" s="1"/>
  <c r="D528" i="17"/>
  <c r="F528" i="17" s="1"/>
  <c r="D527" i="17"/>
  <c r="F527" i="17"/>
  <c r="D526" i="17"/>
  <c r="F526" i="17" s="1"/>
  <c r="D525" i="17"/>
  <c r="F525" i="17" s="1"/>
  <c r="D522" i="17"/>
  <c r="F522" i="17"/>
  <c r="D521" i="17"/>
  <c r="F521" i="17" s="1"/>
  <c r="D519" i="17"/>
  <c r="F519" i="17" s="1"/>
  <c r="D516" i="17"/>
  <c r="F516" i="17"/>
  <c r="D515" i="17"/>
  <c r="F515" i="17"/>
  <c r="D513" i="17"/>
  <c r="F513" i="17" s="1"/>
  <c r="D510" i="17"/>
  <c r="F510" i="17" s="1"/>
  <c r="D509" i="17"/>
  <c r="F509" i="17"/>
  <c r="D507" i="17"/>
  <c r="F507" i="17" s="1"/>
  <c r="D504" i="17"/>
  <c r="F504" i="17"/>
  <c r="D503" i="17"/>
  <c r="F503" i="17"/>
  <c r="D501" i="17"/>
  <c r="F501" i="17" s="1"/>
  <c r="D498" i="17"/>
  <c r="F498" i="17"/>
  <c r="D497" i="17"/>
  <c r="F497" i="17" s="1"/>
  <c r="D496" i="17"/>
  <c r="F496" i="17" s="1"/>
  <c r="D495" i="17"/>
  <c r="F495" i="17" s="1"/>
  <c r="D492" i="17"/>
  <c r="F492" i="17" s="1"/>
  <c r="D491" i="17"/>
  <c r="F491" i="17"/>
  <c r="D489" i="17"/>
  <c r="F489" i="17" s="1"/>
  <c r="D486" i="17"/>
  <c r="F486" i="17"/>
  <c r="D485" i="17"/>
  <c r="F485" i="17"/>
  <c r="D483" i="17"/>
  <c r="F483" i="17" s="1"/>
  <c r="D480" i="17"/>
  <c r="F480" i="17"/>
  <c r="D479" i="17"/>
  <c r="F479" i="17" s="1"/>
  <c r="D478" i="17"/>
  <c r="F478" i="17" s="1"/>
  <c r="D477" i="17"/>
  <c r="F477" i="17" s="1"/>
  <c r="D474" i="17"/>
  <c r="F474" i="17" s="1"/>
  <c r="D473" i="17"/>
  <c r="F473" i="17"/>
  <c r="D471" i="17"/>
  <c r="F471" i="17" s="1"/>
  <c r="D468" i="17"/>
  <c r="F468" i="17"/>
  <c r="D467" i="17"/>
  <c r="F467" i="17"/>
  <c r="D465" i="17"/>
  <c r="F465" i="17" s="1"/>
  <c r="D462" i="17"/>
  <c r="F462" i="17"/>
  <c r="D461" i="17"/>
  <c r="F461" i="17" s="1"/>
  <c r="D459" i="17"/>
  <c r="F459" i="17" s="1"/>
  <c r="D453" i="17"/>
  <c r="F453" i="17"/>
  <c r="D452" i="17"/>
  <c r="F452" i="17"/>
  <c r="D451" i="17"/>
  <c r="F451" i="17" s="1"/>
  <c r="D448" i="17"/>
  <c r="F448" i="17" s="1"/>
  <c r="D447" i="17"/>
  <c r="F447" i="17" s="1"/>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s="1"/>
  <c r="D344" i="17"/>
  <c r="F344" i="17" s="1"/>
  <c r="D340" i="17"/>
  <c r="F340" i="17" s="1"/>
  <c r="D339" i="17"/>
  <c r="F339" i="17" s="1"/>
  <c r="D336" i="17"/>
  <c r="F336" i="17"/>
  <c r="D335" i="17"/>
  <c r="F335" i="17" s="1"/>
  <c r="D332" i="17"/>
  <c r="F332" i="17" s="1"/>
  <c r="D331" i="17"/>
  <c r="F331" i="17" s="1"/>
  <c r="D328" i="17"/>
  <c r="F328" i="17"/>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F54" i="18"/>
  <c r="G13" i="1" s="1"/>
  <c r="F52" i="18"/>
  <c r="G11" i="1" s="1"/>
  <c r="G124" i="10"/>
  <c r="G227" i="10" s="1"/>
  <c r="G83" i="10"/>
  <c r="F161" i="10" s="1"/>
  <c r="G161" i="10" s="1"/>
  <c r="I161" i="10" s="1"/>
  <c r="D540" i="17"/>
  <c r="F540" i="17" s="1"/>
  <c r="E226" i="10"/>
  <c r="F42" i="9" l="1"/>
  <c r="F43" i="9" s="1"/>
  <c r="F21" i="1" s="1"/>
  <c r="E224" i="10"/>
  <c r="E225" i="10"/>
  <c r="F10" i="20"/>
  <c r="G51" i="8"/>
  <c r="D13" i="3" s="1"/>
  <c r="D27" i="3" s="1"/>
  <c r="E27" i="3" s="1"/>
  <c r="G32" i="8"/>
  <c r="G34" i="8" s="1"/>
  <c r="F53" i="18"/>
  <c r="G12" i="1" s="1"/>
  <c r="G91" i="5"/>
  <c r="D9" i="3" s="1"/>
  <c r="D23" i="3" s="1"/>
  <c r="E23" i="3" s="1"/>
  <c r="F16" i="1" s="1"/>
  <c r="F56" i="18"/>
  <c r="F51" i="18"/>
  <c r="G10" i="1" s="1"/>
  <c r="F55" i="18"/>
  <c r="G14" i="1" s="1"/>
  <c r="G130" i="4"/>
  <c r="D8" i="3" s="1"/>
  <c r="D22" i="3" s="1"/>
  <c r="E22" i="3" s="1"/>
  <c r="H15" i="1" s="1"/>
  <c r="G91" i="7"/>
  <c r="G93" i="7" s="1"/>
  <c r="D11" i="3" s="1"/>
  <c r="D25" i="3" s="1"/>
  <c r="E25" i="3" s="1"/>
  <c r="G19" i="10"/>
  <c r="F158" i="10" s="1"/>
  <c r="G158" i="10" s="1"/>
  <c r="I158" i="10" s="1"/>
  <c r="D404" i="17"/>
  <c r="F404" i="17" s="1"/>
  <c r="F12" i="20"/>
  <c r="F14" i="20"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H21" i="1" l="1"/>
  <c r="F20" i="1"/>
  <c r="H20" i="1"/>
  <c r="G35" i="8"/>
  <c r="D12" i="3" s="1"/>
  <c r="D26" i="3" s="1"/>
  <c r="E26" i="3" s="1"/>
  <c r="F19" i="1" s="1"/>
  <c r="H16" i="1"/>
  <c r="F15" i="1"/>
  <c r="H18" i="1"/>
  <c r="F18" i="1"/>
  <c r="H19" i="10"/>
  <c r="J19" i="10" s="1"/>
  <c r="D18" i="20"/>
  <c r="D19" i="20" s="1"/>
  <c r="D21" i="20" s="1"/>
  <c r="D38" i="14"/>
  <c r="D32" i="14"/>
  <c r="D813" i="17"/>
  <c r="F813" i="17" s="1"/>
  <c r="D34" i="14"/>
  <c r="D30" i="14"/>
  <c r="D816" i="17" s="1"/>
  <c r="F816" i="17" s="1"/>
  <c r="D40" i="14"/>
  <c r="D28" i="14"/>
  <c r="D815" i="17" s="1"/>
  <c r="F815" i="17" s="1"/>
  <c r="D36" i="14"/>
  <c r="G228" i="10"/>
  <c r="G232" i="10"/>
  <c r="G236" i="10" s="1"/>
  <c r="H19" i="1" l="1"/>
  <c r="H232" i="10"/>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<sst xmlns="http://schemas.openxmlformats.org/spreadsheetml/2006/main" count="3276" uniqueCount="1075">
  <si>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</si>
  <si>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</si>
  <si>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</si>
  <si>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</si>
  <si>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</si>
  <si>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</si>
  <si>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</si>
  <si>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</si>
  <si>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</si>
  <si>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</si>
  <si>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</si>
  <si>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</si>
  <si>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</si>
  <si>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</si>
  <si>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</si>
  <si>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</si>
  <si>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</si>
  <si>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</si>
  <si>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</si>
  <si>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</si>
  <si>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</si>
  <si>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</si>
  <si>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</si>
  <si>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</si>
  <si>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</si>
  <si>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</si>
  <si>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</si>
  <si>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</si>
  <si>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</si>
  <si>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</si>
  <si>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</si>
  <si>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</si>
  <si>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</si>
  <si>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</si>
  <si>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</si>
  <si>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</si>
  <si>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</si>
  <si>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</si>
  <si>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</si>
  <si>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</si>
  <si>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</si>
  <si>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</si>
  <si>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</si>
  <si>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</si>
  <si>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</si>
  <si>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</si>
  <si>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</si>
  <si>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</si>
  <si>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</si>
  <si>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</si>
  <si>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</si>
  <si>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</si>
  <si>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</si>
  <si>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</si>
  <si>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</si>
  <si>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</si>
  <si>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</si>
  <si>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</si>
  <si>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</si>
  <si>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</si>
  <si>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</si>
  <si>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</si>
  <si>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</si>
  <si>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</si>
  <si>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</si>
  <si>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</si>
  <si>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</si>
  <si>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</si>
  <si>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</si>
  <si>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</si>
  <si>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</si>
  <si>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</si>
  <si>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</si>
  <si>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</si>
  <si>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</si>
  <si>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</si>
  <si>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</si>
  <si>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</si>
  <si>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</si>
  <si>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</si>
  <si>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</si>
  <si>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</si>
  <si>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</si>
  <si>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</si>
  <si>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</si>
  <si>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</si>
  <si>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</si>
  <si>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</si>
  <si>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</si>
  <si>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</si>
  <si>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</si>
  <si>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</si>
  <si>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</si>
  <si>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</si>
  <si>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</si>
  <si>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</si>
  <si>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</si>
  <si>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</si>
  <si>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</si>
  <si>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</si>
  <si>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</si>
  <si>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</si>
  <si>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</si>
  <si>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</si>
  <si>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</si>
  <si>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</si>
  <si>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</si>
  <si>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</si>
  <si>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</si>
  <si>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</si>
  <si>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</si>
  <si>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</si>
  <si>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</si>
  <si>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</si>
  <si>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</si>
  <si>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</si>
  <si>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</si>
  <si>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</si>
  <si>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</si>
  <si>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</si>
  <si>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</si>
  <si>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</si>
  <si>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</si>
  <si>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</si>
  <si>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</si>
  <si>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</si>
  <si>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</si>
  <si>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</si>
  <si>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</si>
  <si>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</si>
  <si>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</si>
  <si>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</si>
  <si>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</si>
  <si>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</si>
  <si>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</si>
  <si>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</si>
  <si>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</si>
  <si>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</si>
  <si>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</si>
  <si>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</si>
  <si>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</si>
  <si>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</si>
  <si>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</si>
  <si>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</si>
  <si>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</si>
  <si>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</si>
  <si>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</si>
  <si>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</si>
  <si>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</si>
  <si>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</si>
  <si>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</si>
  <si>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</si>
  <si>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</si>
  <si>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</si>
  <si>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</si>
  <si>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</si>
  <si>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</si>
  <si>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</si>
  <si>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</si>
  <si>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</si>
  <si>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</si>
  <si>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</si>
  <si>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</si>
  <si>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</si>
  <si>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</si>
  <si>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</si>
  <si>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</si>
  <si>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</si>
  <si>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</si>
  <si>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</si>
  <si>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</si>
  <si>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</si>
  <si>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</si>
  <si>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</si>
  <si>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</si>
  <si>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</si>
  <si>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</si>
  <si>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</si>
  <si>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</si>
  <si>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</si>
  <si>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</si>
  <si>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</si>
  <si>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</si>
  <si>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</si>
  <si>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</si>
  <si>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</si>
  <si>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</si>
  <si>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</si>
  <si>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</si>
  <si>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</si>
  <si>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</si>
  <si>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</si>
  <si>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</si>
  <si>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</si>
  <si>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</si>
  <si>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</si>
  <si>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</si>
  <si>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</si>
  <si>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</si>
  <si>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</si>
  <si>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</si>
  <si>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</si>
  <si>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</si>
  <si>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</si>
  <si>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</si>
  <si>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</si>
  <si>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</si>
  <si>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</si>
  <si>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</si>
  <si>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</si>
  <si>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</si>
  <si>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</si>
  <si>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</si>
  <si>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</si>
  <si>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</si>
  <si>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</si>
  <si>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</si>
  <si>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</si>
  <si>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</si>
  <si>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</si>
  <si>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</si>
  <si>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</si>
  <si>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</si>
  <si>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</si>
  <si>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</si>
  <si>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</si>
  <si>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</si>
  <si>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</si>
  <si>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</si>
  <si>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</si>
  <si>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</si>
  <si>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</si>
  <si>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</si>
  <si>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</si>
  <si>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</si>
  <si>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</si>
  <si>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</si>
  <si>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</si>
  <si>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</si>
  <si>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</si>
  <si>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</si>
  <si>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</si>
  <si>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</si>
  <si>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</si>
  <si>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</si>
  <si>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</si>
  <si>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</si>
  <si>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</si>
  <si>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</si>
  <si>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</si>
  <si>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</si>
  <si>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</si>
  <si>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</si>
  <si>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</si>
  <si>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</si>
  <si>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</si>
  <si>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</si>
  <si>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</si>
  <si>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</si>
  <si>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</si>
  <si>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</si>
  <si>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</si>
  <si>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</si>
  <si>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</si>
  <si>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</si>
  <si>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</si>
  <si>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</si>
  <si>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</si>
  <si>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</si>
  <si>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</si>
  <si>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</si>
  <si>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</si>
  <si>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</si>
  <si>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</si>
  <si>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</si>
  <si>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</si>
  <si>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</si>
  <si>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</si>
  <si>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</si>
  <si>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</si>
  <si>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</si>
  <si>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</si>
  <si>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</si>
  <si>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</si>
  <si>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</si>
  <si>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</si>
  <si>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</si>
  <si>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</si>
  <si>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</si>
  <si>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</si>
  <si>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</si>
  <si>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</si>
  <si>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</si>
  <si>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</si>
  <si>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</si>
  <si>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</si>
  <si>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</si>
  <si>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</si>
  <si>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</si>
  <si>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</si>
  <si>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</si>
  <si>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</si>
  <si>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</si>
  <si>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</si>
  <si>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</si>
  <si>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</si>
  <si>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</si>
  <si>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</si>
  <si>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</si>
  <si>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</si>
  <si>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</si>
  <si>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</si>
  <si>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</si>
  <si>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</si>
  <si>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</si>
  <si>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</si>
  <si>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</si>
  <si>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</si>
  <si>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</si>
  <si>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</si>
  <si>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</si>
  <si>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</si>
  <si>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</si>
  <si>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</si>
  <si>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</si>
  <si>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</si>
  <si>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</si>
  <si>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</si>
  <si>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</si>
  <si>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</si>
  <si>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</si>
  <si>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</si>
  <si>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</si>
  <si>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</si>
  <si>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</si>
  <si>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</si>
  <si>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</si>
  <si>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</si>
  <si>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</si>
  <si>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</si>
  <si>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</si>
  <si>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</si>
  <si>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</si>
  <si>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</si>
  <si>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</si>
  <si>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</si>
  <si>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</si>
  <si>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</si>
  <si>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</si>
  <si>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</si>
  <si>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</si>
  <si>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</si>
  <si>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</si>
  <si>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</si>
  <si>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</si>
  <si>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</si>
  <si>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</si>
  <si>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</si>
  <si>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</si>
  <si>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</si>
  <si>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</si>
  <si>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</si>
  <si>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</si>
  <si>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</si>
  <si>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</si>
  <si>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</si>
  <si>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</si>
  <si>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</si>
  <si>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</si>
  <si>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</si>
  <si>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</si>
  <si>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</si>
  <si>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</si>
  <si>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</si>
  <si>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</si>
  <si>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</si>
  <si>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</si>
  <si>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</si>
  <si>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</si>
  <si>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</si>
  <si>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</si>
  <si>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</si>
  <si>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</si>
  <si>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</si>
  <si>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</si>
  <si>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</si>
  <si>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</si>
  <si>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</si>
  <si>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</si>
  <si>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</si>
  <si>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</si>
  <si>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</si>
  <si>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</si>
  <si>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</si>
  <si>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</si>
  <si>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</si>
  <si>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</si>
  <si>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</si>
  <si>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</si>
  <si>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</si>
  <si>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</si>
  <si>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</si>
  <si>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</si>
  <si>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</si>
  <si>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</si>
  <si>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</si>
  <si>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</si>
  <si>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</si>
  <si>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</si>
  <si>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</si>
  <si>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</si>
  <si>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</si>
  <si>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</si>
  <si>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</si>
  <si>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</si>
  <si>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</si>
  <si>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</si>
  <si>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</si>
  <si>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</si>
  <si>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</si>
  <si>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</si>
  <si>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</si>
  <si>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</si>
  <si>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</si>
  <si>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</si>
  <si>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</si>
  <si>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</si>
  <si>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</si>
  <si>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</si>
  <si>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</si>
  <si>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</si>
  <si>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</si>
  <si>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</si>
  <si>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</si>
  <si>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</si>
  <si>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</si>
  <si>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</si>
  <si>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</si>
  <si>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</si>
  <si>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</si>
  <si>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</si>
  <si>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</si>
  <si>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</si>
  <si>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</si>
  <si>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</si>
  <si>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</si>
  <si>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</si>
  <si>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</si>
  <si>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</si>
  <si>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</si>
  <si>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</si>
  <si>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</si>
  <si>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</si>
  <si>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</si>
  <si>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</si>
  <si>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</si>
  <si>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</si>
  <si>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</si>
  <si>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</si>
  <si>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</si>
  <si>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</si>
  <si>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</si>
  <si>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</si>
  <si>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</si>
  <si>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</si>
  <si>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</si>
  <si>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</si>
  <si>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</si>
  <si>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</si>
  <si>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</si>
  <si>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</si>
  <si>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</si>
  <si>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</si>
  <si>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</si>
  <si>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</si>
  <si>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</si>
  <si>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</si>
  <si>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</si>
  <si>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</si>
  <si>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</si>
  <si>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</si>
  <si>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</si>
  <si>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</si>
  <si>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</si>
  <si>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</si>
  <si>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</si>
  <si>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</si>
  <si>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</si>
  <si>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</si>
  <si>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</si>
  <si>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</si>
  <si>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</si>
  <si>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</si>
  <si>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</si>
  <si>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</si>
  <si>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</si>
  <si>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</si>
  <si>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</si>
  <si>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</si>
  <si>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</si>
  <si>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</si>
  <si>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</si>
  <si>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</si>
  <si>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</si>
  <si>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</si>
  <si>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</si>
  <si>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</si>
  <si>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</si>
  <si>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</si>
  <si>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</si>
  <si>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</si>
  <si>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</si>
  <si>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</si>
  <si>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</si>
  <si>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</si>
  <si>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</si>
  <si>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</si>
  <si>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</si>
  <si>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</si>
  <si>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</si>
  <si>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</si>
  <si>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</si>
  <si>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</si>
  <si>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</si>
  <si>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</si>
  <si>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</si>
  <si>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</si>
  <si>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</si>
  <si>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</si>
  <si>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</si>
  <si>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</si>
  <si>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</si>
  <si>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</si>
  <si>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</si>
  <si>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</si>
  <si>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</si>
  <si>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</si>
  <si>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</si>
  <si>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</si>
  <si>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</si>
  <si>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</si>
  <si>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</si>
  <si>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</si>
  <si>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</si>
  <si>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</si>
  <si>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</si>
  <si>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</si>
  <si>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</si>
  <si>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</si>
  <si>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</si>
  <si>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</si>
  <si>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</si>
  <si>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</si>
  <si>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</si>
  <si>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</si>
  <si>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</si>
  <si>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</si>
  <si>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</si>
  <si>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</si>
  <si>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</si>
  <si>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</si>
  <si>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</si>
  <si>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</si>
  <si>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</si>
  <si>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</si>
  <si>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</si>
  <si>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</si>
  <si>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</si>
  <si>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</si>
  <si>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</si>
  <si>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</si>
  <si>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</si>
  <si>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</si>
  <si>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</si>
  <si>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</si>
  <si>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</si>
  <si>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</si>
  <si>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</si>
  <si>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</si>
  <si>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</si>
  <si>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</si>
  <si>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</si>
  <si>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</si>
  <si>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</si>
  <si>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</si>
  <si>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</si>
  <si>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</si>
  <si>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</si>
  <si>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</si>
  <si>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</si>
  <si>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</si>
  <si>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</si>
  <si>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</si>
  <si>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</si>
  <si>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</si>
  <si>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</si>
  <si>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</si>
  <si>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</si>
  <si>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</si>
  <si>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</si>
  <si>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</si>
  <si>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</si>
  <si>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</si>
  <si>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</si>
  <si>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</si>
  <si>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</si>
  <si>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</si>
  <si>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</si>
  <si>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</si>
  <si>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</si>
  <si>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</si>
  <si>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</si>
  <si>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</si>
  <si>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</si>
  <si>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</si>
  <si>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</si>
  <si>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</si>
  <si>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</si>
  <si>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</si>
  <si>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</si>
  <si>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</si>
  <si>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</si>
  <si>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</si>
  <si>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</si>
  <si>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</si>
  <si>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</si>
  <si>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</si>
  <si>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</si>
  <si>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</si>
  <si>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</si>
  <si>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</si>
  <si>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</si>
  <si>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</si>
  <si>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</si>
  <si>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</si>
  <si>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</si>
  <si>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</si>
  <si>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</si>
  <si>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</si>
  <si>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</si>
  <si>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</si>
  <si>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</si>
  <si>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</si>
  <si>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</si>
  <si>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</si>
  <si>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</si>
  <si>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</si>
  <si>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</si>
  <si>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</si>
  <si>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</si>
  <si>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</si>
  <si>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</si>
  <si>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</si>
  <si>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</si>
  <si>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</si>
  <si>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</si>
  <si>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</si>
  <si>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</si>
  <si>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</si>
  <si>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</si>
  <si>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</si>
  <si>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</si>
  <si>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</si>
  <si>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</si>
  <si>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</si>
  <si>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</si>
  <si>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</si>
  <si>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</si>
  <si>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</si>
  <si>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</si>
  <si>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</si>
  <si>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</si>
  <si>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</si>
  <si>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</si>
  <si>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</si>
  <si>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</si>
  <si>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</si>
  <si>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</si>
  <si>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</si>
  <si>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</si>
  <si>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</si>
  <si>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</si>
  <si>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</si>
  <si>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</si>
  <si>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</si>
  <si>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</si>
  <si>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</si>
  <si>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</si>
  <si>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</si>
  <si>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</si>
  <si>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</si>
  <si>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</si>
  <si>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</si>
  <si>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</si>
  <si>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</si>
  <si>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</si>
  <si>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</si>
  <si>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</si>
  <si>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</si>
  <si>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</si>
  <si>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</si>
  <si>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</si>
  <si>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</si>
  <si>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</si>
  <si>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</si>
  <si>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</si>
  <si>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</si>
  <si>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</si>
  <si>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</si>
  <si>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</si>
  <si>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</si>
  <si>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</si>
  <si>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</si>
  <si>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</si>
  <si>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</si>
  <si>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</si>
  <si>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</si>
  <si>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</si>
  <si>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</si>
  <si>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</si>
  <si>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</si>
  <si>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</si>
  <si>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</si>
  <si>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</si>
  <si>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</si>
  <si>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</si>
  <si>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</si>
  <si>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</si>
  <si>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</si>
  <si>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</si>
  <si>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</si>
  <si>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</si>
  <si>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</si>
  <si>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</si>
  <si>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</si>
  <si>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</si>
  <si>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</si>
  <si>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</si>
  <si>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</si>
  <si>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</si>
  <si>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</si>
  <si>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</si>
  <si>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</si>
  <si>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</si>
  <si>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</si>
  <si>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</si>
  <si>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</si>
  <si>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</si>
  <si>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</si>
  <si>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</si>
  <si>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</si>
  <si>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</si>
  <si>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</si>
  <si>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</si>
  <si>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</si>
  <si>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</si>
  <si>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</si>
  <si>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</si>
  <si>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</si>
  <si>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</si>
  <si>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</si>
  <si>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</si>
  <si>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</si>
  <si>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</si>
  <si>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</si>
  <si>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</si>
  <si>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</si>
  <si>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</si>
  <si>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</si>
  <si>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</si>
  <si>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</si>
  <si>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</si>
  <si>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</si>
  <si>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</si>
  <si>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</si>
  <si>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</si>
  <si>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</si>
  <si>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</si>
  <si>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</si>
  <si>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</si>
  <si>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</si>
  <si>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</si>
  <si>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</si>
  <si>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</si>
  <si>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</si>
  <si>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</si>
  <si>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</si>
  <si>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</si>
  <si>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</si>
  <si>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</si>
  <si>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</si>
  <si>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</si>
  <si>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</si>
  <si>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</si>
  <si>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</si>
  <si>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</si>
  <si>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</si>
  <si>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</si>
  <si>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</si>
  <si>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</si>
  <si>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</si>
  <si>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</si>
  <si>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</si>
  <si>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</si>
  <si>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</si>
  <si>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</si>
  <si>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</si>
  <si>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</si>
  <si>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</si>
  <si>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</si>
  <si>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</si>
  <si>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</si>
  <si>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</si>
  <si>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</si>
  <si>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</si>
  <si>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</si>
  <si>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</si>
  <si>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</si>
  <si>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</si>
  <si>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</si>
  <si>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</si>
  <si>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</si>
  <si>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</si>
  <si>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</si>
  <si>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</si>
  <si>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</si>
  <si>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</si>
  <si>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</si>
  <si>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</si>
  <si>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</si>
  <si>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</si>
  <si>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</si>
  <si>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</si>
  <si>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</si>
  <si>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</si>
  <si>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</si>
  <si>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</si>
  <si>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</si>
  <si>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</si>
  <si>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</si>
  <si>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</si>
  <si>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</si>
  <si>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</si>
  <si>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</si>
  <si>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</si>
  <si>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</si>
  <si>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</si>
  <si>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</si>
  <si>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</si>
  <si>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</si>
  <si>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</si>
  <si>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</si>
  <si>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</si>
  <si>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</si>
  <si>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</si>
  <si>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</si>
  <si>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</si>
  <si>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</si>
  <si>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</si>
  <si>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</si>
  <si>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</si>
  <si>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</si>
  <si>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</si>
  <si>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</si>
  <si>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</si>
  <si>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</si>
  <si>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</si>
  <si>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</si>
  <si>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</si>
  <si>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</si>
  <si>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</si>
  <si>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</si>
  <si>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</si>
  <si>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</si>
  <si>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</si>
  <si>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</si>
  <si>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</si>
  <si>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</si>
  <si>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</si>
  <si>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</si>
  <si>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</si>
  <si>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</si>
  <si>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</si>
  <si>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</si>
  <si>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</si>
  <si>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</si>
  <si>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</si>
  <si>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</si>
  <si>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</si>
  <si>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</si>
  <si>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</si>
  <si>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</si>
  <si>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</si>
  <si>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</si>
  <si>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</si>
  <si>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</si>
  <si>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</si>
  <si>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</si>
  <si>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</si>
  <si>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</si>
  <si>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</si>
  <si>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</si>
  <si>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</si>
  <si>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</si>
  <si>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</si>
  <si>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</si>
  <si>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</si>
  <si>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</si>
  <si>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</si>
  <si>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</si>
  <si>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</si>
  <si>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</si>
  <si>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</si>
  <si>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</si>
  <si>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</si>
  <si>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</si>
  <si>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</si>
  <si>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</si>
  <si>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</si>
  <si>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</si>
  <si>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</si>
  <si>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</si>
  <si>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</si>
  <si>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</si>
  <si>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</si>
  <si>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</si>
  <si>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</si>
  <si>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</si>
  <si>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</si>
  <si>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</si>
  <si>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</si>
  <si>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</si>
  <si>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</si>
  <si>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</si>
  <si>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</si>
  <si>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</si>
  <si>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</si>
  <si>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</si>
  <si>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</si>
  <si>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</si>
  <si>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</si>
  <si>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</si>
  <si>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</si>
  <si>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</si>
  <si>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</si>
  <si>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</si>
  <si>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</si>
  <si>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</si>
  <si>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</si>
  <si>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</si>
  <si>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</si>
  <si>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</si>
  <si>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</si>
  <si>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</si>
  <si>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</si>
  <si>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</si>
  <si>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</si>
  <si>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</si>
  <si>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</si>
  <si>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</si>
  <si>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</si>
  <si>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</si>
  <si>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</si>
  <si>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</si>
  <si>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</si>
  <si>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</si>
  <si>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</si>
  <si>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</si>
  <si>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</si>
  <si>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</si>
  <si>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</si>
  <si>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</si>
  <si>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</si>
  <si>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</si>
  <si>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</si>
  <si>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</si>
  <si>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</si>
  <si>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</si>
  <si>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</si>
  <si>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</si>
  <si>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</si>
  <si>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</si>
  <si>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</si>
  <si>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</si>
  <si>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</si>
  <si>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</si>
  <si>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</si>
  <si>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</si>
  <si>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</si>
  <si>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</si>
  <si>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</si>
  <si>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</si>
  <si>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</si>
  <si>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</si>
  <si>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</si>
  <si>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</si>
  <si>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</si>
  <si>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</si>
  <si>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</si>
  <si>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</si>
  <si>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</si>
  <si>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</si>
  <si>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</si>
  <si>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</si>
  <si>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</si>
  <si>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</si>
  <si>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</si>
  <si>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</si>
  <si>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</si>
  <si>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</si>
  <si>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</si>
  <si>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</si>
  <si>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</si>
  <si>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</si>
  <si>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</si>
  <si>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</si>
  <si>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</si>
  <si>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</si>
  <si>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</si>
  <si>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</si>
  <si>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</si>
  <si>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</si>
  <si>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</si>
  <si>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</si>
  <si>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</si>
  <si>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</si>
  <si>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</si>
  <si>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</si>
  <si>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</si>
  <si>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</si>
  <si>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</si>
  <si>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</si>
  <si>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</si>
  <si>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</si>
  <si>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</si>
  <si>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</si>
  <si>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</si>
  <si>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</si>
  <si>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</si>
  <si>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</si>
  <si>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</si>
  <si>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</si>
  <si>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</si>
  <si>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</si>
  <si>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</si>
  <si>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</si>
  <si>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</si>
  <si>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</si>
  <si>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</si>
  <si>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</si>
  <si>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</si>
  <si>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</si>
  <si>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</si>
  <si>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</si>
  <si>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</si>
  <si>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</si>
  <si>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</si>
  <si>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</si>
  <si>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</si>
  <si>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</si>
  <si>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</si>
  <si>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</si>
  <si>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</si>
  <si>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</si>
  <si>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</si>
  <si>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</si>
  <si>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</si>
  <si>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Tomlinson Dairies</t>
  </si>
  <si>
    <t>PPN-00061</t>
  </si>
  <si>
    <t>Milk Processing.8</t>
  </si>
  <si>
    <t>Cream Spillage 2015</t>
  </si>
  <si>
    <t>cream spillage 2015</t>
  </si>
  <si>
    <t>Paul Downing &amp; Associates</t>
  </si>
  <si>
    <t>Rule 7 Not Applied</t>
  </si>
  <si>
    <t>December 2016 for all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</si>
</sst>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6">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34" fillId="2" borderId="10" xfId="0" applyFont="1" applyFill="1" applyBorder="1" applyAlignment="1" applyProtection="1">
      <alignment horizontal="center" vertical="center" wrapText="1"/>
    </xf>
    <xf numFmtId="0" fontId="1" fillId="2" borderId="1" xfId="3" applyFont="1" applyFill="1" applyBorder="1" applyAlignment="1" applyProtection="1">
      <alignment vertical="top" wrapText="1"/>
      <protection locked="0"/>
    </xf>
    <xf numFmtId="0" fontId="1" fillId="4" borderId="3" xfId="3" applyFont="1" applyFill="1" applyBorder="1" applyAlignment="1" applyProtection="1">
      <alignment vertical="top" wrapText="1"/>
      <protection locked="0"/>
    </xf>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xf>
    <xf numFmtId="0" fontId="30"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11" fillId="2" borderId="0" xfId="0" applyFont="1" applyFill="1" applyBorder="1" applyAlignment="1" applyProtection="1"/>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17" fillId="0" borderId="0" xfId="0" applyFont="1" applyFill="1" applyBorder="1" applyAlignment="1" applyProtection="1">
      <alignment horizontal="center"/>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16" fillId="0" borderId="0" xfId="0" applyFont="1" applyFill="1" applyBorder="1" applyAlignment="1" applyProtection="1">
      <alignment horizontal="center"/>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29" fillId="2" borderId="70" xfId="3" applyFont="1" applyFill="1" applyBorder="1" applyAlignment="1" applyProtection="1">
      <alignment horizontal="center"/>
      <protection hidden="1"/>
    </xf>
    <xf numFmtId="0" fontId="6" fillId="2" borderId="0" xfId="3" applyFont="1" applyFill="1" applyBorder="1" applyAlignment="1" applyProtection="1">
      <alignment horizontal="left" vertical="top" wrapText="1" indent="2"/>
      <protection hidden="1"/>
    </xf>
    <xf numFmtId="0" fontId="6" fillId="2" borderId="54" xfId="3" applyFont="1" applyFill="1" applyBorder="1" applyAlignment="1" applyProtection="1">
      <alignment horizontal="left" vertical="top" wrapText="1" indent="2"/>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6" fillId="2" borderId="44"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0" fontId="1" fillId="0" borderId="77" xfId="3" applyFont="1" applyBorder="1" applyAlignment="1" applyProtection="1">
      <alignment horizontal="left" vertical="top" wrapText="1"/>
      <protection locked="0"/>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2" fontId="3" fillId="2" borderId="9"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9"/>
          <c:y val="0.12685030350571325"/>
          <c:w val="0.37465273184283693"/>
          <c:h val="0.7484167906837087"/>
        </c:manualLayout>
      </c:layout>
      <c:pieChart>
        <c:varyColors val="1"/>
        <c:ser>
          <c:idx val="0"/>
          <c:order val="0"/>
          <c:spPr>
            <a:solidFill>
              <a:srgbClr val="8080FF"/>
            </a:solidFill>
            <a:ln w="12700">
              <a:solidFill>
                <a:srgbClr val="000000"/>
              </a:solidFill>
              <a:prstDash val="solid"/>
            </a:ln>
          </c:spPr>
          <c:dPt>
            <c:idx val="1"/>
            <c:bubble3D val="0"/>
            <c:spPr>
              <a:solidFill>
                <a:srgbClr val="802060"/>
              </a:solidFill>
              <a:ln w="12700">
                <a:solidFill>
                  <a:srgbClr val="000000"/>
                </a:solidFill>
                <a:prstDash val="solid"/>
              </a:ln>
            </c:spPr>
          </c:dPt>
          <c:dPt>
            <c:idx val="2"/>
            <c:bubble3D val="0"/>
            <c:spPr>
              <a:solidFill>
                <a:srgbClr val="FFFFC0"/>
              </a:solidFill>
              <a:ln w="12700">
                <a:solidFill>
                  <a:srgbClr val="000000"/>
                </a:solidFill>
                <a:prstDash val="solid"/>
              </a:ln>
            </c:spPr>
          </c:dPt>
          <c:dPt>
            <c:idx val="3"/>
            <c:bubble3D val="0"/>
            <c:spPr>
              <a:solidFill>
                <a:srgbClr val="A0E0E0"/>
              </a:solidFill>
              <a:ln w="12700">
                <a:solidFill>
                  <a:srgbClr val="000000"/>
                </a:solidFill>
                <a:prstDash val="solid"/>
              </a:ln>
            </c:spPr>
          </c:dPt>
          <c:dPt>
            <c:idx val="4"/>
            <c:bubble3D val="0"/>
            <c:spPr>
              <a:solidFill>
                <a:srgbClr val="600080"/>
              </a:solidFill>
              <a:ln w="12700">
                <a:solidFill>
                  <a:srgbClr val="000000"/>
                </a:solidFill>
                <a:prstDash val="solid"/>
              </a:ln>
            </c:spPr>
          </c:dPt>
          <c:dPt>
            <c:idx val="5"/>
            <c:bubble3D val="0"/>
            <c:spPr>
              <a:solidFill>
                <a:srgbClr val="FF8080"/>
              </a:solidFill>
              <a:ln w="12700">
                <a:solidFill>
                  <a:srgbClr val="000000"/>
                </a:solidFill>
                <a:prstDash val="solid"/>
              </a:ln>
            </c:spPr>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3</c:v>
                </c:pt>
                <c:pt idx="4">
                  <c:v>0</c:v>
                </c:pt>
                <c:pt idx="5">
                  <c:v>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59"/>
          <c:y val="0.15675675675675679"/>
          <c:w val="0.28496069917381761"/>
          <c:h val="0.67027027027027153"/>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78" r="0.75000000000000078"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83"/>
          <c:y val="4.4406673835374208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21"/>
          <c:y val="0.21520124401543814"/>
          <c:w val="0.80433919830665368"/>
          <c:h val="0.4748090939388236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1"/>
            <c:invertIfNegative val="0"/>
            <c:bubble3D val="0"/>
            <c:spPr>
              <a:solidFill>
                <a:srgbClr val="802060"/>
              </a:solidFill>
              <a:ln w="12700">
                <a:solidFill>
                  <a:srgbClr val="000000"/>
                </a:solidFill>
                <a:prstDash val="solid"/>
              </a:ln>
            </c:spPr>
          </c:dPt>
          <c:dPt>
            <c:idx val="2"/>
            <c:invertIfNegative val="0"/>
            <c:bubble3D val="0"/>
            <c:spPr>
              <a:solidFill>
                <a:srgbClr val="FFFFC0"/>
              </a:solidFill>
              <a:ln w="12700">
                <a:solidFill>
                  <a:srgbClr val="000000"/>
                </a:solidFill>
                <a:prstDash val="solid"/>
              </a:ln>
            </c:spPr>
          </c:dPt>
          <c:dPt>
            <c:idx val="3"/>
            <c:invertIfNegative val="0"/>
            <c:bubble3D val="0"/>
            <c:spPr>
              <a:solidFill>
                <a:srgbClr val="A0E0E0"/>
              </a:solidFill>
              <a:ln w="12700">
                <a:solidFill>
                  <a:srgbClr val="000000"/>
                </a:solidFill>
                <a:prstDash val="solid"/>
              </a:ln>
            </c:spPr>
          </c:dPt>
          <c:dPt>
            <c:idx val="4"/>
            <c:invertIfNegative val="0"/>
            <c:bubble3D val="0"/>
            <c:spPr>
              <a:solidFill>
                <a:srgbClr val="600080"/>
              </a:solidFill>
              <a:ln w="12700">
                <a:solidFill>
                  <a:srgbClr val="000000"/>
                </a:solidFill>
                <a:prstDash val="solid"/>
              </a:ln>
            </c:spPr>
          </c:dPt>
          <c:dPt>
            <c:idx val="5"/>
            <c:invertIfNegative val="0"/>
            <c:bubble3D val="0"/>
            <c:spPr>
              <a:solidFill>
                <a:srgbClr val="FF8080"/>
              </a:solidFill>
              <a:ln w="12700">
                <a:solidFill>
                  <a:srgbClr val="000000"/>
                </a:solidFill>
                <a:prstDash val="solid"/>
              </a:ln>
            </c:spPr>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1</c:v>
                </c:pt>
                <c:pt idx="4">
                  <c:v>0</c:v>
                </c:pt>
                <c:pt idx="5">
                  <c:v>0</c:v>
                </c:pt>
              </c:numCache>
            </c:numRef>
          </c:val>
        </c:ser>
        <c:dLbls>
          <c:showLegendKey val="0"/>
          <c:showVal val="0"/>
          <c:showCatName val="0"/>
          <c:showSerName val="0"/>
          <c:showPercent val="0"/>
          <c:showBubbleSize val="0"/>
        </c:dLbls>
        <c:gapWidth val="150"/>
        <c:axId val="229084776"/>
        <c:axId val="229084384"/>
      </c:barChart>
      <c:catAx>
        <c:axId val="2290847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229084384"/>
        <c:crosses val="autoZero"/>
        <c:auto val="1"/>
        <c:lblAlgn val="ctr"/>
        <c:lblOffset val="100"/>
        <c:tickLblSkip val="1"/>
        <c:tickMarkSkip val="1"/>
        <c:noMultiLvlLbl val="0"/>
      </c:catAx>
      <c:valAx>
        <c:axId val="229084384"/>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22908477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78" r="0.75000000000000078"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78"/>
          <c:y val="4.5145186891164285E-2"/>
        </c:manualLayout>
      </c:layout>
      <c:overlay val="0"/>
      <c:spPr>
        <a:noFill/>
        <a:ln w="25400">
          <a:noFill/>
        </a:ln>
      </c:spPr>
    </c:title>
    <c:autoTitleDeleted val="0"/>
    <c:plotArea>
      <c:layout>
        <c:manualLayout>
          <c:layoutTarget val="inner"/>
          <c:xMode val="edge"/>
          <c:yMode val="edge"/>
          <c:x val="0.12676056338028172"/>
          <c:y val="0.34826303318841439"/>
          <c:w val="0.85299295774647965"/>
          <c:h val="0.32891508690016957"/>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3</c:v>
                </c:pt>
                <c:pt idx="2">
                  <c:v>1</c:v>
                </c:pt>
                <c:pt idx="3">
                  <c:v>2</c:v>
                </c:pt>
                <c:pt idx="4">
                  <c:v>1</c:v>
                </c:pt>
                <c:pt idx="5">
                  <c:v>0</c:v>
                </c:pt>
                <c:pt idx="6">
                  <c:v>0</c:v>
                </c:pt>
              </c:numCache>
            </c:numRef>
          </c:val>
        </c:ser>
        <c:dLbls>
          <c:showLegendKey val="0"/>
          <c:showVal val="0"/>
          <c:showCatName val="0"/>
          <c:showSerName val="0"/>
          <c:showPercent val="0"/>
          <c:showBubbleSize val="0"/>
        </c:dLbls>
        <c:gapWidth val="150"/>
        <c:axId val="229085560"/>
        <c:axId val="229085952"/>
      </c:barChart>
      <c:catAx>
        <c:axId val="229085560"/>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229085952"/>
        <c:crosses val="autoZero"/>
        <c:auto val="1"/>
        <c:lblAlgn val="ctr"/>
        <c:lblOffset val="100"/>
        <c:tickLblSkip val="1"/>
        <c:tickMarkSkip val="1"/>
        <c:noMultiLvlLbl val="0"/>
      </c:catAx>
      <c:valAx>
        <c:axId val="229085952"/>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02E-2"/>
              <c:y val="0.428879275466061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229085560"/>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000000000000078" r="0.75000000000000078"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618"/>
          <c:y val="3.6171923596255692E-2"/>
        </c:manualLayout>
      </c:layout>
      <c:overlay val="0"/>
      <c:spPr>
        <a:noFill/>
        <a:ln w="25400">
          <a:noFill/>
        </a:ln>
      </c:spPr>
    </c:title>
    <c:autoTitleDeleted val="0"/>
    <c:plotArea>
      <c:layout>
        <c:manualLayout>
          <c:layoutTarget val="inner"/>
          <c:xMode val="edge"/>
          <c:yMode val="edge"/>
          <c:x val="0.10695434028124785"/>
          <c:y val="0.18312015604423024"/>
          <c:w val="0.87015938574496521"/>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dPt>
          <c:dPt>
            <c:idx val="4"/>
            <c:invertIfNegative val="1"/>
            <c:bubble3D val="0"/>
          </c:dPt>
          <c:dPt>
            <c:idx val="5"/>
            <c:invertIfNegative val="1"/>
            <c:bubble3D val="0"/>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1.666666666666667</c:v>
                </c:pt>
                <c:pt idx="1">
                  <c:v>2</c:v>
                </c:pt>
                <c:pt idx="2">
                  <c:v>1.666666666666667</c:v>
                </c:pt>
                <c:pt idx="3">
                  <c:v>2.2000000000000002</c:v>
                </c:pt>
                <c:pt idx="4">
                  <c:v>0</c:v>
                </c:pt>
                <c:pt idx="5">
                  <c:v>7.5333333333333341</c:v>
                </c:pt>
              </c:numCache>
            </c:numRef>
          </c:val>
        </c:ser>
        <c:dLbls>
          <c:showLegendKey val="0"/>
          <c:showVal val="0"/>
          <c:showCatName val="0"/>
          <c:showSerName val="0"/>
          <c:showPercent val="0"/>
          <c:showBubbleSize val="0"/>
        </c:dLbls>
        <c:gapWidth val="80"/>
        <c:axId val="235067648"/>
        <c:axId val="235065688"/>
      </c:barChart>
      <c:catAx>
        <c:axId val="235067648"/>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235065688"/>
        <c:crosses val="autoZero"/>
        <c:auto val="1"/>
        <c:lblAlgn val="ctr"/>
        <c:lblOffset val="100"/>
        <c:tickLblSkip val="1"/>
        <c:tickMarkSkip val="1"/>
        <c:noMultiLvlLbl val="0"/>
      </c:catAx>
      <c:valAx>
        <c:axId val="235065688"/>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94E-2"/>
              <c:y val="0.38206544991124708"/>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235067648"/>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078" r="0.75000000000000078"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0" zoomScaleNormal="100" workbookViewId="0">
      <selection activeCell="I8" sqref="I8:J8"/>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6"/>
      <c r="D2" s="57"/>
      <c r="E2" s="57"/>
      <c r="F2" s="57"/>
      <c r="G2" s="57"/>
      <c r="H2" s="57"/>
      <c r="I2" s="57"/>
      <c r="J2" s="57"/>
      <c r="K2" s="57"/>
      <c r="L2" s="57"/>
      <c r="M2" s="57"/>
      <c r="N2" s="58"/>
      <c r="O2" s="54"/>
      <c r="P2" s="54"/>
      <c r="Q2" s="54"/>
      <c r="R2" s="54"/>
      <c r="S2" s="54"/>
    </row>
    <row r="3" spans="1:19" x14ac:dyDescent="0.2">
      <c r="A3" s="54"/>
      <c r="B3" s="59"/>
      <c r="C3" s="60"/>
      <c r="D3" s="744" t="s">
        <v>344</v>
      </c>
      <c r="E3" s="744"/>
      <c r="F3" s="744"/>
      <c r="G3" s="744"/>
      <c r="H3" s="744"/>
      <c r="I3" s="60"/>
      <c r="J3" s="60"/>
      <c r="K3" s="60"/>
      <c r="L3" s="60"/>
      <c r="M3" s="60"/>
      <c r="N3" s="62"/>
      <c r="O3" s="54"/>
      <c r="P3" s="54"/>
      <c r="Q3" s="54"/>
      <c r="R3" s="54"/>
      <c r="S3" s="54"/>
    </row>
    <row r="4" spans="1:19" x14ac:dyDescent="0.2">
      <c r="A4" s="54"/>
      <c r="B4" s="59"/>
      <c r="C4" s="707"/>
      <c r="D4" s="744"/>
      <c r="E4" s="744"/>
      <c r="F4" s="744"/>
      <c r="G4" s="744"/>
      <c r="H4" s="744"/>
      <c r="I4" s="60"/>
      <c r="J4" s="60"/>
      <c r="K4" s="60"/>
      <c r="L4" s="60"/>
      <c r="M4" s="60"/>
      <c r="N4" s="62"/>
      <c r="O4" s="54"/>
      <c r="P4" s="705"/>
      <c r="Q4" s="54"/>
      <c r="R4" s="54"/>
      <c r="S4" s="54"/>
    </row>
    <row r="5" spans="1:19" x14ac:dyDescent="0.2">
      <c r="A5" s="54"/>
      <c r="B5" s="59"/>
      <c r="C5" s="707"/>
      <c r="D5" s="744"/>
      <c r="E5" s="744"/>
      <c r="F5" s="744"/>
      <c r="G5" s="744"/>
      <c r="H5" s="744"/>
      <c r="I5" s="60"/>
      <c r="J5" s="60"/>
      <c r="K5" s="60"/>
      <c r="L5" s="60"/>
      <c r="M5" s="60"/>
      <c r="N5" s="62"/>
      <c r="O5" s="54"/>
      <c r="P5" s="54"/>
      <c r="Q5" s="54"/>
      <c r="R5" s="54"/>
      <c r="S5" s="54"/>
    </row>
    <row r="6" spans="1:19" x14ac:dyDescent="0.2">
      <c r="A6" s="54"/>
      <c r="B6" s="59"/>
      <c r="C6" s="707"/>
      <c r="D6" s="744"/>
      <c r="E6" s="744"/>
      <c r="F6" s="744"/>
      <c r="G6" s="744"/>
      <c r="H6" s="744"/>
      <c r="I6" s="60"/>
      <c r="J6" s="60"/>
      <c r="K6" s="60"/>
      <c r="L6" s="60"/>
      <c r="M6" s="60"/>
      <c r="N6" s="62"/>
      <c r="O6" s="54"/>
      <c r="P6" s="54"/>
      <c r="Q6" s="54"/>
      <c r="R6" s="54"/>
      <c r="S6" s="54"/>
    </row>
    <row r="7" spans="1:19" ht="18" x14ac:dyDescent="0.2">
      <c r="A7" s="54"/>
      <c r="B7" s="59"/>
      <c r="C7" s="60"/>
      <c r="D7" s="744"/>
      <c r="E7" s="744"/>
      <c r="F7" s="744"/>
      <c r="G7" s="744"/>
      <c r="H7" s="744"/>
      <c r="I7" s="744"/>
      <c r="J7" s="60"/>
      <c r="K7" s="60"/>
      <c r="L7" s="758"/>
      <c r="M7" s="759"/>
      <c r="N7" s="760"/>
      <c r="O7" s="54"/>
      <c r="P7" s="54"/>
      <c r="Q7" s="54"/>
      <c r="R7" s="54"/>
      <c r="S7" s="54"/>
    </row>
    <row r="8" spans="1:19" ht="25.5" x14ac:dyDescent="0.2">
      <c r="A8" s="54"/>
      <c r="B8" s="59"/>
      <c r="C8" s="755" t="s">
        <v>70</v>
      </c>
      <c r="D8" s="756"/>
      <c r="E8" s="761" t="s">
        <v>1067</v>
      </c>
      <c r="F8" s="762"/>
      <c r="G8" s="61"/>
      <c r="H8" s="67" t="s">
        <v>71</v>
      </c>
      <c r="I8" s="753" t="s">
        <v>1068</v>
      </c>
      <c r="J8" s="754"/>
      <c r="K8" s="60"/>
      <c r="L8" s="759"/>
      <c r="M8" s="759"/>
      <c r="N8" s="760"/>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3" t="s">
        <v>1065</v>
      </c>
      <c r="E10" s="314"/>
      <c r="F10" s="576"/>
      <c r="G10" s="60"/>
      <c r="H10" s="755" t="s">
        <v>1066</v>
      </c>
      <c r="I10" s="757"/>
      <c r="J10" s="757"/>
      <c r="K10" s="757"/>
      <c r="L10" s="757"/>
      <c r="M10" s="756"/>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45" t="s">
        <v>345</v>
      </c>
      <c r="D12" s="746"/>
      <c r="E12" s="746"/>
      <c r="F12" s="746"/>
      <c r="G12" s="746"/>
      <c r="H12" s="746"/>
      <c r="I12" s="746"/>
      <c r="J12" s="746"/>
      <c r="K12" s="746"/>
      <c r="L12" s="746"/>
      <c r="M12" s="747"/>
      <c r="N12" s="62"/>
      <c r="O12" s="54"/>
      <c r="P12" s="54"/>
      <c r="Q12" s="54"/>
      <c r="R12" s="54"/>
      <c r="S12" s="54"/>
    </row>
    <row r="13" spans="1:19" x14ac:dyDescent="0.2">
      <c r="A13" s="54"/>
      <c r="B13" s="59"/>
      <c r="C13" s="748"/>
      <c r="D13" s="730"/>
      <c r="E13" s="730"/>
      <c r="F13" s="730"/>
      <c r="G13" s="730"/>
      <c r="H13" s="730"/>
      <c r="I13" s="730"/>
      <c r="J13" s="730"/>
      <c r="K13" s="730"/>
      <c r="L13" s="730"/>
      <c r="M13" s="749"/>
      <c r="N13" s="62"/>
      <c r="O13" s="54"/>
      <c r="P13" s="54"/>
      <c r="Q13" s="54"/>
      <c r="R13" s="54"/>
      <c r="S13" s="54"/>
    </row>
    <row r="14" spans="1:19" x14ac:dyDescent="0.2">
      <c r="A14" s="54"/>
      <c r="B14" s="59"/>
      <c r="C14" s="748"/>
      <c r="D14" s="730"/>
      <c r="E14" s="730"/>
      <c r="F14" s="730"/>
      <c r="G14" s="730"/>
      <c r="H14" s="730"/>
      <c r="I14" s="730"/>
      <c r="J14" s="730"/>
      <c r="K14" s="730"/>
      <c r="L14" s="730"/>
      <c r="M14" s="749"/>
      <c r="N14" s="62"/>
      <c r="O14" s="54"/>
      <c r="P14" s="54"/>
      <c r="Q14" s="54"/>
      <c r="R14" s="54"/>
      <c r="S14" s="54"/>
    </row>
    <row r="15" spans="1:19" x14ac:dyDescent="0.2">
      <c r="A15" s="54"/>
      <c r="B15" s="59"/>
      <c r="C15" s="748"/>
      <c r="D15" s="730"/>
      <c r="E15" s="730"/>
      <c r="F15" s="730"/>
      <c r="G15" s="730"/>
      <c r="H15" s="730"/>
      <c r="I15" s="730"/>
      <c r="J15" s="730"/>
      <c r="K15" s="730"/>
      <c r="L15" s="730"/>
      <c r="M15" s="749"/>
      <c r="N15" s="62"/>
      <c r="O15" s="54"/>
      <c r="P15" s="54"/>
      <c r="Q15" s="54"/>
      <c r="R15" s="54"/>
      <c r="S15" s="54"/>
    </row>
    <row r="16" spans="1:19" x14ac:dyDescent="0.2">
      <c r="A16" s="54"/>
      <c r="B16" s="59"/>
      <c r="C16" s="748"/>
      <c r="D16" s="730"/>
      <c r="E16" s="730"/>
      <c r="F16" s="730"/>
      <c r="G16" s="730"/>
      <c r="H16" s="730"/>
      <c r="I16" s="730"/>
      <c r="J16" s="730"/>
      <c r="K16" s="730"/>
      <c r="L16" s="730"/>
      <c r="M16" s="749"/>
      <c r="N16" s="62"/>
      <c r="O16" s="54"/>
      <c r="P16" s="54"/>
      <c r="Q16" s="54"/>
      <c r="R16" s="54"/>
      <c r="S16" s="54"/>
    </row>
    <row r="17" spans="1:19" ht="22.5" customHeight="1" x14ac:dyDescent="0.2">
      <c r="A17" s="54"/>
      <c r="B17" s="59"/>
      <c r="C17" s="750"/>
      <c r="D17" s="751"/>
      <c r="E17" s="751"/>
      <c r="F17" s="751"/>
      <c r="G17" s="751"/>
      <c r="H17" s="751"/>
      <c r="I17" s="751"/>
      <c r="J17" s="751"/>
      <c r="K17" s="751"/>
      <c r="L17" s="751"/>
      <c r="M17" s="752"/>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29"/>
      <c r="D19" s="729"/>
      <c r="E19" s="729"/>
      <c r="F19" s="729"/>
      <c r="G19" s="68"/>
      <c r="H19" s="68"/>
      <c r="I19" s="724"/>
      <c r="J19" s="724"/>
      <c r="K19" s="724"/>
      <c r="L19" s="724"/>
      <c r="M19" s="724"/>
      <c r="N19" s="62"/>
      <c r="O19" s="54"/>
      <c r="P19" s="54"/>
      <c r="Q19" s="54"/>
      <c r="R19" s="54"/>
      <c r="S19" s="54"/>
    </row>
    <row r="20" spans="1:19" ht="32.1" customHeight="1" x14ac:dyDescent="0.2">
      <c r="A20" s="54"/>
      <c r="B20" s="59"/>
      <c r="C20" s="730"/>
      <c r="D20" s="730"/>
      <c r="E20" s="730"/>
      <c r="F20" s="730"/>
      <c r="G20" s="730"/>
      <c r="H20" s="730"/>
      <c r="I20" s="724"/>
      <c r="J20" s="724"/>
      <c r="K20" s="724"/>
      <c r="L20" s="724"/>
      <c r="M20" s="724"/>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32" t="s">
        <v>929</v>
      </c>
      <c r="D23" s="732"/>
      <c r="E23" s="732"/>
      <c r="F23" s="732"/>
      <c r="G23" s="732"/>
      <c r="H23" s="72"/>
      <c r="I23" s="725" t="s">
        <v>265</v>
      </c>
      <c r="J23" s="726"/>
      <c r="K23" s="726"/>
      <c r="L23" s="726"/>
      <c r="M23" s="726"/>
      <c r="N23" s="62"/>
      <c r="O23" s="54"/>
      <c r="P23" s="54"/>
      <c r="Q23" s="54"/>
      <c r="R23" s="54"/>
      <c r="S23" s="54"/>
    </row>
    <row r="24" spans="1:19" x14ac:dyDescent="0.2">
      <c r="A24" s="54"/>
      <c r="B24" s="59"/>
      <c r="C24" s="732"/>
      <c r="D24" s="732"/>
      <c r="E24" s="732"/>
      <c r="F24" s="732"/>
      <c r="G24" s="732"/>
      <c r="H24" s="69">
        <v>10</v>
      </c>
      <c r="I24" s="69" t="s">
        <v>647</v>
      </c>
      <c r="J24" s="60"/>
      <c r="K24" s="60"/>
      <c r="L24" s="60"/>
      <c r="M24" s="60"/>
      <c r="N24" s="62"/>
      <c r="O24" s="54"/>
      <c r="P24" s="54"/>
      <c r="Q24" s="54"/>
      <c r="R24" s="54"/>
      <c r="S24" s="54"/>
    </row>
    <row r="25" spans="1:19" x14ac:dyDescent="0.2">
      <c r="A25" s="54"/>
      <c r="B25" s="59"/>
      <c r="C25" s="732"/>
      <c r="D25" s="732"/>
      <c r="E25" s="732"/>
      <c r="F25" s="732"/>
      <c r="G25" s="732"/>
      <c r="H25" s="72"/>
      <c r="I25" s="72"/>
      <c r="J25" s="72"/>
      <c r="K25" s="72"/>
      <c r="L25" s="72"/>
      <c r="M25" s="72"/>
      <c r="N25" s="62"/>
      <c r="O25" s="54"/>
      <c r="P25" s="54"/>
      <c r="Q25" s="54"/>
      <c r="R25" s="54"/>
      <c r="S25" s="54"/>
    </row>
    <row r="26" spans="1:19" x14ac:dyDescent="0.2">
      <c r="A26" s="54"/>
      <c r="B26" s="59"/>
      <c r="C26" s="732"/>
      <c r="D26" s="732"/>
      <c r="E26" s="732"/>
      <c r="F26" s="732"/>
      <c r="G26" s="732"/>
      <c r="H26" s="69">
        <v>11</v>
      </c>
      <c r="I26" s="69" t="s">
        <v>672</v>
      </c>
      <c r="J26" s="69"/>
      <c r="K26" s="69"/>
      <c r="L26" s="60"/>
      <c r="M26" s="60"/>
      <c r="N26" s="62"/>
      <c r="O26" s="54"/>
      <c r="P26" s="54"/>
      <c r="Q26" s="54"/>
      <c r="R26" s="54"/>
      <c r="S26" s="54"/>
    </row>
    <row r="27" spans="1:19" ht="12.75" customHeight="1" x14ac:dyDescent="0.2">
      <c r="A27" s="54"/>
      <c r="B27" s="64">
        <v>2</v>
      </c>
      <c r="C27" s="733" t="s">
        <v>177</v>
      </c>
      <c r="D27" s="733"/>
      <c r="E27" s="733"/>
      <c r="F27" s="733"/>
      <c r="G27" s="71"/>
      <c r="H27" s="72"/>
      <c r="I27" s="72"/>
      <c r="J27" s="72"/>
      <c r="K27" s="72"/>
      <c r="L27" s="72"/>
      <c r="M27" s="72"/>
      <c r="N27" s="62"/>
      <c r="O27" s="54"/>
      <c r="P27" s="54"/>
      <c r="Q27" s="54"/>
      <c r="R27" s="54"/>
      <c r="S27" s="54"/>
    </row>
    <row r="28" spans="1:19" x14ac:dyDescent="0.2">
      <c r="A28" s="54"/>
      <c r="B28" s="65"/>
      <c r="C28" s="732" t="s">
        <v>1005</v>
      </c>
      <c r="D28" s="732"/>
      <c r="E28" s="732"/>
      <c r="F28" s="732"/>
      <c r="G28" s="732"/>
      <c r="H28" s="69">
        <v>12</v>
      </c>
      <c r="I28" s="69" t="s">
        <v>356</v>
      </c>
      <c r="J28" s="69"/>
      <c r="K28" s="378"/>
      <c r="L28" s="378"/>
      <c r="M28" s="378"/>
      <c r="N28" s="62"/>
      <c r="O28" s="54"/>
      <c r="P28" s="54"/>
      <c r="Q28" s="54"/>
      <c r="R28" s="54"/>
      <c r="S28" s="54"/>
    </row>
    <row r="29" spans="1:19" ht="15" customHeight="1" x14ac:dyDescent="0.2">
      <c r="A29" s="54"/>
      <c r="B29" s="63">
        <v>3</v>
      </c>
      <c r="C29" s="727" t="s">
        <v>263</v>
      </c>
      <c r="D29" s="727"/>
      <c r="E29" s="727"/>
      <c r="F29" s="727"/>
      <c r="G29" s="727"/>
      <c r="H29" s="69"/>
      <c r="I29" s="728" t="s">
        <v>954</v>
      </c>
      <c r="J29" s="728"/>
      <c r="K29" s="728"/>
      <c r="L29" s="728"/>
      <c r="M29" s="728"/>
      <c r="N29" s="62"/>
      <c r="O29" s="54"/>
      <c r="P29" s="54"/>
      <c r="Q29" s="54"/>
      <c r="R29" s="54"/>
      <c r="S29" s="54"/>
    </row>
    <row r="30" spans="1:19" x14ac:dyDescent="0.2">
      <c r="A30" s="54"/>
      <c r="B30" s="59"/>
      <c r="C30" s="743" t="s">
        <v>264</v>
      </c>
      <c r="D30" s="743"/>
      <c r="E30" s="743"/>
      <c r="F30" s="743"/>
      <c r="G30" s="60"/>
      <c r="H30" s="72"/>
      <c r="I30" s="728"/>
      <c r="J30" s="728"/>
      <c r="K30" s="728"/>
      <c r="L30" s="728"/>
      <c r="M30" s="728"/>
      <c r="N30" s="62"/>
      <c r="O30" s="54"/>
      <c r="P30" s="54"/>
      <c r="Q30" s="54"/>
      <c r="R30" s="54"/>
      <c r="S30" s="54"/>
    </row>
    <row r="31" spans="1:19" x14ac:dyDescent="0.2">
      <c r="A31" s="54"/>
      <c r="B31" s="63">
        <v>4</v>
      </c>
      <c r="C31" s="727" t="s">
        <v>675</v>
      </c>
      <c r="D31" s="727"/>
      <c r="E31" s="727"/>
      <c r="F31" s="727"/>
      <c r="G31" s="727"/>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28" t="s">
        <v>955</v>
      </c>
      <c r="J32" s="728"/>
      <c r="K32" s="728"/>
      <c r="L32" s="728"/>
      <c r="M32" s="728"/>
      <c r="N32" s="62"/>
      <c r="O32" s="54"/>
      <c r="P32" s="54"/>
      <c r="Q32" s="54"/>
      <c r="R32" s="54"/>
      <c r="S32" s="54"/>
    </row>
    <row r="33" spans="1:19" x14ac:dyDescent="0.2">
      <c r="A33" s="54"/>
      <c r="B33" s="63">
        <v>5</v>
      </c>
      <c r="C33" s="69" t="s">
        <v>676</v>
      </c>
      <c r="D33" s="69"/>
      <c r="E33" s="69"/>
      <c r="F33" s="60"/>
      <c r="G33" s="60"/>
      <c r="H33" s="72"/>
      <c r="I33" s="728"/>
      <c r="J33" s="728"/>
      <c r="K33" s="728"/>
      <c r="L33" s="728"/>
      <c r="M33" s="728"/>
      <c r="N33" s="62"/>
      <c r="O33" s="54"/>
      <c r="P33" s="54"/>
      <c r="Q33" s="54"/>
      <c r="R33" s="54"/>
      <c r="S33" s="54"/>
    </row>
    <row r="34" spans="1:19" x14ac:dyDescent="0.2">
      <c r="A34" s="54"/>
      <c r="B34" s="59"/>
      <c r="C34" s="60"/>
      <c r="D34" s="60"/>
      <c r="E34" s="60"/>
      <c r="F34" s="60"/>
      <c r="G34" s="60"/>
      <c r="H34" s="60"/>
      <c r="I34" s="728"/>
      <c r="J34" s="728"/>
      <c r="K34" s="728"/>
      <c r="L34" s="728"/>
      <c r="M34" s="728"/>
      <c r="N34" s="62"/>
      <c r="O34" s="54"/>
      <c r="P34" s="54"/>
      <c r="Q34" s="54"/>
      <c r="R34" s="54"/>
      <c r="S34" s="54"/>
    </row>
    <row r="35" spans="1:19" x14ac:dyDescent="0.2">
      <c r="A35" s="54"/>
      <c r="B35" s="63">
        <v>6</v>
      </c>
      <c r="C35" s="69" t="s">
        <v>677</v>
      </c>
      <c r="D35" s="69"/>
      <c r="E35" s="69"/>
      <c r="F35" s="69"/>
      <c r="G35" s="60"/>
      <c r="H35" s="60"/>
      <c r="I35" s="728"/>
      <c r="J35" s="728"/>
      <c r="K35" s="728"/>
      <c r="L35" s="728"/>
      <c r="M35" s="728"/>
      <c r="N35" s="62"/>
      <c r="O35" s="54"/>
      <c r="P35" s="54"/>
      <c r="Q35" s="54"/>
      <c r="R35" s="54"/>
      <c r="S35" s="54"/>
    </row>
    <row r="36" spans="1:19" x14ac:dyDescent="0.2">
      <c r="A36" s="54"/>
      <c r="B36" s="59"/>
      <c r="C36" s="60"/>
      <c r="D36" s="60"/>
      <c r="E36" s="60"/>
      <c r="F36" s="60"/>
      <c r="G36" s="60"/>
      <c r="H36" s="60"/>
      <c r="I36" s="731"/>
      <c r="J36" s="731"/>
      <c r="K36" s="731"/>
      <c r="L36" s="731"/>
      <c r="M36" s="731"/>
      <c r="N36" s="62"/>
      <c r="O36" s="54"/>
      <c r="P36" s="54"/>
      <c r="Q36" s="54"/>
      <c r="R36" s="54"/>
      <c r="S36" s="54"/>
    </row>
    <row r="37" spans="1:19" x14ac:dyDescent="0.2">
      <c r="A37" s="54"/>
      <c r="B37" s="63">
        <v>7</v>
      </c>
      <c r="C37" s="69" t="s">
        <v>717</v>
      </c>
      <c r="D37" s="69"/>
      <c r="E37" s="69"/>
      <c r="F37" s="69"/>
      <c r="G37" s="60"/>
      <c r="H37" s="60"/>
      <c r="I37" s="734"/>
      <c r="J37" s="735"/>
      <c r="K37" s="735"/>
      <c r="L37" s="735"/>
      <c r="M37" s="736"/>
      <c r="N37" s="62"/>
      <c r="O37" s="54"/>
      <c r="P37" s="54"/>
      <c r="Q37" s="54"/>
      <c r="R37" s="54"/>
      <c r="S37" s="54"/>
    </row>
    <row r="38" spans="1:19" ht="12.75" customHeight="1" x14ac:dyDescent="0.2">
      <c r="A38" s="54"/>
      <c r="B38" s="59"/>
      <c r="C38" s="60"/>
      <c r="D38" s="60"/>
      <c r="E38" s="60"/>
      <c r="F38" s="60"/>
      <c r="G38" s="60"/>
      <c r="H38" s="60"/>
      <c r="I38" s="737"/>
      <c r="J38" s="738"/>
      <c r="K38" s="738"/>
      <c r="L38" s="738"/>
      <c r="M38" s="739"/>
      <c r="N38" s="62"/>
      <c r="O38" s="54"/>
      <c r="P38" s="54"/>
      <c r="Q38" s="54"/>
      <c r="R38" s="54"/>
      <c r="S38" s="54"/>
    </row>
    <row r="39" spans="1:19" x14ac:dyDescent="0.2">
      <c r="A39" s="54"/>
      <c r="B39" s="63">
        <v>8</v>
      </c>
      <c r="C39" s="74" t="s">
        <v>178</v>
      </c>
      <c r="D39" s="72"/>
      <c r="E39" s="72"/>
      <c r="F39" s="72"/>
      <c r="G39" s="60"/>
      <c r="H39" s="60"/>
      <c r="I39" s="737"/>
      <c r="J39" s="738"/>
      <c r="K39" s="738"/>
      <c r="L39" s="738"/>
      <c r="M39" s="739"/>
      <c r="N39" s="62"/>
      <c r="O39" s="54"/>
      <c r="P39" s="54"/>
      <c r="Q39" s="54"/>
      <c r="R39" s="54"/>
      <c r="S39" s="54"/>
    </row>
    <row r="40" spans="1:19" x14ac:dyDescent="0.2">
      <c r="A40" s="54"/>
      <c r="B40" s="59"/>
      <c r="C40" s="60"/>
      <c r="D40" s="60"/>
      <c r="E40" s="60"/>
      <c r="F40" s="60"/>
      <c r="G40" s="60"/>
      <c r="H40" s="60"/>
      <c r="I40" s="740"/>
      <c r="J40" s="741"/>
      <c r="K40" s="741"/>
      <c r="L40" s="741"/>
      <c r="M40" s="742"/>
      <c r="N40" s="62"/>
      <c r="O40" s="54"/>
      <c r="P40" s="54"/>
      <c r="Q40" s="54"/>
      <c r="R40" s="54"/>
      <c r="S40" s="54"/>
    </row>
    <row r="41" spans="1:19" ht="16.5" customHeight="1" x14ac:dyDescent="0.2">
      <c r="A41" s="54"/>
      <c r="B41" s="63"/>
      <c r="C41" s="69"/>
      <c r="D41" s="60"/>
      <c r="E41" s="60"/>
      <c r="F41" s="60"/>
      <c r="G41" s="60"/>
      <c r="H41" s="60"/>
      <c r="I41" s="663"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D3:H6"/>
    <mergeCell ref="C12:M17"/>
    <mergeCell ref="I8:J8"/>
    <mergeCell ref="C8:D8"/>
    <mergeCell ref="H10:M10"/>
    <mergeCell ref="L7:N8"/>
    <mergeCell ref="E8:F8"/>
    <mergeCell ref="D7:I7"/>
    <mergeCell ref="I32:M36"/>
    <mergeCell ref="C23:G26"/>
    <mergeCell ref="C27:F27"/>
    <mergeCell ref="I37:M40"/>
    <mergeCell ref="C29:G29"/>
    <mergeCell ref="C30:F30"/>
    <mergeCell ref="C28:G28"/>
    <mergeCell ref="I19:M20"/>
    <mergeCell ref="I23:M23"/>
    <mergeCell ref="C31:G31"/>
    <mergeCell ref="I29:M30"/>
    <mergeCell ref="C19:F19"/>
    <mergeCell ref="C20:H2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8" r:id="rId4" name="cmdAddSubstances">
          <controlPr defaultSize="0" autoLine="0" r:id="rId5">
            <anchor moveWithCells="1">
              <from>
                <xdr:col>1</xdr:col>
                <xdr:colOff>342900</xdr:colOff>
                <xdr:row>39</xdr:row>
                <xdr:rowOff>152400</xdr:rowOff>
              </from>
              <to>
                <xdr:col>5</xdr:col>
                <xdr:colOff>142875</xdr:colOff>
                <xdr:row>41</xdr:row>
                <xdr:rowOff>152400</xdr:rowOff>
              </to>
            </anchor>
          </controlPr>
        </control>
      </mc:Choice>
      <mc:Fallback>
        <control shapeId="11268" r:id="rId4" name="cmdAddSubstances"/>
      </mc:Fallback>
    </mc:AlternateContent>
    <mc:AlternateContent xmlns:mc="http://schemas.openxmlformats.org/markup-compatibility/2006">
      <mc:Choice Requires="x14">
        <control shapeId="11269" r:id="rId6" name="CheckBox1">
          <controlPr defaultSize="0" autoLine="0" autoPict="0" r:id="rId7">
            <anchor moveWithCells="1">
              <from>
                <xdr:col>7</xdr:col>
                <xdr:colOff>504825</xdr:colOff>
                <xdr:row>40</xdr:row>
                <xdr:rowOff>85725</xdr:rowOff>
              </from>
              <to>
                <xdr:col>7</xdr:col>
                <xdr:colOff>647700</xdr:colOff>
                <xdr:row>41</xdr:row>
                <xdr:rowOff>19050</xdr:rowOff>
              </to>
            </anchor>
          </controlPr>
        </control>
      </mc:Choice>
      <mc:Fallback>
        <control shapeId="11269" r:id="rId6" name="CheckBox1"/>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70" t="s">
        <v>188</v>
      </c>
      <c r="C2" s="771"/>
      <c r="D2" s="771"/>
      <c r="E2" s="771"/>
      <c r="F2" s="771"/>
      <c r="G2" s="771"/>
      <c r="H2" s="771"/>
      <c r="I2" s="771"/>
      <c r="J2" s="771"/>
      <c r="K2" s="771"/>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Tomlinson Dairies</v>
      </c>
      <c r="E4" s="60"/>
      <c r="F4" s="328"/>
      <c r="G4" s="60"/>
      <c r="H4" s="60"/>
      <c r="I4" s="60"/>
      <c r="J4" s="60"/>
      <c r="K4" s="60"/>
      <c r="L4" s="62"/>
      <c r="M4" s="54"/>
      <c r="N4" s="54"/>
      <c r="O4" s="54"/>
      <c r="P4" s="54"/>
      <c r="Q4" s="54"/>
    </row>
    <row r="5" spans="1:19" x14ac:dyDescent="0.2">
      <c r="A5" s="54"/>
      <c r="B5" s="59"/>
      <c r="C5" s="81" t="s">
        <v>72</v>
      </c>
      <c r="D5" s="82" t="str">
        <f>Introduction!I8</f>
        <v>PPN-00061</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4" t="s">
        <v>665</v>
      </c>
      <c r="D7" s="83" t="s">
        <v>127</v>
      </c>
      <c r="E7" s="83" t="s">
        <v>645</v>
      </c>
      <c r="F7" s="83" t="s">
        <v>111</v>
      </c>
      <c r="G7" s="60"/>
      <c r="H7" s="60"/>
      <c r="I7" s="60"/>
      <c r="J7" s="773" t="s">
        <v>1006</v>
      </c>
      <c r="K7" s="774"/>
      <c r="L7" s="62"/>
      <c r="M7" s="54"/>
      <c r="N7" s="54"/>
      <c r="O7" s="54"/>
      <c r="P7" s="54"/>
      <c r="Q7" s="54"/>
    </row>
    <row r="8" spans="1:19" x14ac:dyDescent="0.2">
      <c r="A8" s="54"/>
      <c r="B8" s="666"/>
      <c r="C8" s="340">
        <v>1</v>
      </c>
      <c r="D8" s="387" t="s">
        <v>1069</v>
      </c>
      <c r="E8" s="711" t="s">
        <v>827</v>
      </c>
      <c r="F8" s="388" t="s">
        <v>653</v>
      </c>
      <c r="G8" s="60">
        <v>142</v>
      </c>
      <c r="H8" s="60">
        <v>1</v>
      </c>
      <c r="I8" s="297"/>
      <c r="J8" s="427" t="s">
        <v>652</v>
      </c>
      <c r="K8" s="427">
        <f>SUMIF($F$8:$F$32,"A",$H$8:$H$32)</f>
        <v>0</v>
      </c>
      <c r="L8" s="62"/>
      <c r="M8" s="54"/>
      <c r="N8" s="54"/>
      <c r="O8" s="54"/>
      <c r="P8" s="54"/>
      <c r="Q8" s="54"/>
    </row>
    <row r="9" spans="1:19" x14ac:dyDescent="0.2">
      <c r="A9" s="54"/>
      <c r="B9" s="666"/>
      <c r="C9" s="340">
        <v>2</v>
      </c>
      <c r="D9" s="387"/>
      <c r="E9" s="387"/>
      <c r="F9" s="388"/>
      <c r="G9" s="60"/>
      <c r="H9" s="60">
        <v>1</v>
      </c>
      <c r="I9" s="297"/>
      <c r="J9" s="427" t="s">
        <v>653</v>
      </c>
      <c r="K9" s="427">
        <f>SUMIF($F$8:$F$32,"B",$H$8:$H$32)</f>
        <v>1</v>
      </c>
      <c r="L9" s="62"/>
      <c r="M9" s="54"/>
      <c r="N9" s="54"/>
      <c r="O9" s="54"/>
      <c r="P9" s="54"/>
      <c r="Q9" s="54"/>
    </row>
    <row r="10" spans="1:19" x14ac:dyDescent="0.2">
      <c r="A10" s="54"/>
      <c r="B10" s="666"/>
      <c r="C10" s="340">
        <v>3</v>
      </c>
      <c r="D10" s="387"/>
      <c r="E10" s="387"/>
      <c r="F10" s="388"/>
      <c r="G10" s="60"/>
      <c r="H10" s="60">
        <v>1</v>
      </c>
      <c r="I10" s="297"/>
      <c r="J10" s="427" t="s">
        <v>649</v>
      </c>
      <c r="K10" s="427">
        <f>SUMIF($F$8:$F$32,"C",$H$8:$H$32)</f>
        <v>0</v>
      </c>
      <c r="L10" s="62"/>
      <c r="M10" s="54"/>
      <c r="N10" s="54"/>
      <c r="O10" s="54"/>
      <c r="P10" s="54"/>
      <c r="Q10" s="54"/>
    </row>
    <row r="11" spans="1:19" x14ac:dyDescent="0.2">
      <c r="A11" s="54"/>
      <c r="B11" s="666"/>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6"/>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6"/>
      <c r="C13" s="340">
        <v>6</v>
      </c>
      <c r="D13" s="387"/>
      <c r="E13" s="387"/>
      <c r="F13" s="388"/>
      <c r="G13" s="60"/>
      <c r="H13" s="60">
        <v>1</v>
      </c>
      <c r="I13" s="297"/>
      <c r="J13" s="78"/>
      <c r="K13" s="79"/>
      <c r="L13" s="62"/>
      <c r="M13" s="54"/>
      <c r="N13" s="54"/>
      <c r="O13" s="54"/>
      <c r="P13" s="54"/>
      <c r="Q13" s="54"/>
    </row>
    <row r="14" spans="1:19" x14ac:dyDescent="0.2">
      <c r="A14" s="54"/>
      <c r="B14" s="666"/>
      <c r="C14" s="340">
        <v>7</v>
      </c>
      <c r="D14" s="387"/>
      <c r="E14" s="387"/>
      <c r="F14" s="388"/>
      <c r="G14" s="60"/>
      <c r="H14" s="60">
        <v>1</v>
      </c>
      <c r="I14" s="297"/>
      <c r="J14" s="60"/>
      <c r="K14" s="70"/>
      <c r="L14" s="62"/>
      <c r="M14" s="54"/>
      <c r="N14" s="54"/>
      <c r="O14" s="54"/>
      <c r="P14" s="54"/>
      <c r="Q14" s="54"/>
    </row>
    <row r="15" spans="1:19" x14ac:dyDescent="0.2">
      <c r="A15" s="54"/>
      <c r="B15" s="666"/>
      <c r="C15" s="340">
        <v>8</v>
      </c>
      <c r="D15" s="387"/>
      <c r="E15" s="387"/>
      <c r="F15" s="388"/>
      <c r="G15" s="60"/>
      <c r="H15" s="60">
        <v>1</v>
      </c>
      <c r="I15" s="297"/>
      <c r="J15" s="60"/>
      <c r="K15" s="60"/>
      <c r="L15" s="62"/>
      <c r="M15" s="54"/>
      <c r="N15" s="54"/>
      <c r="O15" s="54"/>
      <c r="P15" s="54"/>
      <c r="Q15" s="54"/>
    </row>
    <row r="16" spans="1:19" ht="12.75" customHeight="1" x14ac:dyDescent="0.2">
      <c r="A16" s="54"/>
      <c r="B16" s="666"/>
      <c r="C16" s="340">
        <v>9</v>
      </c>
      <c r="D16" s="387"/>
      <c r="E16" s="387"/>
      <c r="F16" s="388"/>
      <c r="G16" s="60"/>
      <c r="H16" s="60">
        <v>1</v>
      </c>
      <c r="I16" s="297"/>
      <c r="J16" s="772"/>
      <c r="K16" s="772"/>
      <c r="L16" s="62"/>
      <c r="M16" s="54"/>
      <c r="N16" s="54"/>
      <c r="O16" s="54"/>
      <c r="P16" s="54"/>
      <c r="Q16" s="54"/>
    </row>
    <row r="17" spans="1:17" x14ac:dyDescent="0.2">
      <c r="A17" s="54"/>
      <c r="B17" s="666"/>
      <c r="C17" s="340">
        <v>10</v>
      </c>
      <c r="D17" s="387"/>
      <c r="E17" s="387"/>
      <c r="F17" s="388"/>
      <c r="G17" s="60"/>
      <c r="H17" s="60">
        <v>1</v>
      </c>
      <c r="I17" s="297"/>
      <c r="J17" s="772"/>
      <c r="K17" s="772"/>
      <c r="L17" s="62"/>
      <c r="M17" s="54"/>
      <c r="N17" s="54"/>
      <c r="O17" s="54"/>
      <c r="P17" s="54"/>
      <c r="Q17" s="54"/>
    </row>
    <row r="18" spans="1:17" x14ac:dyDescent="0.2">
      <c r="A18" s="54"/>
      <c r="B18" s="666"/>
      <c r="C18" s="340">
        <v>11</v>
      </c>
      <c r="D18" s="387"/>
      <c r="E18" s="387"/>
      <c r="F18" s="388"/>
      <c r="G18" s="60"/>
      <c r="H18" s="60">
        <v>1</v>
      </c>
      <c r="I18" s="297"/>
      <c r="J18" s="772"/>
      <c r="K18" s="772"/>
      <c r="L18" s="62"/>
      <c r="M18" s="54"/>
      <c r="N18" s="54"/>
      <c r="O18" s="54"/>
      <c r="P18" s="54"/>
      <c r="Q18" s="54"/>
    </row>
    <row r="19" spans="1:17" x14ac:dyDescent="0.2">
      <c r="A19" s="54"/>
      <c r="B19" s="666"/>
      <c r="C19" s="340">
        <v>12</v>
      </c>
      <c r="D19" s="387"/>
      <c r="E19" s="387"/>
      <c r="F19" s="388"/>
      <c r="G19" s="60"/>
      <c r="H19" s="60">
        <v>1</v>
      </c>
      <c r="I19" s="297"/>
      <c r="J19" s="772"/>
      <c r="K19" s="772"/>
      <c r="L19" s="62"/>
      <c r="M19" s="54"/>
      <c r="N19" s="54"/>
      <c r="O19" s="54"/>
      <c r="P19" s="54"/>
      <c r="Q19" s="54"/>
    </row>
    <row r="20" spans="1:17" x14ac:dyDescent="0.2">
      <c r="A20" s="54"/>
      <c r="B20" s="666"/>
      <c r="C20" s="340">
        <v>13</v>
      </c>
      <c r="D20" s="387"/>
      <c r="E20" s="387"/>
      <c r="F20" s="388"/>
      <c r="G20" s="60"/>
      <c r="H20" s="60">
        <v>1</v>
      </c>
      <c r="I20" s="297"/>
      <c r="J20" s="772"/>
      <c r="K20" s="772"/>
      <c r="L20" s="62"/>
      <c r="M20" s="54"/>
      <c r="N20" s="54"/>
      <c r="O20" s="54"/>
      <c r="P20" s="54"/>
      <c r="Q20" s="54"/>
    </row>
    <row r="21" spans="1:17" x14ac:dyDescent="0.2">
      <c r="A21" s="54"/>
      <c r="B21" s="666"/>
      <c r="C21" s="340">
        <v>14</v>
      </c>
      <c r="D21" s="387"/>
      <c r="E21" s="387"/>
      <c r="F21" s="388"/>
      <c r="G21" s="60"/>
      <c r="H21" s="60">
        <v>1</v>
      </c>
      <c r="I21" s="297"/>
      <c r="J21" s="93"/>
      <c r="K21" s="93"/>
      <c r="L21" s="62"/>
      <c r="M21" s="54"/>
      <c r="N21" s="54"/>
      <c r="O21" s="54"/>
      <c r="P21" s="54"/>
      <c r="Q21" s="54"/>
    </row>
    <row r="22" spans="1:17" ht="12.75" customHeight="1" x14ac:dyDescent="0.2">
      <c r="A22" s="54"/>
      <c r="B22" s="666"/>
      <c r="C22" s="340">
        <v>15</v>
      </c>
      <c r="D22" s="387"/>
      <c r="E22" s="387"/>
      <c r="F22" s="388"/>
      <c r="G22" s="60"/>
      <c r="H22" s="60">
        <v>1</v>
      </c>
      <c r="I22" s="297"/>
      <c r="J22" s="94"/>
      <c r="K22" s="94"/>
      <c r="L22" s="62"/>
      <c r="M22" s="54"/>
      <c r="N22" s="54"/>
      <c r="O22" s="54"/>
      <c r="P22" s="54"/>
      <c r="Q22" s="54"/>
    </row>
    <row r="23" spans="1:17" x14ac:dyDescent="0.2">
      <c r="A23" s="54"/>
      <c r="B23" s="666"/>
      <c r="C23" s="340">
        <v>16</v>
      </c>
      <c r="D23" s="387"/>
      <c r="E23" s="387"/>
      <c r="F23" s="388"/>
      <c r="G23" s="60"/>
      <c r="H23" s="60">
        <v>1</v>
      </c>
      <c r="I23" s="297"/>
      <c r="J23" s="94"/>
      <c r="K23" s="94"/>
      <c r="L23" s="62"/>
      <c r="M23" s="54"/>
      <c r="N23" s="54"/>
      <c r="O23" s="54"/>
      <c r="P23" s="54"/>
      <c r="Q23" s="54"/>
    </row>
    <row r="24" spans="1:17" x14ac:dyDescent="0.2">
      <c r="A24" s="54"/>
      <c r="B24" s="666"/>
      <c r="C24" s="340">
        <v>17</v>
      </c>
      <c r="D24" s="387"/>
      <c r="E24" s="387"/>
      <c r="F24" s="388"/>
      <c r="G24" s="60"/>
      <c r="H24" s="60">
        <v>1</v>
      </c>
      <c r="I24" s="297"/>
      <c r="J24" s="94"/>
      <c r="K24" s="94"/>
      <c r="L24" s="62"/>
      <c r="M24" s="54"/>
      <c r="N24" s="54"/>
      <c r="O24" s="54"/>
      <c r="P24" s="54"/>
      <c r="Q24" s="54"/>
    </row>
    <row r="25" spans="1:17" x14ac:dyDescent="0.2">
      <c r="A25" s="54"/>
      <c r="B25" s="666"/>
      <c r="C25" s="340">
        <v>18</v>
      </c>
      <c r="D25" s="387"/>
      <c r="E25" s="387"/>
      <c r="F25" s="388"/>
      <c r="G25" s="60"/>
      <c r="H25" s="60">
        <v>1</v>
      </c>
      <c r="I25" s="297"/>
      <c r="J25" s="724" t="s">
        <v>1004</v>
      </c>
      <c r="K25" s="724"/>
      <c r="L25" s="62"/>
      <c r="M25" s="54"/>
      <c r="N25" s="54"/>
      <c r="O25" s="54"/>
      <c r="P25" s="54"/>
      <c r="Q25" s="54"/>
    </row>
    <row r="26" spans="1:17" x14ac:dyDescent="0.2">
      <c r="A26" s="54"/>
      <c r="B26" s="666"/>
      <c r="C26" s="340">
        <v>19</v>
      </c>
      <c r="D26" s="387"/>
      <c r="E26" s="387"/>
      <c r="F26" s="388"/>
      <c r="G26" s="60"/>
      <c r="H26" s="60">
        <v>1</v>
      </c>
      <c r="I26" s="297"/>
      <c r="J26" s="724"/>
      <c r="K26" s="724"/>
      <c r="L26" s="62"/>
      <c r="M26" s="54"/>
      <c r="N26" s="54"/>
      <c r="O26" s="54"/>
      <c r="P26" s="54"/>
      <c r="Q26" s="54"/>
    </row>
    <row r="27" spans="1:17" x14ac:dyDescent="0.2">
      <c r="A27" s="54"/>
      <c r="B27" s="666"/>
      <c r="C27" s="340">
        <v>20</v>
      </c>
      <c r="D27" s="389"/>
      <c r="E27" s="389"/>
      <c r="F27" s="390"/>
      <c r="G27" s="60"/>
      <c r="H27" s="60">
        <v>1</v>
      </c>
      <c r="I27" s="297"/>
      <c r="J27" s="724"/>
      <c r="K27" s="724"/>
      <c r="L27" s="62"/>
      <c r="M27" s="54"/>
      <c r="N27" s="54"/>
      <c r="O27" s="54"/>
      <c r="P27" s="54"/>
      <c r="Q27" s="54"/>
    </row>
    <row r="28" spans="1:17" x14ac:dyDescent="0.2">
      <c r="A28" s="54"/>
      <c r="B28" s="666"/>
      <c r="C28" s="340">
        <v>21</v>
      </c>
      <c r="D28" s="389"/>
      <c r="E28" s="389"/>
      <c r="F28" s="390"/>
      <c r="G28" s="60"/>
      <c r="H28" s="60">
        <v>1</v>
      </c>
      <c r="I28" s="297"/>
      <c r="J28" s="60"/>
      <c r="K28" s="60"/>
      <c r="L28" s="62"/>
      <c r="M28" s="54"/>
      <c r="N28" s="54"/>
      <c r="O28" s="54"/>
      <c r="P28" s="54"/>
      <c r="Q28" s="54"/>
    </row>
    <row r="29" spans="1:17" x14ac:dyDescent="0.2">
      <c r="A29" s="54"/>
      <c r="B29" s="666"/>
      <c r="C29" s="340">
        <v>22</v>
      </c>
      <c r="D29" s="389"/>
      <c r="E29" s="389"/>
      <c r="F29" s="390"/>
      <c r="G29" s="60"/>
      <c r="H29" s="60">
        <v>1</v>
      </c>
      <c r="I29" s="297"/>
      <c r="J29" s="60"/>
      <c r="K29" s="60"/>
      <c r="L29" s="62"/>
      <c r="M29" s="54"/>
      <c r="N29" s="54"/>
      <c r="O29" s="54"/>
      <c r="P29" s="54"/>
      <c r="Q29" s="54"/>
    </row>
    <row r="30" spans="1:17" x14ac:dyDescent="0.2">
      <c r="A30" s="54"/>
      <c r="B30" s="666"/>
      <c r="C30" s="340">
        <v>23</v>
      </c>
      <c r="D30" s="389"/>
      <c r="E30" s="389"/>
      <c r="F30" s="390"/>
      <c r="G30" s="60"/>
      <c r="H30" s="60">
        <v>1</v>
      </c>
      <c r="I30" s="297"/>
      <c r="J30" s="60"/>
      <c r="K30" s="60"/>
      <c r="L30" s="62"/>
      <c r="M30" s="54"/>
      <c r="N30" s="54"/>
      <c r="O30" s="54"/>
      <c r="P30" s="54"/>
      <c r="Q30" s="54"/>
    </row>
    <row r="31" spans="1:17" x14ac:dyDescent="0.2">
      <c r="A31" s="54"/>
      <c r="B31" s="666"/>
      <c r="C31" s="340">
        <v>24</v>
      </c>
      <c r="D31" s="389"/>
      <c r="E31" s="389"/>
      <c r="F31" s="390"/>
      <c r="G31" s="60"/>
      <c r="H31" s="60">
        <v>1</v>
      </c>
      <c r="I31" s="297"/>
      <c r="J31" s="60"/>
      <c r="K31" s="60"/>
      <c r="L31" s="62"/>
      <c r="M31" s="54"/>
      <c r="N31" s="54"/>
      <c r="O31" s="54"/>
      <c r="P31" s="54"/>
      <c r="Q31" s="54"/>
    </row>
    <row r="32" spans="1:17" x14ac:dyDescent="0.2">
      <c r="A32" s="54"/>
      <c r="B32" s="666"/>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75" t="s">
        <v>143</v>
      </c>
      <c r="D37" s="776"/>
      <c r="E37" s="776"/>
      <c r="F37" s="340"/>
      <c r="G37" s="60"/>
      <c r="H37" s="60"/>
      <c r="I37" s="60"/>
      <c r="J37" s="60"/>
      <c r="K37" s="60"/>
      <c r="L37" s="62"/>
      <c r="M37" s="54"/>
      <c r="N37" s="54"/>
      <c r="O37" s="54"/>
      <c r="P37" s="54"/>
      <c r="Q37" s="54"/>
    </row>
    <row r="38" spans="1:17" x14ac:dyDescent="0.2">
      <c r="A38" s="54"/>
      <c r="B38" s="59"/>
      <c r="C38" s="777"/>
      <c r="D38" s="777"/>
      <c r="E38" s="777"/>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8"/>
      <c r="J43" s="778"/>
    </row>
    <row r="44" spans="1:17" s="15" customFormat="1" x14ac:dyDescent="0.2">
      <c r="C44" s="335"/>
      <c r="D44" s="334"/>
      <c r="E44" s="341"/>
      <c r="F44" s="336"/>
      <c r="G44" s="336"/>
      <c r="H44" s="336"/>
      <c r="I44" s="767"/>
      <c r="J44" s="767"/>
    </row>
    <row r="45" spans="1:17" s="15" customFormat="1" ht="9" hidden="1" customHeight="1" x14ac:dyDescent="0.2">
      <c r="C45" s="335"/>
      <c r="E45" s="336"/>
      <c r="F45" s="336"/>
      <c r="G45" s="336"/>
      <c r="H45" s="336"/>
      <c r="I45" s="767"/>
      <c r="J45" s="767"/>
    </row>
    <row r="46" spans="1:17" s="15" customFormat="1" hidden="1" x14ac:dyDescent="0.2">
      <c r="C46" s="335"/>
      <c r="D46" s="336"/>
      <c r="E46" s="336"/>
      <c r="F46" s="336"/>
      <c r="G46" s="336"/>
      <c r="H46" s="336"/>
      <c r="I46" s="767"/>
      <c r="J46" s="767"/>
    </row>
    <row r="47" spans="1:17" s="15" customFormat="1" hidden="1" x14ac:dyDescent="0.2">
      <c r="C47" s="335"/>
      <c r="D47" s="332"/>
      <c r="E47" s="336"/>
      <c r="F47" s="336"/>
      <c r="G47" s="342"/>
      <c r="H47" s="342"/>
      <c r="I47" s="767"/>
      <c r="J47" s="767"/>
    </row>
    <row r="48" spans="1:17" s="15" customFormat="1" hidden="1" x14ac:dyDescent="0.2">
      <c r="C48" s="335"/>
      <c r="D48" s="336"/>
      <c r="E48" s="336"/>
      <c r="F48" s="336"/>
      <c r="G48" s="342"/>
      <c r="H48" s="342"/>
      <c r="I48" s="767"/>
      <c r="J48" s="767"/>
    </row>
    <row r="49" spans="3:10" s="15" customFormat="1" hidden="1" x14ac:dyDescent="0.2">
      <c r="C49" s="335"/>
      <c r="D49" s="336"/>
      <c r="E49" s="336"/>
      <c r="F49" s="336"/>
      <c r="G49" s="336"/>
      <c r="H49" s="336"/>
      <c r="I49" s="767"/>
      <c r="J49" s="767"/>
    </row>
    <row r="50" spans="3:10" s="15" customFormat="1" hidden="1" x14ac:dyDescent="0.2">
      <c r="C50" s="335"/>
      <c r="D50" s="336"/>
      <c r="E50" s="336"/>
      <c r="F50" s="336"/>
      <c r="G50" s="336"/>
      <c r="H50" s="336"/>
      <c r="I50" s="767"/>
      <c r="J50" s="767"/>
    </row>
    <row r="51" spans="3:10" s="15" customFormat="1" hidden="1" x14ac:dyDescent="0.2">
      <c r="C51" s="335"/>
      <c r="D51" s="336"/>
      <c r="E51" s="336"/>
      <c r="F51" s="336"/>
      <c r="G51" s="336"/>
      <c r="H51" s="336"/>
      <c r="I51" s="767"/>
      <c r="J51" s="767"/>
    </row>
    <row r="52" spans="3:10" s="15" customFormat="1" hidden="1" x14ac:dyDescent="0.2">
      <c r="C52" s="335"/>
      <c r="D52" s="336"/>
      <c r="E52" s="336"/>
      <c r="F52" s="336"/>
      <c r="G52" s="336"/>
      <c r="H52" s="336"/>
      <c r="I52" s="767"/>
      <c r="J52" s="767"/>
    </row>
    <row r="53" spans="3:10" s="15" customFormat="1" hidden="1" x14ac:dyDescent="0.2">
      <c r="C53" s="335"/>
      <c r="D53" s="336"/>
      <c r="E53" s="336"/>
      <c r="F53" s="336"/>
      <c r="G53" s="336"/>
      <c r="H53" s="336"/>
      <c r="I53" s="767"/>
      <c r="J53" s="767"/>
    </row>
    <row r="54" spans="3:10" s="15" customFormat="1" hidden="1" x14ac:dyDescent="0.2">
      <c r="C54" s="335"/>
      <c r="D54" s="336"/>
      <c r="E54" s="336"/>
      <c r="F54" s="336"/>
      <c r="G54" s="336"/>
      <c r="H54" s="336"/>
      <c r="I54" s="767"/>
      <c r="J54" s="767"/>
    </row>
    <row r="55" spans="3:10" s="15" customFormat="1" hidden="1" x14ac:dyDescent="0.2">
      <c r="C55" s="335"/>
      <c r="D55" s="336"/>
      <c r="E55" s="336"/>
      <c r="F55" s="336"/>
      <c r="G55" s="336"/>
      <c r="H55" s="336"/>
      <c r="I55" s="767"/>
      <c r="J55" s="767"/>
    </row>
    <row r="56" spans="3:10" s="15" customFormat="1" hidden="1" x14ac:dyDescent="0.2">
      <c r="C56" s="335"/>
      <c r="D56" s="336"/>
      <c r="E56" s="336"/>
      <c r="F56" s="336"/>
      <c r="G56" s="336"/>
      <c r="H56" s="336"/>
      <c r="I56" s="767"/>
      <c r="J56" s="767"/>
    </row>
    <row r="57" spans="3:10" s="15" customFormat="1" hidden="1" x14ac:dyDescent="0.2">
      <c r="C57" s="335"/>
      <c r="D57" s="336"/>
      <c r="E57" s="336"/>
      <c r="F57" s="336"/>
      <c r="G57" s="336"/>
      <c r="H57" s="336"/>
      <c r="I57" s="767"/>
      <c r="J57" s="767"/>
    </row>
    <row r="58" spans="3:10" s="15" customFormat="1" hidden="1" x14ac:dyDescent="0.2">
      <c r="C58" s="335"/>
      <c r="D58" s="336"/>
      <c r="E58" s="336"/>
      <c r="F58" s="336"/>
      <c r="G58" s="336"/>
      <c r="H58" s="336"/>
      <c r="I58" s="767"/>
      <c r="J58" s="767"/>
    </row>
    <row r="59" spans="3:10" s="15" customFormat="1" hidden="1" x14ac:dyDescent="0.2">
      <c r="C59" s="335"/>
      <c r="D59" s="336"/>
      <c r="E59" s="336"/>
      <c r="F59" s="336"/>
      <c r="G59" s="336"/>
      <c r="H59" s="336"/>
      <c r="I59" s="767"/>
      <c r="J59" s="767"/>
    </row>
    <row r="60" spans="3:10" s="15" customFormat="1" hidden="1" x14ac:dyDescent="0.2">
      <c r="C60" s="335"/>
      <c r="D60" s="336"/>
      <c r="E60" s="336"/>
      <c r="F60" s="336"/>
      <c r="G60" s="336"/>
      <c r="H60" s="336"/>
      <c r="I60" s="767"/>
      <c r="J60" s="767"/>
    </row>
    <row r="61" spans="3:10" s="15" customFormat="1" hidden="1" x14ac:dyDescent="0.2">
      <c r="C61" s="335"/>
      <c r="D61" s="336"/>
      <c r="E61" s="336"/>
      <c r="F61" s="336"/>
      <c r="G61" s="336"/>
      <c r="H61" s="336"/>
      <c r="I61" s="767"/>
      <c r="J61" s="767"/>
    </row>
    <row r="62" spans="3:10" s="15" customFormat="1" hidden="1" x14ac:dyDescent="0.2">
      <c r="C62" s="335"/>
      <c r="D62" s="336"/>
      <c r="E62" s="336"/>
      <c r="F62" s="336"/>
      <c r="G62" s="336"/>
      <c r="H62" s="336"/>
      <c r="I62" s="767"/>
      <c r="J62" s="767"/>
    </row>
    <row r="63" spans="3:10" s="15" customFormat="1" hidden="1" x14ac:dyDescent="0.2">
      <c r="C63" s="335"/>
      <c r="D63" s="336"/>
      <c r="E63" s="336"/>
      <c r="F63" s="336"/>
      <c r="G63" s="336"/>
      <c r="H63" s="336"/>
      <c r="I63" s="767"/>
      <c r="J63" s="767"/>
    </row>
    <row r="64" spans="3:10" s="15" customFormat="1" hidden="1" x14ac:dyDescent="0.2">
      <c r="C64" s="335"/>
    </row>
    <row r="65" spans="1:17" s="15" customFormat="1" hidden="1" x14ac:dyDescent="0.2">
      <c r="C65" s="335"/>
      <c r="E65" s="21"/>
      <c r="F65" s="769"/>
      <c r="G65" s="769"/>
      <c r="H65" s="769"/>
      <c r="I65" s="769"/>
      <c r="J65" s="769"/>
    </row>
    <row r="66" spans="1:17" s="15" customFormat="1" ht="15.75" hidden="1" x14ac:dyDescent="0.25">
      <c r="C66" s="337"/>
      <c r="F66" s="769"/>
      <c r="G66" s="769"/>
      <c r="H66" s="769"/>
      <c r="I66" s="769"/>
      <c r="J66" s="769"/>
    </row>
    <row r="67" spans="1:17" s="15" customFormat="1" hidden="1" x14ac:dyDescent="0.2"/>
    <row r="68" spans="1:17" s="15" customFormat="1" ht="14.25" hidden="1" customHeight="1" x14ac:dyDescent="0.2">
      <c r="C68" s="338"/>
      <c r="D68" s="329"/>
      <c r="E68" s="768"/>
      <c r="F68" s="768"/>
      <c r="G68" s="339"/>
      <c r="H68" s="339"/>
      <c r="I68" s="766"/>
      <c r="J68" s="766"/>
    </row>
    <row r="69" spans="1:17" s="15" customFormat="1" hidden="1" x14ac:dyDescent="0.2">
      <c r="C69" s="330"/>
      <c r="D69" s="331"/>
      <c r="E69" s="763"/>
      <c r="F69" s="763"/>
      <c r="G69" s="339"/>
      <c r="H69" s="339"/>
      <c r="I69" s="766"/>
      <c r="J69" s="766"/>
    </row>
    <row r="70" spans="1:17" s="15" customFormat="1" hidden="1" x14ac:dyDescent="0.2">
      <c r="C70" s="330"/>
      <c r="D70" s="331"/>
      <c r="E70" s="764"/>
      <c r="F70" s="764"/>
      <c r="G70" s="339"/>
      <c r="H70" s="339"/>
      <c r="I70" s="766"/>
      <c r="J70" s="766"/>
    </row>
    <row r="71" spans="1:17" s="15" customFormat="1" hidden="1" x14ac:dyDescent="0.2">
      <c r="C71" s="330"/>
      <c r="D71" s="331"/>
      <c r="E71" s="764"/>
      <c r="F71" s="764"/>
      <c r="G71" s="339"/>
      <c r="H71" s="339"/>
      <c r="I71" s="766"/>
      <c r="J71" s="766"/>
    </row>
    <row r="72" spans="1:17" s="15" customFormat="1" hidden="1" x14ac:dyDescent="0.2">
      <c r="C72" s="330"/>
      <c r="D72" s="331"/>
      <c r="E72" s="763"/>
      <c r="F72" s="763"/>
      <c r="G72" s="339"/>
      <c r="H72" s="339"/>
      <c r="I72" s="766"/>
      <c r="J72" s="766"/>
    </row>
    <row r="73" spans="1:17" s="15" customFormat="1" hidden="1" x14ac:dyDescent="0.2">
      <c r="C73" s="330"/>
      <c r="D73" s="579" t="s">
        <v>419</v>
      </c>
      <c r="E73" s="763"/>
      <c r="F73" s="763"/>
      <c r="G73" s="339"/>
      <c r="H73" s="339"/>
      <c r="I73" s="766"/>
      <c r="J73" s="766"/>
    </row>
    <row r="74" spans="1:17" s="15" customFormat="1" hidden="1" x14ac:dyDescent="0.2"/>
    <row r="75" spans="1:17" s="15" customFormat="1" hidden="1" x14ac:dyDescent="0.2"/>
    <row r="76" spans="1:17" s="15" customFormat="1" hidden="1" x14ac:dyDescent="0.2">
      <c r="H76" s="765" t="s">
        <v>423</v>
      </c>
      <c r="I76" s="765"/>
      <c r="J76" s="765"/>
      <c r="K76" s="765"/>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5">
        <v>42</v>
      </c>
      <c r="E100" s="685"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1021</v>
      </c>
      <c r="F121" s="54">
        <v>1</v>
      </c>
      <c r="G121" s="54"/>
      <c r="H121" s="54" t="s">
        <v>652</v>
      </c>
      <c r="I121" s="54"/>
      <c r="J121" s="54"/>
      <c r="K121" s="54"/>
      <c r="L121" s="54"/>
      <c r="M121" s="54"/>
      <c r="N121" s="54"/>
      <c r="O121" s="54"/>
      <c r="P121" s="54"/>
    </row>
    <row r="122" spans="1:16" hidden="1" x14ac:dyDescent="0.2">
      <c r="A122" s="54"/>
      <c r="B122" s="54"/>
      <c r="C122" s="54"/>
      <c r="D122" s="581">
        <v>301</v>
      </c>
      <c r="E122" s="581"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8">
        <v>340</v>
      </c>
      <c r="E138" s="710" t="s">
        <v>1060</v>
      </c>
      <c r="F138" s="54">
        <v>1</v>
      </c>
      <c r="G138" s="54"/>
      <c r="H138" s="709"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5">
        <v>267</v>
      </c>
      <c r="E144" s="685" t="s">
        <v>397</v>
      </c>
      <c r="F144" s="54">
        <v>1</v>
      </c>
      <c r="G144" s="54"/>
      <c r="H144" s="54" t="s">
        <v>649</v>
      </c>
      <c r="I144" s="54"/>
      <c r="J144" s="54"/>
      <c r="K144" s="54"/>
      <c r="L144" s="54"/>
      <c r="M144" s="54"/>
      <c r="N144" s="54"/>
      <c r="O144" s="54"/>
      <c r="P144" s="54"/>
    </row>
    <row r="145" spans="1:16" hidden="1" x14ac:dyDescent="0.2">
      <c r="A145" s="54"/>
      <c r="B145" s="54"/>
      <c r="C145" s="54"/>
      <c r="D145" s="685">
        <v>302</v>
      </c>
      <c r="E145" s="685" t="s">
        <v>1023</v>
      </c>
      <c r="F145" s="54">
        <v>1</v>
      </c>
      <c r="G145" s="54"/>
      <c r="H145" s="54" t="s">
        <v>649</v>
      </c>
      <c r="I145" s="54"/>
      <c r="J145" s="54"/>
      <c r="K145" s="54"/>
      <c r="L145" s="54"/>
      <c r="M145" s="54"/>
      <c r="N145" s="54"/>
      <c r="O145" s="54"/>
      <c r="P145" s="54"/>
    </row>
    <row r="146" spans="1:16" hidden="1" x14ac:dyDescent="0.2">
      <c r="A146" s="54"/>
      <c r="B146" s="54"/>
      <c r="C146" s="54"/>
      <c r="D146" s="708">
        <v>341</v>
      </c>
      <c r="E146" s="710" t="s">
        <v>1059</v>
      </c>
      <c r="F146" s="54">
        <v>1</v>
      </c>
      <c r="G146" s="54"/>
      <c r="H146" s="709" t="s">
        <v>653</v>
      </c>
      <c r="I146" s="54"/>
      <c r="J146" s="54"/>
      <c r="K146" s="54"/>
      <c r="L146" s="54"/>
      <c r="M146" s="54"/>
      <c r="N146" s="54"/>
      <c r="O146" s="54"/>
      <c r="P146" s="54"/>
    </row>
    <row r="147" spans="1:16" hidden="1" x14ac:dyDescent="0.2">
      <c r="A147" s="54"/>
      <c r="B147" s="54"/>
      <c r="C147" s="54"/>
      <c r="D147" s="685">
        <v>303</v>
      </c>
      <c r="E147" s="40" t="s">
        <v>810</v>
      </c>
      <c r="F147" s="54">
        <v>1</v>
      </c>
      <c r="G147" s="54"/>
      <c r="H147" s="54" t="s">
        <v>654</v>
      </c>
      <c r="I147" s="54"/>
      <c r="J147" s="54"/>
      <c r="K147" s="54"/>
      <c r="L147" s="54"/>
      <c r="M147" s="54"/>
      <c r="N147" s="54"/>
      <c r="O147" s="54"/>
      <c r="P147" s="54"/>
    </row>
    <row r="148" spans="1:16" hidden="1" x14ac:dyDescent="0.2">
      <c r="A148" s="54"/>
      <c r="B148" s="54"/>
      <c r="C148" s="54"/>
      <c r="D148" s="685">
        <v>304</v>
      </c>
      <c r="E148" s="40" t="s">
        <v>1024</v>
      </c>
      <c r="F148" s="54">
        <v>1</v>
      </c>
      <c r="G148" s="54"/>
      <c r="H148" s="54" t="s">
        <v>649</v>
      </c>
      <c r="I148" s="54"/>
      <c r="J148" s="54"/>
      <c r="K148" s="54"/>
      <c r="L148" s="54"/>
      <c r="M148" s="54"/>
      <c r="N148" s="54"/>
      <c r="O148" s="54"/>
      <c r="P148" s="54"/>
    </row>
    <row r="149" spans="1:16" hidden="1" x14ac:dyDescent="0.2">
      <c r="A149" s="54"/>
      <c r="B149" s="54"/>
      <c r="C149" s="54"/>
      <c r="D149" s="685">
        <v>305</v>
      </c>
      <c r="E149" s="40" t="s">
        <v>1025</v>
      </c>
      <c r="F149" s="54">
        <v>1</v>
      </c>
      <c r="G149" s="54"/>
      <c r="H149" s="54" t="s">
        <v>649</v>
      </c>
      <c r="I149" s="54"/>
      <c r="J149" s="54"/>
      <c r="K149" s="54"/>
      <c r="L149" s="54"/>
      <c r="M149" s="54"/>
      <c r="N149" s="54"/>
      <c r="O149" s="54"/>
      <c r="P149" s="54"/>
    </row>
    <row r="150" spans="1:16" hidden="1" x14ac:dyDescent="0.2">
      <c r="A150" s="54"/>
      <c r="B150" s="54"/>
      <c r="C150" s="54"/>
      <c r="D150" s="685">
        <v>306</v>
      </c>
      <c r="E150" s="40" t="s">
        <v>1026</v>
      </c>
      <c r="F150" s="54">
        <v>1</v>
      </c>
      <c r="G150" s="54"/>
      <c r="H150" s="54" t="s">
        <v>649</v>
      </c>
      <c r="I150" s="54"/>
      <c r="J150" s="54"/>
      <c r="K150" s="54"/>
      <c r="L150" s="54"/>
      <c r="M150" s="54"/>
      <c r="N150" s="54"/>
      <c r="O150" s="54"/>
      <c r="P150" s="54"/>
    </row>
    <row r="151" spans="1:16" hidden="1" x14ac:dyDescent="0.2">
      <c r="A151" s="54"/>
      <c r="B151" s="54"/>
      <c r="C151" s="54"/>
      <c r="D151" s="697">
        <v>307</v>
      </c>
      <c r="E151" s="40" t="s">
        <v>1027</v>
      </c>
      <c r="F151" s="54">
        <v>1</v>
      </c>
      <c r="G151" s="54"/>
      <c r="H151" s="54" t="s">
        <v>653</v>
      </c>
      <c r="I151" s="54"/>
      <c r="J151" s="54"/>
      <c r="K151" s="54"/>
      <c r="L151" s="54"/>
      <c r="M151" s="54"/>
      <c r="N151" s="54"/>
      <c r="O151" s="54"/>
      <c r="P151" s="54"/>
    </row>
    <row r="152" spans="1:16" hidden="1" x14ac:dyDescent="0.2">
      <c r="A152" s="54"/>
      <c r="B152" s="54"/>
      <c r="C152" s="54"/>
      <c r="D152" s="698">
        <v>308</v>
      </c>
      <c r="E152" s="698" t="s">
        <v>811</v>
      </c>
      <c r="F152" s="698">
        <v>1</v>
      </c>
      <c r="G152" s="698"/>
      <c r="H152" s="698" t="s">
        <v>649</v>
      </c>
      <c r="I152" s="698"/>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699" t="s">
        <v>1028</v>
      </c>
      <c r="F154" s="54">
        <v>1</v>
      </c>
      <c r="G154" s="54"/>
      <c r="H154" s="54" t="s">
        <v>653</v>
      </c>
      <c r="I154" s="54"/>
      <c r="J154" s="54"/>
      <c r="K154" s="54"/>
      <c r="L154" s="54"/>
      <c r="M154" s="54"/>
      <c r="N154" s="54"/>
      <c r="O154" s="54"/>
      <c r="P154" s="54"/>
    </row>
    <row r="155" spans="1:16" hidden="1" x14ac:dyDescent="0.2">
      <c r="A155" s="54"/>
      <c r="B155" s="54"/>
      <c r="C155" s="54"/>
      <c r="D155" s="40">
        <v>310</v>
      </c>
      <c r="E155" s="699" t="s">
        <v>1029</v>
      </c>
      <c r="F155" s="54">
        <v>1</v>
      </c>
      <c r="G155" s="54"/>
      <c r="H155" s="705" t="s">
        <v>653</v>
      </c>
      <c r="I155" s="700"/>
      <c r="J155" s="54"/>
      <c r="K155" s="54"/>
      <c r="L155" s="54"/>
      <c r="M155" s="54"/>
      <c r="N155" s="54"/>
      <c r="O155" s="54"/>
      <c r="P155" s="54"/>
    </row>
    <row r="156" spans="1:16" hidden="1" x14ac:dyDescent="0.2">
      <c r="A156" s="54"/>
      <c r="B156" s="54"/>
      <c r="C156" s="54"/>
      <c r="D156" s="40">
        <v>108</v>
      </c>
      <c r="E156" s="699" t="s">
        <v>1030</v>
      </c>
      <c r="F156" s="54">
        <v>1</v>
      </c>
      <c r="G156" s="54"/>
      <c r="H156" s="705" t="s">
        <v>649</v>
      </c>
      <c r="I156" s="700"/>
      <c r="J156" s="54"/>
      <c r="K156" s="54"/>
      <c r="L156" s="54"/>
      <c r="M156" s="54"/>
      <c r="N156" s="54"/>
      <c r="O156" s="54"/>
      <c r="P156" s="54"/>
    </row>
    <row r="157" spans="1:16" hidden="1" x14ac:dyDescent="0.2">
      <c r="A157" s="54"/>
      <c r="B157" s="54"/>
      <c r="C157" s="54"/>
      <c r="D157" s="40">
        <v>108</v>
      </c>
      <c r="E157" s="699" t="s">
        <v>1031</v>
      </c>
      <c r="F157" s="54">
        <v>1</v>
      </c>
      <c r="G157" s="54"/>
      <c r="H157" s="705" t="s">
        <v>653</v>
      </c>
      <c r="I157" s="700"/>
      <c r="J157" s="54"/>
      <c r="K157" s="54"/>
      <c r="L157" s="54"/>
      <c r="M157" s="54"/>
      <c r="N157" s="54"/>
      <c r="O157" s="54"/>
      <c r="P157" s="54"/>
    </row>
    <row r="158" spans="1:16" hidden="1" x14ac:dyDescent="0.2">
      <c r="A158" s="54"/>
      <c r="B158" s="54"/>
      <c r="C158" s="54"/>
      <c r="D158" s="708">
        <v>345</v>
      </c>
      <c r="E158" s="710" t="s">
        <v>1064</v>
      </c>
      <c r="F158" s="54">
        <v>1</v>
      </c>
      <c r="G158" s="54"/>
      <c r="H158" s="705" t="s">
        <v>652</v>
      </c>
      <c r="I158" s="700"/>
      <c r="J158" s="54"/>
      <c r="K158" s="54"/>
      <c r="L158" s="54"/>
      <c r="M158" s="54"/>
      <c r="N158" s="54"/>
      <c r="O158" s="54"/>
      <c r="P158" s="54"/>
    </row>
    <row r="159" spans="1:16" hidden="1" x14ac:dyDescent="0.2">
      <c r="A159" s="54"/>
      <c r="B159" s="54"/>
      <c r="C159" s="54"/>
      <c r="D159" s="40">
        <v>313</v>
      </c>
      <c r="E159" s="699" t="s">
        <v>1032</v>
      </c>
      <c r="F159" s="54">
        <v>1</v>
      </c>
      <c r="G159" s="54"/>
      <c r="H159" s="700" t="s">
        <v>653</v>
      </c>
      <c r="I159" s="700"/>
      <c r="J159" s="54"/>
      <c r="K159" s="54"/>
      <c r="L159" s="54"/>
      <c r="M159" s="54"/>
      <c r="N159" s="54"/>
      <c r="O159" s="54"/>
      <c r="P159" s="54"/>
    </row>
    <row r="160" spans="1:16" hidden="1" x14ac:dyDescent="0.2">
      <c r="A160" s="54"/>
      <c r="B160" s="54"/>
      <c r="C160" s="54"/>
      <c r="D160" s="708">
        <v>342</v>
      </c>
      <c r="E160" s="710" t="s">
        <v>1061</v>
      </c>
      <c r="F160" s="54">
        <v>1</v>
      </c>
      <c r="G160" s="54"/>
      <c r="H160" s="705" t="s">
        <v>652</v>
      </c>
      <c r="I160" s="700"/>
      <c r="J160" s="54"/>
      <c r="K160" s="54"/>
      <c r="L160" s="54"/>
      <c r="M160" s="54"/>
      <c r="N160" s="54"/>
      <c r="O160" s="54"/>
      <c r="P160" s="54"/>
    </row>
    <row r="161" spans="1:16" hidden="1" x14ac:dyDescent="0.2">
      <c r="A161" s="54"/>
      <c r="B161" s="54"/>
      <c r="C161" s="54"/>
      <c r="D161" s="40">
        <v>314</v>
      </c>
      <c r="E161" s="699" t="s">
        <v>1033</v>
      </c>
      <c r="F161" s="54">
        <v>1</v>
      </c>
      <c r="G161" s="54"/>
      <c r="H161" s="700" t="s">
        <v>653</v>
      </c>
      <c r="I161" s="700"/>
      <c r="J161" s="54"/>
      <c r="K161" s="54"/>
      <c r="L161" s="54"/>
      <c r="M161" s="54"/>
      <c r="N161" s="54"/>
      <c r="O161" s="54"/>
      <c r="P161" s="54"/>
    </row>
    <row r="162" spans="1:16" hidden="1" x14ac:dyDescent="0.2">
      <c r="A162" s="54"/>
      <c r="B162" s="54"/>
      <c r="C162" s="54"/>
      <c r="D162" s="708">
        <v>343</v>
      </c>
      <c r="E162" s="710" t="s">
        <v>1062</v>
      </c>
      <c r="F162" s="54">
        <v>1</v>
      </c>
      <c r="G162" s="54"/>
      <c r="H162" s="705" t="s">
        <v>652</v>
      </c>
      <c r="I162" s="700"/>
      <c r="J162" s="54"/>
      <c r="K162" s="54"/>
      <c r="L162" s="54"/>
      <c r="M162" s="54"/>
      <c r="N162" s="54"/>
      <c r="O162" s="54"/>
      <c r="P162" s="54"/>
    </row>
    <row r="163" spans="1:16" s="54" customFormat="1" hidden="1" x14ac:dyDescent="0.2">
      <c r="D163" s="40">
        <v>315</v>
      </c>
      <c r="E163" s="700" t="s">
        <v>1034</v>
      </c>
      <c r="F163" s="54">
        <v>1</v>
      </c>
      <c r="H163" s="700" t="s">
        <v>652</v>
      </c>
      <c r="I163" s="700"/>
    </row>
    <row r="164" spans="1:16" hidden="1" x14ac:dyDescent="0.2">
      <c r="A164" s="54"/>
      <c r="B164" s="54"/>
      <c r="C164" s="54"/>
      <c r="D164" s="40">
        <v>317</v>
      </c>
      <c r="E164" s="699" t="s">
        <v>1035</v>
      </c>
      <c r="F164" s="54">
        <v>1</v>
      </c>
      <c r="G164" s="54"/>
      <c r="H164" s="700" t="s">
        <v>652</v>
      </c>
      <c r="I164" s="700"/>
      <c r="J164" s="54"/>
      <c r="K164" s="54"/>
      <c r="L164" s="54"/>
      <c r="M164" s="54"/>
      <c r="N164" s="54"/>
      <c r="O164" s="54"/>
      <c r="P164" s="54"/>
    </row>
    <row r="165" spans="1:16" hidden="1" x14ac:dyDescent="0.2">
      <c r="A165" s="54"/>
      <c r="B165" s="54"/>
      <c r="C165" s="54"/>
      <c r="D165" s="40">
        <v>318</v>
      </c>
      <c r="E165" s="699" t="s">
        <v>1036</v>
      </c>
      <c r="F165" s="54">
        <v>1</v>
      </c>
      <c r="G165" s="54"/>
      <c r="H165" s="700" t="s">
        <v>652</v>
      </c>
      <c r="I165" s="700"/>
      <c r="J165" s="54"/>
      <c r="K165" s="54"/>
      <c r="L165" s="54"/>
      <c r="M165" s="54"/>
      <c r="N165" s="54"/>
      <c r="O165" s="54"/>
      <c r="P165" s="54"/>
    </row>
    <row r="166" spans="1:16" hidden="1" x14ac:dyDescent="0.2">
      <c r="A166" s="54"/>
      <c r="B166" s="54"/>
      <c r="C166" s="54"/>
      <c r="D166" s="708">
        <v>344</v>
      </c>
      <c r="E166" s="710" t="s">
        <v>1063</v>
      </c>
      <c r="F166" s="54">
        <v>1</v>
      </c>
      <c r="G166" s="54"/>
      <c r="H166" s="705" t="s">
        <v>652</v>
      </c>
      <c r="I166" s="700"/>
      <c r="J166" s="54"/>
      <c r="K166" s="54"/>
      <c r="L166" s="54"/>
      <c r="M166" s="54"/>
      <c r="N166" s="54"/>
      <c r="O166" s="54"/>
      <c r="P166" s="54"/>
    </row>
    <row r="167" spans="1:16" hidden="1" x14ac:dyDescent="0.2">
      <c r="A167" s="54"/>
      <c r="B167" s="54"/>
      <c r="C167" s="54"/>
      <c r="D167" s="40">
        <v>319</v>
      </c>
      <c r="E167" s="699" t="s">
        <v>1037</v>
      </c>
      <c r="F167" s="54">
        <v>1</v>
      </c>
      <c r="G167" s="54"/>
      <c r="H167" s="700" t="s">
        <v>652</v>
      </c>
      <c r="I167" s="700"/>
      <c r="J167" s="54"/>
      <c r="K167" s="54"/>
      <c r="L167" s="54"/>
      <c r="M167" s="54"/>
      <c r="N167" s="54"/>
      <c r="O167" s="54"/>
      <c r="P167" s="54"/>
    </row>
    <row r="168" spans="1:16" hidden="1" x14ac:dyDescent="0.2">
      <c r="A168" s="54"/>
      <c r="B168" s="54"/>
      <c r="C168" s="54"/>
      <c r="D168" s="40">
        <v>320</v>
      </c>
      <c r="E168" s="699" t="s">
        <v>1038</v>
      </c>
      <c r="F168" s="54">
        <v>1</v>
      </c>
      <c r="G168" s="54"/>
      <c r="H168" s="700" t="s">
        <v>652</v>
      </c>
      <c r="I168" s="700"/>
      <c r="J168" s="54"/>
      <c r="K168" s="54"/>
      <c r="L168" s="54"/>
      <c r="M168" s="54"/>
      <c r="N168" s="54"/>
      <c r="O168" s="54"/>
      <c r="P168" s="54"/>
    </row>
    <row r="169" spans="1:16" hidden="1" x14ac:dyDescent="0.2">
      <c r="A169" s="54"/>
      <c r="B169" s="54"/>
      <c r="C169" s="54"/>
      <c r="D169" s="40">
        <v>321</v>
      </c>
      <c r="E169" s="699" t="s">
        <v>1039</v>
      </c>
      <c r="F169" s="54">
        <v>1</v>
      </c>
      <c r="G169" s="54"/>
      <c r="H169" s="700" t="s">
        <v>649</v>
      </c>
      <c r="I169" s="700"/>
      <c r="J169" s="54"/>
      <c r="K169" s="54"/>
      <c r="L169" s="54"/>
      <c r="M169" s="54"/>
      <c r="N169" s="54"/>
      <c r="O169" s="54"/>
      <c r="P169" s="54"/>
    </row>
    <row r="170" spans="1:16" hidden="1" x14ac:dyDescent="0.2">
      <c r="A170" s="54"/>
      <c r="B170" s="54"/>
      <c r="C170" s="54"/>
      <c r="D170" s="40">
        <v>322</v>
      </c>
      <c r="E170" s="701" t="s">
        <v>1040</v>
      </c>
      <c r="F170" s="54">
        <v>1</v>
      </c>
      <c r="G170" s="54"/>
      <c r="H170" s="54" t="s">
        <v>652</v>
      </c>
      <c r="I170" s="54"/>
      <c r="J170" s="54"/>
      <c r="K170" s="54"/>
      <c r="L170" s="54"/>
      <c r="M170" s="54"/>
      <c r="N170" s="54"/>
      <c r="O170" s="54"/>
      <c r="P170" s="54"/>
    </row>
    <row r="171" spans="1:16" hidden="1" x14ac:dyDescent="0.2">
      <c r="A171" s="54"/>
      <c r="B171" s="54"/>
      <c r="C171" s="54"/>
      <c r="D171" s="40">
        <v>323</v>
      </c>
      <c r="E171" s="701" t="s">
        <v>1041</v>
      </c>
      <c r="F171" s="54">
        <v>1</v>
      </c>
      <c r="G171" s="54"/>
      <c r="H171" s="54" t="s">
        <v>652</v>
      </c>
      <c r="I171" s="54"/>
      <c r="J171" s="54"/>
      <c r="K171" s="54"/>
      <c r="L171" s="54"/>
      <c r="M171" s="54"/>
      <c r="N171" s="54"/>
      <c r="O171" s="54"/>
      <c r="P171" s="54"/>
    </row>
    <row r="172" spans="1:16" hidden="1" x14ac:dyDescent="0.2">
      <c r="A172" s="54"/>
      <c r="B172" s="54"/>
      <c r="C172" s="54"/>
      <c r="D172" s="40">
        <v>324</v>
      </c>
      <c r="E172" s="701" t="s">
        <v>1042</v>
      </c>
      <c r="F172" s="54">
        <v>1</v>
      </c>
      <c r="G172" s="54"/>
      <c r="H172" s="54" t="s">
        <v>652</v>
      </c>
      <c r="I172" s="54"/>
      <c r="J172" s="54"/>
      <c r="K172" s="54"/>
      <c r="L172" s="54"/>
      <c r="M172" s="54"/>
      <c r="N172" s="54"/>
      <c r="O172" s="54"/>
      <c r="P172" s="54"/>
    </row>
    <row r="173" spans="1:16" hidden="1" x14ac:dyDescent="0.2">
      <c r="A173" s="54"/>
      <c r="B173" s="54"/>
      <c r="C173" s="54"/>
      <c r="D173" s="40">
        <v>325</v>
      </c>
      <c r="E173" s="701" t="s">
        <v>1043</v>
      </c>
      <c r="F173" s="54">
        <v>1</v>
      </c>
      <c r="G173" s="54"/>
      <c r="H173" s="54" t="s">
        <v>652</v>
      </c>
      <c r="I173" s="54"/>
      <c r="J173" s="54"/>
      <c r="K173" s="54"/>
      <c r="L173" s="54"/>
      <c r="M173" s="54"/>
      <c r="N173" s="54"/>
      <c r="O173" s="54"/>
      <c r="P173" s="54"/>
    </row>
    <row r="174" spans="1:16" hidden="1" x14ac:dyDescent="0.2">
      <c r="A174" s="54"/>
      <c r="B174" s="54"/>
      <c r="C174" s="54"/>
      <c r="D174" s="40">
        <v>326</v>
      </c>
      <c r="E174" s="701" t="s">
        <v>1044</v>
      </c>
      <c r="F174" s="54">
        <v>1</v>
      </c>
      <c r="G174" s="54"/>
      <c r="H174" s="54" t="s">
        <v>652</v>
      </c>
      <c r="I174" s="54"/>
      <c r="J174" s="54"/>
      <c r="K174" s="54"/>
      <c r="L174" s="54"/>
      <c r="M174" s="54"/>
      <c r="N174" s="54"/>
      <c r="O174" s="54"/>
      <c r="P174" s="54"/>
    </row>
    <row r="175" spans="1:16" hidden="1" x14ac:dyDescent="0.2">
      <c r="A175" s="54"/>
      <c r="B175" s="54"/>
      <c r="C175" s="54"/>
      <c r="D175" s="40">
        <v>327</v>
      </c>
      <c r="E175" s="701" t="s">
        <v>1045</v>
      </c>
      <c r="F175" s="54">
        <v>1</v>
      </c>
      <c r="G175" s="54"/>
      <c r="H175" s="54" t="s">
        <v>652</v>
      </c>
      <c r="I175" s="54"/>
      <c r="J175" s="54"/>
      <c r="K175" s="54"/>
      <c r="L175" s="54"/>
      <c r="M175" s="54"/>
      <c r="N175" s="54"/>
      <c r="O175" s="54"/>
      <c r="P175" s="54"/>
    </row>
    <row r="176" spans="1:16" hidden="1" x14ac:dyDescent="0.2">
      <c r="A176" s="54"/>
      <c r="B176" s="54"/>
      <c r="C176" s="54"/>
      <c r="D176" s="40">
        <v>328</v>
      </c>
      <c r="E176" s="701" t="s">
        <v>1046</v>
      </c>
      <c r="F176" s="54">
        <v>1</v>
      </c>
      <c r="G176" s="54"/>
      <c r="H176" s="54" t="s">
        <v>652</v>
      </c>
      <c r="I176" s="54"/>
      <c r="J176" s="54"/>
      <c r="K176" s="54"/>
      <c r="L176" s="54"/>
      <c r="M176" s="54"/>
      <c r="N176" s="54"/>
      <c r="O176" s="54"/>
      <c r="P176" s="54"/>
    </row>
    <row r="177" spans="1:16" hidden="1" x14ac:dyDescent="0.2">
      <c r="A177" s="54"/>
      <c r="B177" s="54"/>
      <c r="C177" s="54"/>
      <c r="D177" s="40">
        <v>329</v>
      </c>
      <c r="E177" s="701" t="s">
        <v>1047</v>
      </c>
      <c r="F177" s="54">
        <v>1</v>
      </c>
      <c r="G177" s="54"/>
      <c r="H177" s="54" t="s">
        <v>652</v>
      </c>
      <c r="I177" s="54"/>
      <c r="J177" s="54"/>
      <c r="K177" s="54"/>
      <c r="L177" s="54"/>
      <c r="M177" s="54"/>
      <c r="N177" s="54"/>
      <c r="O177" s="54"/>
      <c r="P177" s="54"/>
    </row>
    <row r="178" spans="1:16" hidden="1" x14ac:dyDescent="0.2">
      <c r="A178" s="54"/>
      <c r="B178" s="54"/>
      <c r="C178" s="54"/>
      <c r="D178" s="40">
        <v>330</v>
      </c>
      <c r="E178" s="701"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699" t="s">
        <v>1049</v>
      </c>
      <c r="F180" s="54">
        <v>1</v>
      </c>
      <c r="G180" s="54"/>
      <c r="H180" s="54" t="s">
        <v>653</v>
      </c>
      <c r="I180" s="54"/>
      <c r="J180" s="54"/>
      <c r="K180" s="54"/>
      <c r="L180" s="54"/>
      <c r="M180" s="54"/>
      <c r="N180" s="54"/>
      <c r="O180" s="54"/>
      <c r="P180" s="54"/>
    </row>
    <row r="181" spans="1:16" hidden="1" x14ac:dyDescent="0.2">
      <c r="A181" s="54"/>
      <c r="B181" s="54"/>
      <c r="C181" s="54"/>
      <c r="D181" s="40">
        <v>332</v>
      </c>
      <c r="E181" s="699" t="s">
        <v>1050</v>
      </c>
      <c r="F181" s="54">
        <v>1</v>
      </c>
      <c r="G181" s="54"/>
      <c r="H181" s="700" t="s">
        <v>650</v>
      </c>
      <c r="I181" s="54"/>
      <c r="J181" s="54"/>
      <c r="K181" s="54"/>
      <c r="L181" s="54"/>
      <c r="M181" s="54"/>
      <c r="N181" s="54"/>
      <c r="O181" s="54"/>
      <c r="P181" s="54"/>
    </row>
    <row r="182" spans="1:16" hidden="1" x14ac:dyDescent="0.2">
      <c r="A182" s="54"/>
      <c r="B182" s="54"/>
      <c r="C182" s="54"/>
      <c r="D182" s="40">
        <v>333</v>
      </c>
      <c r="E182" s="699" t="s">
        <v>1051</v>
      </c>
      <c r="F182" s="54">
        <v>1</v>
      </c>
      <c r="G182" s="54"/>
      <c r="H182" s="700"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5">
        <v>268</v>
      </c>
      <c r="E194" s="685" t="s">
        <v>238</v>
      </c>
      <c r="F194" s="685">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699"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5"/>
      <c r="C240" s="685"/>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sortState ref="D8:H32">
    <sortCondition ref="E8"/>
    <sortCondition descending="1" ref="F8"/>
    <sortCondition ref="D8"/>
  </sortState>
  <dataConsolidate/>
  <mergeCells count="41">
    <mergeCell ref="I48:J48"/>
    <mergeCell ref="B2:K2"/>
    <mergeCell ref="J16:K20"/>
    <mergeCell ref="J7:K7"/>
    <mergeCell ref="J25:K27"/>
    <mergeCell ref="C37:E37"/>
    <mergeCell ref="C38:E38"/>
    <mergeCell ref="I43:J43"/>
    <mergeCell ref="I44:J44"/>
    <mergeCell ref="I45:J45"/>
    <mergeCell ref="I46:J46"/>
    <mergeCell ref="I47:J47"/>
    <mergeCell ref="I60:J60"/>
    <mergeCell ref="I49:J49"/>
    <mergeCell ref="I50:J50"/>
    <mergeCell ref="I51:J51"/>
    <mergeCell ref="I52:J52"/>
    <mergeCell ref="I53:J53"/>
    <mergeCell ref="I54:J54"/>
    <mergeCell ref="I55:J55"/>
    <mergeCell ref="I56:J56"/>
    <mergeCell ref="I57:J57"/>
    <mergeCell ref="I58:J58"/>
    <mergeCell ref="I59:J59"/>
    <mergeCell ref="I61:J61"/>
    <mergeCell ref="I62:J62"/>
    <mergeCell ref="I69:J69"/>
    <mergeCell ref="E69:F69"/>
    <mergeCell ref="I63:J63"/>
    <mergeCell ref="E68:F68"/>
    <mergeCell ref="F65:J66"/>
    <mergeCell ref="I68:J68"/>
    <mergeCell ref="E72:F72"/>
    <mergeCell ref="E73:F73"/>
    <mergeCell ref="E70:F70"/>
    <mergeCell ref="E71:F71"/>
    <mergeCell ref="H76:K76"/>
    <mergeCell ref="I70:J70"/>
    <mergeCell ref="I71:J71"/>
    <mergeCell ref="I72:J72"/>
    <mergeCell ref="I73:J73"/>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E10" sqref="E10"/>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70" t="s">
        <v>769</v>
      </c>
      <c r="C2" s="771"/>
      <c r="D2" s="771"/>
      <c r="E2" s="771"/>
      <c r="F2" s="771"/>
      <c r="G2" s="771"/>
      <c r="H2" s="780"/>
      <c r="I2" s="54"/>
      <c r="J2" s="54"/>
      <c r="K2" s="54"/>
      <c r="L2" s="54"/>
    </row>
    <row r="3" spans="1:46" x14ac:dyDescent="0.2">
      <c r="A3" s="54"/>
      <c r="B3" s="56"/>
      <c r="C3" s="642"/>
      <c r="D3" s="346"/>
      <c r="E3" s="792"/>
      <c r="F3" s="792"/>
      <c r="G3" s="57"/>
      <c r="H3" s="58"/>
      <c r="I3" s="54"/>
      <c r="J3" s="54"/>
      <c r="K3" s="54"/>
      <c r="L3" s="54"/>
    </row>
    <row r="4" spans="1:46" ht="12.75" customHeight="1" x14ac:dyDescent="0.2">
      <c r="A4" s="54"/>
      <c r="B4" s="59"/>
      <c r="C4" s="788" t="s">
        <v>74</v>
      </c>
      <c r="D4" s="788"/>
      <c r="E4" s="789" t="str">
        <f>Introduction!E8</f>
        <v>Tomlinson Dairies</v>
      </c>
      <c r="F4" s="789"/>
      <c r="G4" s="781" t="s">
        <v>1004</v>
      </c>
      <c r="H4" s="62"/>
      <c r="I4" s="54"/>
      <c r="J4" s="54"/>
      <c r="K4" s="54"/>
      <c r="L4" s="54"/>
    </row>
    <row r="5" spans="1:46" x14ac:dyDescent="0.2">
      <c r="A5" s="54"/>
      <c r="B5" s="59"/>
      <c r="C5" s="788" t="s">
        <v>72</v>
      </c>
      <c r="D5" s="788"/>
      <c r="E5" s="789" t="str">
        <f>Introduction!I8</f>
        <v>PPN-00061</v>
      </c>
      <c r="F5" s="789"/>
      <c r="G5" s="782"/>
      <c r="H5" s="62"/>
      <c r="I5" s="54"/>
      <c r="J5" s="54"/>
      <c r="K5" s="54"/>
      <c r="L5" s="54"/>
    </row>
    <row r="6" spans="1:46" x14ac:dyDescent="0.2">
      <c r="A6" s="54"/>
      <c r="B6" s="59"/>
      <c r="C6" s="80"/>
      <c r="D6" s="80"/>
      <c r="E6" s="95"/>
      <c r="F6" s="60"/>
      <c r="G6" s="783"/>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3" t="s">
        <v>304</v>
      </c>
      <c r="D8" s="794"/>
      <c r="E8" s="794"/>
      <c r="F8" s="794"/>
      <c r="G8" s="795"/>
      <c r="H8" s="62"/>
      <c r="I8" s="54"/>
      <c r="J8" s="54"/>
      <c r="K8" s="54"/>
      <c r="L8" s="54"/>
    </row>
    <row r="9" spans="1:46" ht="36.75" x14ac:dyDescent="0.2">
      <c r="A9" s="54"/>
      <c r="B9" s="59"/>
      <c r="C9" s="665" t="s">
        <v>666</v>
      </c>
      <c r="D9" s="96" t="s">
        <v>1001</v>
      </c>
      <c r="E9" s="97" t="s">
        <v>113</v>
      </c>
      <c r="F9" s="83" t="s">
        <v>688</v>
      </c>
      <c r="G9" s="83" t="s">
        <v>674</v>
      </c>
      <c r="H9" s="62"/>
      <c r="I9" s="54"/>
      <c r="J9" s="54"/>
      <c r="K9" s="54"/>
      <c r="L9" s="54"/>
    </row>
    <row r="10" spans="1:46" x14ac:dyDescent="0.2">
      <c r="A10" s="54"/>
      <c r="B10" s="667"/>
      <c r="C10" s="340">
        <v>1</v>
      </c>
      <c r="D10" s="659"/>
      <c r="E10" s="85"/>
      <c r="F10" s="85"/>
      <c r="G10" s="86"/>
      <c r="H10" s="442"/>
      <c r="I10" s="54"/>
      <c r="J10" s="54"/>
      <c r="K10" s="54"/>
      <c r="L10" s="54"/>
    </row>
    <row r="11" spans="1:46" x14ac:dyDescent="0.2">
      <c r="A11" s="54"/>
      <c r="B11" s="667"/>
      <c r="C11" s="340">
        <v>2</v>
      </c>
      <c r="D11" s="659"/>
      <c r="E11" s="85"/>
      <c r="F11" s="85"/>
      <c r="G11" s="86"/>
      <c r="H11" s="442"/>
      <c r="I11" s="54"/>
      <c r="J11" s="54"/>
      <c r="K11" s="54"/>
      <c r="L11" s="54"/>
    </row>
    <row r="12" spans="1:46" x14ac:dyDescent="0.2">
      <c r="A12" s="54"/>
      <c r="B12" s="667"/>
      <c r="C12" s="340">
        <v>3</v>
      </c>
      <c r="D12" s="659"/>
      <c r="E12" s="85"/>
      <c r="F12" s="85"/>
      <c r="G12" s="86"/>
      <c r="H12" s="442"/>
      <c r="I12" s="54"/>
      <c r="J12" s="54"/>
      <c r="K12" s="54"/>
      <c r="L12" s="54"/>
    </row>
    <row r="13" spans="1:46" x14ac:dyDescent="0.2">
      <c r="A13" s="54"/>
      <c r="B13" s="667"/>
      <c r="C13" s="340">
        <v>4</v>
      </c>
      <c r="D13" s="659"/>
      <c r="E13" s="85"/>
      <c r="F13" s="85"/>
      <c r="G13" s="86"/>
      <c r="H13" s="442"/>
      <c r="I13" s="54"/>
      <c r="J13" s="54"/>
      <c r="K13" s="54"/>
      <c r="L13" s="54"/>
    </row>
    <row r="14" spans="1:46" x14ac:dyDescent="0.2">
      <c r="A14" s="54"/>
      <c r="B14" s="667"/>
      <c r="C14" s="340">
        <v>5</v>
      </c>
      <c r="D14" s="659"/>
      <c r="E14" s="85"/>
      <c r="F14" s="85"/>
      <c r="G14" s="86"/>
      <c r="H14" s="442"/>
      <c r="I14" s="54"/>
      <c r="J14" s="54"/>
      <c r="K14" s="54"/>
      <c r="L14" s="54"/>
    </row>
    <row r="15" spans="1:46" x14ac:dyDescent="0.2">
      <c r="A15" s="54"/>
      <c r="B15" s="667"/>
      <c r="C15" s="340">
        <v>6</v>
      </c>
      <c r="D15" s="659"/>
      <c r="E15" s="85"/>
      <c r="F15" s="85"/>
      <c r="G15" s="86"/>
      <c r="H15" s="442"/>
      <c r="I15" s="54"/>
      <c r="J15" s="54"/>
      <c r="K15" s="54"/>
      <c r="L15" s="54"/>
    </row>
    <row r="16" spans="1:46" x14ac:dyDescent="0.2">
      <c r="A16" s="54"/>
      <c r="B16" s="667"/>
      <c r="C16" s="340">
        <v>7</v>
      </c>
      <c r="D16" s="659"/>
      <c r="E16" s="85"/>
      <c r="F16" s="85"/>
      <c r="G16" s="86"/>
      <c r="H16" s="442"/>
      <c r="I16" s="54"/>
      <c r="J16" s="54"/>
      <c r="K16" s="54"/>
      <c r="L16" s="54"/>
    </row>
    <row r="17" spans="1:12" x14ac:dyDescent="0.2">
      <c r="A17" s="54"/>
      <c r="B17" s="667"/>
      <c r="C17" s="340">
        <v>8</v>
      </c>
      <c r="D17" s="659"/>
      <c r="E17" s="85"/>
      <c r="F17" s="85"/>
      <c r="G17" s="86"/>
      <c r="H17" s="442"/>
      <c r="I17" s="54"/>
      <c r="J17" s="54"/>
      <c r="K17" s="54"/>
      <c r="L17" s="54"/>
    </row>
    <row r="18" spans="1:12" x14ac:dyDescent="0.2">
      <c r="A18" s="54"/>
      <c r="B18" s="667"/>
      <c r="C18" s="340">
        <v>9</v>
      </c>
      <c r="D18" s="659"/>
      <c r="E18" s="85"/>
      <c r="F18" s="85"/>
      <c r="G18" s="86"/>
      <c r="H18" s="442"/>
      <c r="I18" s="54"/>
      <c r="J18" s="54"/>
      <c r="K18" s="54"/>
      <c r="L18" s="54"/>
    </row>
    <row r="19" spans="1:12" x14ac:dyDescent="0.2">
      <c r="A19" s="54"/>
      <c r="B19" s="667"/>
      <c r="C19" s="340">
        <v>10</v>
      </c>
      <c r="D19" s="659"/>
      <c r="E19" s="85"/>
      <c r="F19" s="85"/>
      <c r="G19" s="86"/>
      <c r="H19" s="442"/>
      <c r="I19" s="54"/>
      <c r="J19" s="54"/>
      <c r="K19" s="54"/>
      <c r="L19" s="54"/>
    </row>
    <row r="20" spans="1:12" x14ac:dyDescent="0.2">
      <c r="A20" s="54"/>
      <c r="B20" s="667"/>
      <c r="C20" s="340">
        <v>11</v>
      </c>
      <c r="D20" s="659"/>
      <c r="E20" s="85"/>
      <c r="F20" s="85"/>
      <c r="G20" s="86"/>
      <c r="H20" s="442"/>
      <c r="I20" s="54"/>
      <c r="J20" s="54"/>
      <c r="K20" s="54"/>
      <c r="L20" s="54"/>
    </row>
    <row r="21" spans="1:12" x14ac:dyDescent="0.2">
      <c r="A21" s="54"/>
      <c r="B21" s="667"/>
      <c r="C21" s="340">
        <v>12</v>
      </c>
      <c r="D21" s="659"/>
      <c r="E21" s="85"/>
      <c r="F21" s="85"/>
      <c r="G21" s="86"/>
      <c r="H21" s="442"/>
      <c r="I21" s="54"/>
      <c r="J21" s="54"/>
      <c r="K21" s="54"/>
      <c r="L21" s="54"/>
    </row>
    <row r="22" spans="1:12" x14ac:dyDescent="0.2">
      <c r="A22" s="54"/>
      <c r="B22" s="667"/>
      <c r="C22" s="340">
        <v>13</v>
      </c>
      <c r="D22" s="659"/>
      <c r="E22" s="85"/>
      <c r="F22" s="85"/>
      <c r="G22" s="86"/>
      <c r="H22" s="442"/>
      <c r="I22" s="54"/>
      <c r="J22" s="54"/>
      <c r="K22" s="54"/>
      <c r="L22" s="54"/>
    </row>
    <row r="23" spans="1:12" x14ac:dyDescent="0.2">
      <c r="A23" s="54"/>
      <c r="B23" s="667"/>
      <c r="C23" s="340">
        <v>14</v>
      </c>
      <c r="D23" s="659"/>
      <c r="E23" s="85"/>
      <c r="F23" s="85"/>
      <c r="G23" s="86"/>
      <c r="H23" s="442"/>
      <c r="I23" s="54"/>
      <c r="J23" s="54"/>
      <c r="K23" s="54"/>
      <c r="L23" s="54"/>
    </row>
    <row r="24" spans="1:12" x14ac:dyDescent="0.2">
      <c r="A24" s="54"/>
      <c r="B24" s="667"/>
      <c r="C24" s="340">
        <v>15</v>
      </c>
      <c r="D24" s="659"/>
      <c r="E24" s="85"/>
      <c r="F24" s="85"/>
      <c r="G24" s="86"/>
      <c r="H24" s="442"/>
      <c r="I24" s="54"/>
      <c r="J24" s="54"/>
      <c r="K24" s="54"/>
      <c r="L24" s="54"/>
    </row>
    <row r="25" spans="1:12" x14ac:dyDescent="0.2">
      <c r="A25" s="54"/>
      <c r="B25" s="667"/>
      <c r="C25" s="340">
        <v>16</v>
      </c>
      <c r="D25" s="659"/>
      <c r="E25" s="85"/>
      <c r="F25" s="85"/>
      <c r="G25" s="86"/>
      <c r="H25" s="442"/>
      <c r="I25" s="54"/>
      <c r="J25" s="54"/>
      <c r="K25" s="54"/>
      <c r="L25" s="54"/>
    </row>
    <row r="26" spans="1:12" x14ac:dyDescent="0.2">
      <c r="A26" s="54"/>
      <c r="B26" s="667"/>
      <c r="C26" s="340">
        <v>17</v>
      </c>
      <c r="D26" s="659"/>
      <c r="E26" s="85"/>
      <c r="F26" s="85"/>
      <c r="G26" s="86"/>
      <c r="H26" s="442"/>
      <c r="I26" s="54"/>
      <c r="J26" s="54"/>
      <c r="K26" s="54"/>
      <c r="L26" s="54"/>
    </row>
    <row r="27" spans="1:12" x14ac:dyDescent="0.2">
      <c r="A27" s="54"/>
      <c r="B27" s="667"/>
      <c r="C27" s="340">
        <v>18</v>
      </c>
      <c r="D27" s="659"/>
      <c r="E27" s="85"/>
      <c r="F27" s="85"/>
      <c r="G27" s="86"/>
      <c r="H27" s="442"/>
      <c r="I27" s="54"/>
      <c r="J27" s="54"/>
      <c r="K27" s="54"/>
      <c r="L27" s="54"/>
    </row>
    <row r="28" spans="1:12" x14ac:dyDescent="0.2">
      <c r="A28" s="54"/>
      <c r="B28" s="667"/>
      <c r="C28" s="340">
        <v>19</v>
      </c>
      <c r="D28" s="659"/>
      <c r="E28" s="85"/>
      <c r="F28" s="85"/>
      <c r="G28" s="86"/>
      <c r="H28" s="442"/>
      <c r="I28" s="54"/>
      <c r="J28" s="54"/>
      <c r="K28" s="54"/>
      <c r="L28" s="54"/>
    </row>
    <row r="29" spans="1:12" x14ac:dyDescent="0.2">
      <c r="A29" s="54"/>
      <c r="B29" s="667"/>
      <c r="C29" s="340">
        <v>20</v>
      </c>
      <c r="D29" s="659"/>
      <c r="E29" s="85"/>
      <c r="F29" s="85"/>
      <c r="G29" s="86"/>
      <c r="H29" s="442"/>
      <c r="I29" s="54"/>
      <c r="J29" s="54"/>
      <c r="K29" s="54"/>
      <c r="L29" s="54"/>
    </row>
    <row r="30" spans="1:12" x14ac:dyDescent="0.2">
      <c r="A30" s="54"/>
      <c r="B30" s="667"/>
      <c r="C30" s="340">
        <v>21</v>
      </c>
      <c r="D30" s="659"/>
      <c r="E30" s="85"/>
      <c r="F30" s="85"/>
      <c r="G30" s="86"/>
      <c r="H30" s="442"/>
      <c r="I30" s="54"/>
      <c r="J30" s="54"/>
      <c r="K30" s="54"/>
      <c r="L30" s="54"/>
    </row>
    <row r="31" spans="1:12" x14ac:dyDescent="0.2">
      <c r="A31" s="54"/>
      <c r="B31" s="667"/>
      <c r="C31" s="340">
        <v>22</v>
      </c>
      <c r="D31" s="659"/>
      <c r="E31" s="85"/>
      <c r="F31" s="85"/>
      <c r="G31" s="86"/>
      <c r="H31" s="442"/>
      <c r="I31" s="54"/>
      <c r="J31" s="54"/>
      <c r="K31" s="54"/>
      <c r="L31" s="54"/>
    </row>
    <row r="32" spans="1:12" x14ac:dyDescent="0.2">
      <c r="A32" s="54"/>
      <c r="B32" s="667"/>
      <c r="C32" s="340">
        <v>23</v>
      </c>
      <c r="D32" s="659"/>
      <c r="E32" s="85"/>
      <c r="F32" s="85"/>
      <c r="G32" s="86"/>
      <c r="H32" s="442"/>
      <c r="I32" s="54"/>
      <c r="J32" s="54"/>
      <c r="K32" s="54"/>
      <c r="L32" s="54"/>
    </row>
    <row r="33" spans="1:12" x14ac:dyDescent="0.2">
      <c r="A33" s="54"/>
      <c r="B33" s="667"/>
      <c r="C33" s="340">
        <v>24</v>
      </c>
      <c r="D33" s="659"/>
      <c r="E33" s="85"/>
      <c r="F33" s="85"/>
      <c r="G33" s="86"/>
      <c r="H33" s="442"/>
      <c r="I33" s="54"/>
      <c r="J33" s="54"/>
      <c r="K33" s="54"/>
      <c r="L33" s="54"/>
    </row>
    <row r="34" spans="1:12" x14ac:dyDescent="0.2">
      <c r="A34" s="54"/>
      <c r="B34" s="667"/>
      <c r="C34" s="340">
        <v>25</v>
      </c>
      <c r="D34" s="659"/>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1"/>
      <c r="D36" s="791"/>
      <c r="E36" s="791"/>
      <c r="F36" s="426"/>
      <c r="G36" s="327"/>
      <c r="H36" s="62"/>
      <c r="I36" s="54"/>
      <c r="J36" s="54"/>
      <c r="K36" s="54"/>
      <c r="L36" s="54"/>
    </row>
    <row r="37" spans="1:12" x14ac:dyDescent="0.2">
      <c r="A37" s="54"/>
      <c r="B37" s="59"/>
      <c r="C37" s="775" t="s">
        <v>139</v>
      </c>
      <c r="D37" s="776"/>
      <c r="E37" s="790"/>
      <c r="F37" s="362" t="s">
        <v>1057</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4" t="s">
        <v>1002</v>
      </c>
      <c r="D43" s="785"/>
      <c r="E43" s="785"/>
      <c r="F43" s="786"/>
      <c r="G43" s="438"/>
      <c r="H43" s="62"/>
      <c r="I43" s="54"/>
      <c r="J43" s="54"/>
      <c r="K43" s="54"/>
      <c r="L43" s="54"/>
    </row>
    <row r="44" spans="1:12" x14ac:dyDescent="0.2">
      <c r="A44" s="54"/>
      <c r="B44" s="59"/>
      <c r="C44" s="84"/>
      <c r="D44" s="787" t="s">
        <v>1003</v>
      </c>
      <c r="E44" s="787"/>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9"/>
      <c r="E66" s="779"/>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9" sqref="D9"/>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796" t="s">
        <v>346</v>
      </c>
      <c r="C2" s="797"/>
      <c r="D2" s="797"/>
      <c r="E2" s="797"/>
      <c r="F2" s="797"/>
      <c r="G2" s="797"/>
      <c r="H2" s="797"/>
      <c r="I2" s="797"/>
      <c r="J2" s="797"/>
      <c r="K2" s="797"/>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55" t="s">
        <v>597</v>
      </c>
      <c r="D4" s="756"/>
      <c r="E4" s="798" t="str">
        <f>Introduction!E8</f>
        <v>Tomlinson Dairies</v>
      </c>
      <c r="F4" s="799"/>
      <c r="G4" s="95"/>
      <c r="H4" s="804"/>
      <c r="I4" s="804"/>
      <c r="J4" s="804"/>
      <c r="K4" s="328"/>
      <c r="L4" s="62"/>
      <c r="M4" s="54"/>
      <c r="N4" s="54"/>
      <c r="O4" s="54"/>
      <c r="P4" s="54"/>
      <c r="Q4" s="54"/>
    </row>
    <row r="5" spans="1:17" s="14" customFormat="1" x14ac:dyDescent="0.2">
      <c r="A5" s="54"/>
      <c r="B5" s="59"/>
      <c r="C5" s="755" t="s">
        <v>733</v>
      </c>
      <c r="D5" s="756"/>
      <c r="E5" s="798" t="str">
        <f>Introduction!I8</f>
        <v>PPN-00061</v>
      </c>
      <c r="F5" s="799"/>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4" t="s">
        <v>667</v>
      </c>
      <c r="D7" s="88" t="s">
        <v>125</v>
      </c>
      <c r="E7" s="88" t="s">
        <v>124</v>
      </c>
      <c r="F7" s="88" t="s">
        <v>674</v>
      </c>
      <c r="G7" s="88" t="s">
        <v>126</v>
      </c>
      <c r="H7" s="712" t="s">
        <v>141</v>
      </c>
      <c r="I7" s="712" t="s">
        <v>149</v>
      </c>
      <c r="J7" s="717" t="s">
        <v>1073</v>
      </c>
      <c r="K7" s="349"/>
      <c r="L7" s="62"/>
      <c r="M7" s="54"/>
      <c r="N7" s="54"/>
      <c r="O7" s="54"/>
      <c r="P7" s="54"/>
      <c r="Q7" s="54"/>
    </row>
    <row r="8" spans="1:17" s="14" customFormat="1" x14ac:dyDescent="0.2">
      <c r="A8" s="54"/>
      <c r="B8" s="59"/>
      <c r="C8" s="668">
        <v>1</v>
      </c>
      <c r="D8" s="415" t="s">
        <v>1069</v>
      </c>
      <c r="E8" s="415" t="s">
        <v>827</v>
      </c>
      <c r="F8" s="420" t="s">
        <v>653</v>
      </c>
      <c r="G8" s="421" t="s">
        <v>653</v>
      </c>
      <c r="H8" s="713" t="s">
        <v>653</v>
      </c>
      <c r="I8" s="714" t="s">
        <v>653</v>
      </c>
      <c r="J8" s="718" t="s">
        <v>653</v>
      </c>
      <c r="K8" s="350"/>
      <c r="L8" s="62"/>
      <c r="M8" s="54"/>
      <c r="N8" s="54"/>
      <c r="O8" s="54"/>
      <c r="P8" s="54"/>
      <c r="Q8" s="54"/>
    </row>
    <row r="9" spans="1:17" s="14" customFormat="1" x14ac:dyDescent="0.2">
      <c r="A9" s="54"/>
      <c r="B9" s="59"/>
      <c r="C9" s="668">
        <v>2</v>
      </c>
      <c r="D9" s="415"/>
      <c r="E9" s="418"/>
      <c r="F9" s="422"/>
      <c r="G9" s="421"/>
      <c r="H9" s="714" t="s">
        <v>1000</v>
      </c>
      <c r="I9" s="714" t="s">
        <v>1000</v>
      </c>
      <c r="J9" s="718" t="s">
        <v>1000</v>
      </c>
      <c r="K9" s="350"/>
      <c r="L9" s="62"/>
      <c r="M9" s="54"/>
      <c r="N9" s="54"/>
      <c r="O9" s="54"/>
      <c r="P9" s="54"/>
      <c r="Q9" s="54"/>
    </row>
    <row r="10" spans="1:17" s="14" customFormat="1" x14ac:dyDescent="0.2">
      <c r="A10" s="54"/>
      <c r="B10" s="59"/>
      <c r="C10" s="668">
        <v>3</v>
      </c>
      <c r="D10" s="415"/>
      <c r="E10" s="417"/>
      <c r="F10" s="422"/>
      <c r="G10" s="421"/>
      <c r="H10" s="714" t="s">
        <v>1000</v>
      </c>
      <c r="I10" s="714" t="s">
        <v>1000</v>
      </c>
      <c r="J10" s="718" t="s">
        <v>1000</v>
      </c>
      <c r="K10" s="350"/>
      <c r="L10" s="62"/>
      <c r="M10" s="54"/>
      <c r="N10" s="54"/>
      <c r="O10" s="54"/>
      <c r="P10" s="54"/>
      <c r="Q10" s="54"/>
    </row>
    <row r="11" spans="1:17" s="14" customFormat="1" x14ac:dyDescent="0.2">
      <c r="A11" s="54"/>
      <c r="B11" s="59"/>
      <c r="C11" s="668">
        <v>4</v>
      </c>
      <c r="D11" s="415"/>
      <c r="E11" s="417"/>
      <c r="F11" s="422"/>
      <c r="G11" s="421"/>
      <c r="H11" s="714" t="s">
        <v>1000</v>
      </c>
      <c r="I11" s="714" t="s">
        <v>1000</v>
      </c>
      <c r="J11" s="718" t="s">
        <v>1000</v>
      </c>
      <c r="K11" s="350"/>
      <c r="L11" s="62"/>
      <c r="M11" s="54"/>
      <c r="N11" s="54"/>
      <c r="O11" s="54"/>
      <c r="P11" s="54"/>
      <c r="Q11" s="54"/>
    </row>
    <row r="12" spans="1:17" s="14" customFormat="1" x14ac:dyDescent="0.2">
      <c r="A12" s="54"/>
      <c r="B12" s="59"/>
      <c r="C12" s="668">
        <v>5</v>
      </c>
      <c r="D12" s="415"/>
      <c r="E12" s="416"/>
      <c r="F12" s="420"/>
      <c r="G12" s="421"/>
      <c r="H12" s="714" t="s">
        <v>1000</v>
      </c>
      <c r="I12" s="714" t="s">
        <v>1000</v>
      </c>
      <c r="J12" s="718" t="s">
        <v>1000</v>
      </c>
      <c r="K12" s="350"/>
      <c r="L12" s="62"/>
      <c r="M12" s="54"/>
      <c r="N12" s="54"/>
      <c r="O12" s="54"/>
      <c r="P12" s="54"/>
      <c r="Q12" s="54"/>
    </row>
    <row r="13" spans="1:17" s="14" customFormat="1" ht="13.5" thickBot="1" x14ac:dyDescent="0.25">
      <c r="A13" s="54"/>
      <c r="B13" s="59"/>
      <c r="C13" s="668">
        <v>6</v>
      </c>
      <c r="D13" s="415"/>
      <c r="E13" s="416"/>
      <c r="F13" s="420"/>
      <c r="G13" s="421"/>
      <c r="H13" s="715" t="s">
        <v>1000</v>
      </c>
      <c r="I13" s="715" t="s">
        <v>1000</v>
      </c>
      <c r="J13" s="719" t="s">
        <v>1000</v>
      </c>
      <c r="K13" s="350"/>
      <c r="L13" s="62"/>
      <c r="M13" s="54"/>
      <c r="N13" s="54"/>
      <c r="O13" s="54"/>
      <c r="P13" s="54"/>
      <c r="Q13" s="54"/>
    </row>
    <row r="14" spans="1:17" s="14" customFormat="1" x14ac:dyDescent="0.2">
      <c r="A14" s="54"/>
      <c r="B14" s="59"/>
      <c r="C14" s="668">
        <v>7</v>
      </c>
      <c r="D14" s="415"/>
      <c r="E14" s="415"/>
      <c r="F14" s="420"/>
      <c r="G14" s="421"/>
      <c r="H14" s="716" t="s">
        <v>1000</v>
      </c>
      <c r="I14" s="716" t="s">
        <v>1000</v>
      </c>
      <c r="J14" s="720" t="s">
        <v>1000</v>
      </c>
      <c r="K14" s="350"/>
      <c r="L14" s="62"/>
      <c r="M14" s="54"/>
      <c r="N14" s="54"/>
      <c r="O14" s="54"/>
      <c r="P14" s="54"/>
      <c r="Q14" s="54"/>
    </row>
    <row r="15" spans="1:17" s="14" customFormat="1" x14ac:dyDescent="0.2">
      <c r="A15" s="54"/>
      <c r="B15" s="59"/>
      <c r="C15" s="668">
        <v>8</v>
      </c>
      <c r="D15" s="415"/>
      <c r="E15" s="415"/>
      <c r="F15" s="420"/>
      <c r="G15" s="421"/>
      <c r="H15" s="714" t="s">
        <v>1000</v>
      </c>
      <c r="I15" s="714" t="s">
        <v>1000</v>
      </c>
      <c r="J15" s="718" t="s">
        <v>1000</v>
      </c>
      <c r="K15" s="350"/>
      <c r="L15" s="62"/>
      <c r="M15" s="54"/>
      <c r="N15" s="54"/>
      <c r="O15" s="54"/>
      <c r="P15" s="54"/>
      <c r="Q15" s="54"/>
    </row>
    <row r="16" spans="1:17" s="14" customFormat="1" x14ac:dyDescent="0.2">
      <c r="A16" s="54"/>
      <c r="B16" s="59"/>
      <c r="C16" s="668">
        <v>9</v>
      </c>
      <c r="D16" s="419"/>
      <c r="E16" s="417"/>
      <c r="F16" s="422"/>
      <c r="G16" s="423"/>
      <c r="H16" s="714" t="s">
        <v>1000</v>
      </c>
      <c r="I16" s="714" t="s">
        <v>1000</v>
      </c>
      <c r="J16" s="718" t="s">
        <v>1000</v>
      </c>
      <c r="K16" s="350"/>
      <c r="L16" s="62"/>
      <c r="M16" s="54"/>
      <c r="N16" s="54"/>
      <c r="O16" s="54"/>
      <c r="P16" s="54"/>
      <c r="Q16" s="54"/>
    </row>
    <row r="17" spans="1:17" s="14" customFormat="1" x14ac:dyDescent="0.2">
      <c r="A17" s="54"/>
      <c r="B17" s="59"/>
      <c r="C17" s="668">
        <v>10</v>
      </c>
      <c r="D17" s="419"/>
      <c r="E17" s="418"/>
      <c r="F17" s="422"/>
      <c r="G17" s="423"/>
      <c r="H17" s="714" t="s">
        <v>1000</v>
      </c>
      <c r="I17" s="714" t="s">
        <v>1000</v>
      </c>
      <c r="J17" s="718" t="s">
        <v>1000</v>
      </c>
      <c r="K17" s="350"/>
      <c r="L17" s="62"/>
      <c r="M17" s="54"/>
      <c r="N17" s="54"/>
      <c r="O17" s="54"/>
      <c r="P17" s="54"/>
      <c r="Q17" s="54"/>
    </row>
    <row r="18" spans="1:17" s="14" customFormat="1" x14ac:dyDescent="0.2">
      <c r="A18" s="54"/>
      <c r="B18" s="59"/>
      <c r="C18" s="668">
        <v>11</v>
      </c>
      <c r="D18" s="419"/>
      <c r="E18" s="417"/>
      <c r="F18" s="422"/>
      <c r="G18" s="423"/>
      <c r="H18" s="714" t="s">
        <v>1000</v>
      </c>
      <c r="I18" s="714" t="s">
        <v>1000</v>
      </c>
      <c r="J18" s="718" t="s">
        <v>1000</v>
      </c>
      <c r="K18" s="350"/>
      <c r="L18" s="62"/>
      <c r="M18" s="54"/>
      <c r="N18" s="54"/>
      <c r="O18" s="54"/>
      <c r="P18" s="54"/>
      <c r="Q18" s="54"/>
    </row>
    <row r="19" spans="1:17" s="14" customFormat="1" x14ac:dyDescent="0.2">
      <c r="A19" s="54"/>
      <c r="B19" s="59"/>
      <c r="C19" s="668">
        <v>12</v>
      </c>
      <c r="D19" s="419"/>
      <c r="E19" s="417"/>
      <c r="F19" s="422"/>
      <c r="G19" s="423"/>
      <c r="H19" s="714" t="s">
        <v>1000</v>
      </c>
      <c r="I19" s="714" t="s">
        <v>1000</v>
      </c>
      <c r="J19" s="718" t="s">
        <v>1000</v>
      </c>
      <c r="K19" s="350"/>
      <c r="L19" s="62"/>
      <c r="M19" s="54"/>
      <c r="N19" s="54"/>
      <c r="O19" s="54"/>
      <c r="P19" s="54"/>
      <c r="Q19" s="54"/>
    </row>
    <row r="20" spans="1:17" s="14" customFormat="1" x14ac:dyDescent="0.2">
      <c r="A20" s="54"/>
      <c r="B20" s="59"/>
      <c r="C20" s="668">
        <v>13</v>
      </c>
      <c r="D20" s="419"/>
      <c r="E20" s="418"/>
      <c r="F20" s="422"/>
      <c r="G20" s="423"/>
      <c r="H20" s="714" t="s">
        <v>1000</v>
      </c>
      <c r="I20" s="714" t="s">
        <v>1000</v>
      </c>
      <c r="J20" s="718" t="s">
        <v>1000</v>
      </c>
      <c r="K20" s="350"/>
      <c r="L20" s="62"/>
      <c r="M20" s="54"/>
      <c r="N20" s="54"/>
      <c r="O20" s="54"/>
      <c r="P20" s="54"/>
      <c r="Q20" s="54"/>
    </row>
    <row r="21" spans="1:17" s="14" customFormat="1" x14ac:dyDescent="0.2">
      <c r="A21" s="54"/>
      <c r="B21" s="59"/>
      <c r="C21" s="668">
        <v>14</v>
      </c>
      <c r="D21" s="419"/>
      <c r="E21" s="417"/>
      <c r="F21" s="422"/>
      <c r="G21" s="423"/>
      <c r="H21" s="714" t="s">
        <v>1000</v>
      </c>
      <c r="I21" s="714" t="s">
        <v>1000</v>
      </c>
      <c r="J21" s="718" t="s">
        <v>1000</v>
      </c>
      <c r="K21" s="350"/>
      <c r="L21" s="62"/>
      <c r="M21" s="54"/>
      <c r="N21" s="54"/>
      <c r="O21" s="54"/>
      <c r="P21" s="54"/>
      <c r="Q21" s="54"/>
    </row>
    <row r="22" spans="1:17" s="14" customFormat="1" x14ac:dyDescent="0.2">
      <c r="A22" s="54"/>
      <c r="B22" s="59"/>
      <c r="C22" s="668">
        <v>15</v>
      </c>
      <c r="D22" s="419"/>
      <c r="E22" s="418"/>
      <c r="F22" s="422"/>
      <c r="G22" s="423"/>
      <c r="H22" s="714" t="s">
        <v>1000</v>
      </c>
      <c r="I22" s="714" t="s">
        <v>1000</v>
      </c>
      <c r="J22" s="718" t="s">
        <v>1000</v>
      </c>
      <c r="K22" s="350"/>
      <c r="L22" s="62"/>
      <c r="M22" s="54"/>
      <c r="N22" s="54"/>
      <c r="O22" s="54"/>
      <c r="P22" s="54"/>
      <c r="Q22" s="54"/>
    </row>
    <row r="23" spans="1:17" s="14" customFormat="1" x14ac:dyDescent="0.2">
      <c r="A23" s="54"/>
      <c r="B23" s="59"/>
      <c r="C23" s="668">
        <v>16</v>
      </c>
      <c r="D23" s="419"/>
      <c r="E23" s="417"/>
      <c r="F23" s="422"/>
      <c r="G23" s="423"/>
      <c r="H23" s="714" t="s">
        <v>1000</v>
      </c>
      <c r="I23" s="714" t="s">
        <v>1000</v>
      </c>
      <c r="J23" s="718" t="s">
        <v>1000</v>
      </c>
      <c r="K23" s="350"/>
      <c r="L23" s="62"/>
      <c r="M23" s="54"/>
      <c r="N23" s="54"/>
      <c r="O23" s="54"/>
      <c r="P23" s="54"/>
      <c r="Q23" s="54"/>
    </row>
    <row r="24" spans="1:17" s="14" customFormat="1" x14ac:dyDescent="0.2">
      <c r="A24" s="54"/>
      <c r="B24" s="59"/>
      <c r="C24" s="668">
        <v>17</v>
      </c>
      <c r="D24" s="419"/>
      <c r="E24" s="417"/>
      <c r="F24" s="422"/>
      <c r="G24" s="423"/>
      <c r="H24" s="714" t="s">
        <v>1000</v>
      </c>
      <c r="I24" s="714" t="s">
        <v>1000</v>
      </c>
      <c r="J24" s="718" t="s">
        <v>1000</v>
      </c>
      <c r="K24" s="350"/>
      <c r="L24" s="62"/>
      <c r="M24" s="54"/>
      <c r="N24" s="54"/>
      <c r="O24" s="54"/>
      <c r="P24" s="54"/>
      <c r="Q24" s="54"/>
    </row>
    <row r="25" spans="1:17" s="14" customFormat="1" x14ac:dyDescent="0.2">
      <c r="A25" s="54"/>
      <c r="B25" s="59"/>
      <c r="C25" s="668">
        <v>18</v>
      </c>
      <c r="D25" s="419"/>
      <c r="E25" s="417"/>
      <c r="F25" s="422"/>
      <c r="G25" s="423"/>
      <c r="H25" s="714" t="s">
        <v>1000</v>
      </c>
      <c r="I25" s="714" t="s">
        <v>1000</v>
      </c>
      <c r="J25" s="718" t="s">
        <v>1000</v>
      </c>
      <c r="K25" s="350"/>
      <c r="L25" s="62"/>
      <c r="M25" s="54"/>
      <c r="N25" s="54"/>
      <c r="O25" s="54"/>
      <c r="P25" s="54"/>
      <c r="Q25" s="54"/>
    </row>
    <row r="26" spans="1:17" s="14" customFormat="1" x14ac:dyDescent="0.2">
      <c r="A26" s="54"/>
      <c r="B26" s="59"/>
      <c r="C26" s="668">
        <v>19</v>
      </c>
      <c r="D26" s="419"/>
      <c r="E26" s="417"/>
      <c r="F26" s="422"/>
      <c r="G26" s="423"/>
      <c r="H26" s="714" t="s">
        <v>1000</v>
      </c>
      <c r="I26" s="714" t="s">
        <v>1000</v>
      </c>
      <c r="J26" s="718" t="s">
        <v>1000</v>
      </c>
      <c r="K26" s="350"/>
      <c r="L26" s="62"/>
      <c r="M26" s="54"/>
      <c r="N26" s="54"/>
      <c r="O26" s="54"/>
      <c r="P26" s="54"/>
      <c r="Q26" s="54"/>
    </row>
    <row r="27" spans="1:17" s="14" customFormat="1" x14ac:dyDescent="0.2">
      <c r="A27" s="54"/>
      <c r="B27" s="59"/>
      <c r="C27" s="668">
        <v>20</v>
      </c>
      <c r="D27" s="415"/>
      <c r="E27" s="416"/>
      <c r="F27" s="420"/>
      <c r="G27" s="421"/>
      <c r="H27" s="714" t="s">
        <v>1000</v>
      </c>
      <c r="I27" s="714" t="s">
        <v>1000</v>
      </c>
      <c r="J27" s="718" t="s">
        <v>1000</v>
      </c>
      <c r="K27" s="350"/>
      <c r="L27" s="62"/>
      <c r="M27" s="54"/>
      <c r="N27" s="54"/>
      <c r="O27" s="54"/>
      <c r="P27" s="54"/>
      <c r="Q27" s="54"/>
    </row>
    <row r="28" spans="1:17" s="14" customFormat="1" x14ac:dyDescent="0.2">
      <c r="A28" s="54"/>
      <c r="B28" s="59"/>
      <c r="C28" s="668">
        <v>21</v>
      </c>
      <c r="D28" s="415"/>
      <c r="E28" s="415"/>
      <c r="F28" s="420"/>
      <c r="G28" s="421"/>
      <c r="H28" s="714" t="s">
        <v>1000</v>
      </c>
      <c r="I28" s="714" t="s">
        <v>1000</v>
      </c>
      <c r="J28" s="718" t="s">
        <v>1000</v>
      </c>
      <c r="K28" s="350"/>
      <c r="L28" s="62"/>
      <c r="M28" s="54"/>
      <c r="N28" s="54"/>
      <c r="O28" s="54"/>
      <c r="P28" s="54"/>
      <c r="Q28" s="54"/>
    </row>
    <row r="29" spans="1:17" s="14" customFormat="1" x14ac:dyDescent="0.2">
      <c r="A29" s="54"/>
      <c r="B29" s="59"/>
      <c r="C29" s="668">
        <v>22</v>
      </c>
      <c r="D29" s="415"/>
      <c r="E29" s="415"/>
      <c r="F29" s="420"/>
      <c r="G29" s="420"/>
      <c r="H29" s="714" t="s">
        <v>1000</v>
      </c>
      <c r="I29" s="714" t="s">
        <v>1000</v>
      </c>
      <c r="J29" s="718" t="s">
        <v>1000</v>
      </c>
      <c r="K29" s="350"/>
      <c r="L29" s="62"/>
      <c r="M29" s="54"/>
      <c r="N29" s="54"/>
      <c r="O29" s="54"/>
      <c r="P29" s="54"/>
      <c r="Q29" s="54"/>
    </row>
    <row r="30" spans="1:17" s="14" customFormat="1" x14ac:dyDescent="0.2">
      <c r="A30" s="54"/>
      <c r="B30" s="59"/>
      <c r="C30" s="668">
        <v>23</v>
      </c>
      <c r="D30" s="415"/>
      <c r="E30" s="415"/>
      <c r="F30" s="420"/>
      <c r="G30" s="420"/>
      <c r="H30" s="714" t="s">
        <v>1000</v>
      </c>
      <c r="I30" s="714" t="s">
        <v>1000</v>
      </c>
      <c r="J30" s="718" t="s">
        <v>1000</v>
      </c>
      <c r="K30" s="350"/>
      <c r="L30" s="62"/>
      <c r="M30" s="54"/>
      <c r="N30" s="54"/>
      <c r="O30" s="54"/>
      <c r="P30" s="54"/>
      <c r="Q30" s="54"/>
    </row>
    <row r="31" spans="1:17" s="14" customFormat="1" x14ac:dyDescent="0.2">
      <c r="A31" s="54"/>
      <c r="B31" s="59"/>
      <c r="C31" s="668">
        <v>24</v>
      </c>
      <c r="D31" s="415"/>
      <c r="E31" s="415"/>
      <c r="F31" s="420"/>
      <c r="G31" s="420"/>
      <c r="H31" s="714" t="s">
        <v>1000</v>
      </c>
      <c r="I31" s="714" t="s">
        <v>1000</v>
      </c>
      <c r="J31" s="718" t="s">
        <v>1000</v>
      </c>
      <c r="K31" s="350"/>
      <c r="L31" s="62"/>
      <c r="M31" s="54"/>
      <c r="N31" s="54"/>
      <c r="O31" s="54"/>
      <c r="P31" s="54"/>
      <c r="Q31" s="54"/>
    </row>
    <row r="32" spans="1:17" s="14" customFormat="1" x14ac:dyDescent="0.2">
      <c r="A32" s="54"/>
      <c r="B32" s="59"/>
      <c r="C32" s="668">
        <v>25</v>
      </c>
      <c r="D32" s="415"/>
      <c r="E32" s="415"/>
      <c r="F32" s="420"/>
      <c r="G32" s="420"/>
      <c r="H32" s="714" t="s">
        <v>1000</v>
      </c>
      <c r="I32" s="714" t="s">
        <v>1000</v>
      </c>
      <c r="J32" s="718" t="s">
        <v>1000</v>
      </c>
      <c r="K32" s="350"/>
      <c r="L32" s="62"/>
      <c r="M32" s="54"/>
      <c r="N32" s="54"/>
      <c r="O32" s="54"/>
      <c r="P32" s="54"/>
      <c r="Q32" s="54"/>
    </row>
    <row r="33" spans="1:17" s="14" customFormat="1" x14ac:dyDescent="0.2">
      <c r="A33" s="54"/>
      <c r="B33" s="59"/>
      <c r="C33" s="668">
        <v>26</v>
      </c>
      <c r="D33" s="415"/>
      <c r="E33" s="415"/>
      <c r="F33" s="420"/>
      <c r="G33" s="420"/>
      <c r="H33" s="714" t="s">
        <v>1000</v>
      </c>
      <c r="I33" s="714" t="s">
        <v>1000</v>
      </c>
      <c r="J33" s="714" t="s">
        <v>1000</v>
      </c>
      <c r="K33" s="333"/>
      <c r="L33" s="62"/>
      <c r="M33" s="54"/>
      <c r="N33" s="54"/>
      <c r="O33" s="54"/>
      <c r="P33" s="54"/>
      <c r="Q33" s="54"/>
    </row>
    <row r="34" spans="1:17" s="14" customFormat="1" x14ac:dyDescent="0.2">
      <c r="A34" s="54"/>
      <c r="B34" s="59"/>
      <c r="C34" s="668">
        <v>27</v>
      </c>
      <c r="D34" s="415"/>
      <c r="E34" s="415"/>
      <c r="F34" s="420"/>
      <c r="G34" s="420"/>
      <c r="H34" s="714" t="s">
        <v>1000</v>
      </c>
      <c r="I34" s="714" t="s">
        <v>1000</v>
      </c>
      <c r="J34" s="714" t="s">
        <v>1000</v>
      </c>
      <c r="K34" s="333"/>
      <c r="L34" s="62"/>
      <c r="M34" s="54"/>
      <c r="N34" s="54"/>
      <c r="O34" s="54"/>
      <c r="P34" s="54"/>
      <c r="Q34" s="54"/>
    </row>
    <row r="35" spans="1:17" s="14" customFormat="1" x14ac:dyDescent="0.2">
      <c r="A35" s="54"/>
      <c r="B35" s="59"/>
      <c r="C35" s="668">
        <v>28</v>
      </c>
      <c r="D35" s="415"/>
      <c r="E35" s="415"/>
      <c r="F35" s="420"/>
      <c r="G35" s="420"/>
      <c r="H35" s="714" t="s">
        <v>1000</v>
      </c>
      <c r="I35" s="714" t="s">
        <v>1000</v>
      </c>
      <c r="J35" s="714" t="s">
        <v>1000</v>
      </c>
      <c r="K35" s="333"/>
      <c r="L35" s="62"/>
      <c r="M35" s="54"/>
      <c r="N35" s="54"/>
      <c r="O35" s="54"/>
      <c r="P35" s="54"/>
      <c r="Q35" s="54"/>
    </row>
    <row r="36" spans="1:17" s="14" customFormat="1" x14ac:dyDescent="0.2">
      <c r="A36" s="54"/>
      <c r="B36" s="59"/>
      <c r="C36" s="668">
        <v>29</v>
      </c>
      <c r="D36" s="415"/>
      <c r="E36" s="415"/>
      <c r="F36" s="420"/>
      <c r="G36" s="420"/>
      <c r="H36" s="714" t="s">
        <v>1000</v>
      </c>
      <c r="I36" s="714" t="s">
        <v>1000</v>
      </c>
      <c r="J36" s="714" t="s">
        <v>1000</v>
      </c>
      <c r="K36" s="333"/>
      <c r="L36" s="62"/>
      <c r="M36" s="54"/>
      <c r="N36" s="54"/>
      <c r="O36" s="54"/>
      <c r="P36" s="54"/>
      <c r="Q36" s="54"/>
    </row>
    <row r="37" spans="1:17" s="14" customFormat="1" x14ac:dyDescent="0.2">
      <c r="A37" s="54"/>
      <c r="B37" s="59"/>
      <c r="C37" s="668">
        <v>30</v>
      </c>
      <c r="D37" s="415"/>
      <c r="E37" s="415"/>
      <c r="F37" s="420"/>
      <c r="G37" s="420"/>
      <c r="H37" s="714" t="s">
        <v>1000</v>
      </c>
      <c r="I37" s="714" t="s">
        <v>1000</v>
      </c>
      <c r="J37" s="714"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801" t="s">
        <v>138</v>
      </c>
      <c r="E42" s="803"/>
      <c r="F42" s="60"/>
      <c r="G42" s="805" t="s">
        <v>347</v>
      </c>
      <c r="H42" s="805"/>
      <c r="I42" s="805"/>
      <c r="J42" s="805"/>
      <c r="K42" s="353"/>
      <c r="L42" s="62"/>
      <c r="M42" s="54"/>
      <c r="N42" s="54"/>
      <c r="O42" s="54"/>
      <c r="P42" s="54"/>
      <c r="Q42" s="54"/>
    </row>
    <row r="43" spans="1:17" s="14" customFormat="1" x14ac:dyDescent="0.2">
      <c r="A43" s="54"/>
      <c r="B43" s="59"/>
      <c r="C43" s="344"/>
      <c r="D43" s="359" t="s">
        <v>132</v>
      </c>
      <c r="E43" s="721" t="s">
        <v>1008</v>
      </c>
      <c r="F43" s="60"/>
      <c r="G43" s="805"/>
      <c r="H43" s="805"/>
      <c r="I43" s="805"/>
      <c r="J43" s="805"/>
      <c r="K43" s="353"/>
      <c r="L43" s="62"/>
      <c r="M43" s="54"/>
      <c r="N43" s="54"/>
      <c r="O43" s="54"/>
      <c r="P43" s="54"/>
      <c r="Q43" s="54"/>
    </row>
    <row r="44" spans="1:17" s="14" customFormat="1" x14ac:dyDescent="0.2">
      <c r="A44" s="54"/>
      <c r="B44" s="59"/>
      <c r="C44" s="344"/>
      <c r="D44" s="359" t="s">
        <v>131</v>
      </c>
      <c r="E44" s="721" t="s">
        <v>1008</v>
      </c>
      <c r="F44" s="60"/>
      <c r="G44" s="805"/>
      <c r="H44" s="805"/>
      <c r="I44" s="805"/>
      <c r="J44" s="805"/>
      <c r="K44" s="353"/>
      <c r="L44" s="62"/>
      <c r="M44" s="54"/>
      <c r="N44" s="54"/>
      <c r="O44" s="54"/>
      <c r="P44" s="54"/>
      <c r="Q44" s="54"/>
    </row>
    <row r="45" spans="1:17" s="14" customFormat="1" x14ac:dyDescent="0.2">
      <c r="A45" s="54"/>
      <c r="B45" s="59"/>
      <c r="C45" s="344"/>
      <c r="D45" s="359" t="s">
        <v>129</v>
      </c>
      <c r="E45" s="363" t="s">
        <v>1008</v>
      </c>
      <c r="F45" s="60"/>
      <c r="G45" s="805"/>
      <c r="H45" s="805"/>
      <c r="I45" s="805"/>
      <c r="J45" s="805"/>
      <c r="K45" s="353"/>
      <c r="L45" s="62"/>
      <c r="M45" s="54"/>
      <c r="N45" s="54"/>
      <c r="O45" s="54"/>
      <c r="P45" s="54"/>
      <c r="Q45" s="54"/>
    </row>
    <row r="46" spans="1:17" s="14" customFormat="1" x14ac:dyDescent="0.2">
      <c r="A46" s="54"/>
      <c r="B46" s="59"/>
      <c r="C46" s="344"/>
      <c r="D46" s="359" t="s">
        <v>130</v>
      </c>
      <c r="E46" s="721"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801" t="s">
        <v>136</v>
      </c>
      <c r="E49" s="802"/>
      <c r="F49" s="803"/>
      <c r="G49" s="60"/>
      <c r="H49" s="806" t="s">
        <v>137</v>
      </c>
      <c r="I49" s="806"/>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6"/>
      <c r="I50" s="806"/>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800">
        <f>COUNTIF(F$7:F$37,"A")</f>
        <v>0</v>
      </c>
      <c r="I51" s="800"/>
      <c r="J51" s="73"/>
      <c r="K51" s="355"/>
      <c r="L51" s="62"/>
      <c r="M51" s="54"/>
      <c r="N51" s="54"/>
      <c r="O51" s="54"/>
      <c r="P51" s="54"/>
      <c r="Q51" s="54"/>
    </row>
    <row r="52" spans="1:17" s="14" customFormat="1" x14ac:dyDescent="0.2">
      <c r="A52" s="54"/>
      <c r="B52" s="59"/>
      <c r="C52" s="352" t="s">
        <v>653</v>
      </c>
      <c r="D52" s="91">
        <f>COUNTIF(J$7:J$13,"B")</f>
        <v>1</v>
      </c>
      <c r="E52" s="91">
        <f>COUNTIF(J$14:J$37,"B")</f>
        <v>0</v>
      </c>
      <c r="F52" s="91">
        <f t="shared" si="0"/>
        <v>1</v>
      </c>
      <c r="G52" s="354"/>
      <c r="H52" s="800">
        <f>COUNTIF(F$7:F$37,"B")</f>
        <v>1</v>
      </c>
      <c r="I52" s="800"/>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800">
        <f>COUNTIF(F$7:F$37,"C")</f>
        <v>0</v>
      </c>
      <c r="I53" s="800"/>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800">
        <f>COUNTIF(F$7:F$37,"D")</f>
        <v>0</v>
      </c>
      <c r="I54" s="800"/>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800">
        <f>COUNTIF(F$7:F$37,"E")</f>
        <v>0</v>
      </c>
      <c r="I55" s="800"/>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password="953B" sheet="1" objects="1" scenarios="1"/>
  <sortState ref="D8:G37">
    <sortCondition descending="1" ref="G37"/>
  </sortState>
  <mergeCells count="15">
    <mergeCell ref="H51:I51"/>
    <mergeCell ref="D49:F49"/>
    <mergeCell ref="H4:J4"/>
    <mergeCell ref="D42:E42"/>
    <mergeCell ref="H55:I55"/>
    <mergeCell ref="H52:I52"/>
    <mergeCell ref="H53:I53"/>
    <mergeCell ref="H54:I54"/>
    <mergeCell ref="G42:J45"/>
    <mergeCell ref="H49:I50"/>
    <mergeCell ref="B2:K2"/>
    <mergeCell ref="C4:D4"/>
    <mergeCell ref="C5:D5"/>
    <mergeCell ref="E4:F4"/>
    <mergeCell ref="E5:F5"/>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topLeftCell="A109" zoomScale="91" zoomScaleNormal="91" workbookViewId="0">
      <selection activeCell="F9" sqref="F9"/>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7" t="s">
        <v>670</v>
      </c>
      <c r="D3" s="807"/>
      <c r="E3" s="807"/>
      <c r="F3" s="807"/>
      <c r="G3" s="807"/>
      <c r="H3" s="807"/>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9" t="str">
        <f>Introduction!E8</f>
        <v>Tomlinson Dairies</v>
      </c>
      <c r="E5" s="809"/>
      <c r="F5" s="810"/>
      <c r="G5" s="103"/>
      <c r="H5" s="808" t="s">
        <v>728</v>
      </c>
      <c r="I5" s="102"/>
      <c r="J5" s="54"/>
      <c r="K5" s="54"/>
      <c r="L5" s="54"/>
      <c r="M5" s="54"/>
      <c r="N5" s="54"/>
    </row>
    <row r="6" spans="1:49" ht="27" customHeight="1" x14ac:dyDescent="0.2">
      <c r="A6" s="54"/>
      <c r="B6" s="59"/>
      <c r="C6" s="315" t="s">
        <v>72</v>
      </c>
      <c r="D6" s="809" t="str">
        <f>Introduction!I8</f>
        <v>PPN-00061</v>
      </c>
      <c r="E6" s="811"/>
      <c r="F6" s="810"/>
      <c r="G6" s="103"/>
      <c r="H6" s="808"/>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983</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984</v>
      </c>
      <c r="D66" s="403" t="s">
        <v>189</v>
      </c>
      <c r="E66" s="403">
        <v>100</v>
      </c>
      <c r="F66" s="399"/>
      <c r="G66" s="405">
        <f t="shared" si="3"/>
        <v>0</v>
      </c>
      <c r="H66" s="401"/>
      <c r="I66" s="102"/>
      <c r="J66" s="54"/>
      <c r="K66" s="54"/>
      <c r="L66" s="54"/>
      <c r="M66" s="54"/>
      <c r="N66" s="54"/>
    </row>
    <row r="67" spans="1:14" x14ac:dyDescent="0.2">
      <c r="A67" s="54"/>
      <c r="B67" s="59"/>
      <c r="C67" s="402" t="s">
        <v>985</v>
      </c>
      <c r="D67" s="403" t="s">
        <v>189</v>
      </c>
      <c r="E67" s="403">
        <v>100</v>
      </c>
      <c r="F67" s="399"/>
      <c r="G67" s="405">
        <f t="shared" si="3"/>
        <v>0</v>
      </c>
      <c r="H67" s="401"/>
      <c r="I67" s="102"/>
      <c r="J67" s="54"/>
      <c r="K67" s="54"/>
      <c r="L67" s="54"/>
      <c r="M67" s="54"/>
      <c r="N67" s="54"/>
    </row>
    <row r="68" spans="1:14" x14ac:dyDescent="0.2">
      <c r="A68" s="54"/>
      <c r="B68" s="59"/>
      <c r="C68" s="402" t="s">
        <v>986</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987</v>
      </c>
      <c r="D70" s="403" t="s">
        <v>189</v>
      </c>
      <c r="E70" s="403">
        <v>100</v>
      </c>
      <c r="F70" s="399"/>
      <c r="G70" s="405">
        <f t="shared" si="3"/>
        <v>0</v>
      </c>
      <c r="H70" s="401"/>
      <c r="I70" s="102"/>
      <c r="J70" s="54"/>
      <c r="K70" s="54"/>
      <c r="L70" s="54"/>
      <c r="M70" s="54"/>
      <c r="N70" s="54"/>
    </row>
    <row r="71" spans="1:14" x14ac:dyDescent="0.2">
      <c r="A71" s="54"/>
      <c r="B71" s="59"/>
      <c r="C71" s="402" t="s">
        <v>988</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991</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992</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x14ac:dyDescent="0.2">
      <c r="A117" s="54"/>
      <c r="B117" s="59"/>
      <c r="C117" s="402" t="s">
        <v>523</v>
      </c>
      <c r="D117" s="403" t="s">
        <v>189</v>
      </c>
      <c r="E117" s="403">
        <v>100</v>
      </c>
      <c r="F117" s="399"/>
      <c r="G117" s="405">
        <f>IF(F117/E117&lt;1,0,(F117/E117))</f>
        <v>0</v>
      </c>
      <c r="H117" s="401"/>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2" t="s">
        <v>771</v>
      </c>
      <c r="D125" s="813"/>
      <c r="E125" s="813"/>
      <c r="F125" s="813"/>
      <c r="G125" s="813"/>
      <c r="H125" s="814"/>
      <c r="I125" s="102"/>
      <c r="J125" s="54"/>
      <c r="K125" s="54"/>
      <c r="L125" s="54"/>
      <c r="M125" s="54"/>
      <c r="N125" s="54"/>
    </row>
    <row r="126" spans="1:14" x14ac:dyDescent="0.2">
      <c r="A126" s="54"/>
      <c r="B126" s="59"/>
      <c r="C126" s="575" t="s">
        <v>1000</v>
      </c>
      <c r="D126" s="403" t="s">
        <v>1000</v>
      </c>
      <c r="E126" s="570" t="s">
        <v>1000</v>
      </c>
      <c r="F126" s="404"/>
      <c r="G126" s="405">
        <v>0</v>
      </c>
      <c r="H126" s="406"/>
      <c r="I126" s="102"/>
      <c r="J126" s="54"/>
      <c r="K126" s="54"/>
      <c r="L126" s="54"/>
      <c r="M126" s="54"/>
      <c r="N126" s="54"/>
    </row>
    <row r="127" spans="1:14" x14ac:dyDescent="0.2">
      <c r="A127" s="54"/>
      <c r="B127" s="59"/>
      <c r="C127" s="402" t="s">
        <v>1000</v>
      </c>
      <c r="D127" s="403" t="s">
        <v>1000</v>
      </c>
      <c r="E127" s="570" t="s">
        <v>1000</v>
      </c>
      <c r="F127" s="404"/>
      <c r="G127" s="405">
        <v>0</v>
      </c>
      <c r="H127" s="406"/>
      <c r="I127" s="102"/>
      <c r="J127" s="54"/>
      <c r="K127" s="54"/>
      <c r="L127" s="54"/>
      <c r="M127" s="54"/>
      <c r="N127" s="54"/>
    </row>
    <row r="128" spans="1:14" x14ac:dyDescent="0.2">
      <c r="A128" s="54"/>
      <c r="B128" s="59"/>
      <c r="C128" s="402" t="s">
        <v>1000</v>
      </c>
      <c r="D128" s="403" t="s">
        <v>1000</v>
      </c>
      <c r="E128" s="570" t="s">
        <v>1000</v>
      </c>
      <c r="F128" s="404"/>
      <c r="G128" s="405">
        <v>0</v>
      </c>
      <c r="H128" s="406"/>
      <c r="I128" s="102"/>
      <c r="J128" s="54"/>
      <c r="K128" s="54"/>
      <c r="L128" s="54"/>
      <c r="M128" s="54"/>
      <c r="N128" s="54"/>
    </row>
    <row r="129" spans="1:14" x14ac:dyDescent="0.2">
      <c r="A129" s="54"/>
      <c r="B129" s="59"/>
      <c r="C129" s="402" t="s">
        <v>1000</v>
      </c>
      <c r="D129" s="403" t="s">
        <v>1000</v>
      </c>
      <c r="E129" s="570" t="s">
        <v>1000</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0</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29"/>
      <c r="D132" s="729"/>
      <c r="E132" s="729"/>
      <c r="F132" s="729"/>
      <c r="G132" s="729"/>
      <c r="H132" s="729"/>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topLeftCell="A58" zoomScale="75" workbookViewId="0">
      <selection activeCell="H30" sqref="H30"/>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7" t="s">
        <v>4</v>
      </c>
      <c r="D3" s="807"/>
      <c r="E3" s="807"/>
      <c r="F3" s="807"/>
      <c r="G3" s="807"/>
      <c r="H3" s="807"/>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9" t="str">
        <f>Introduction!E8</f>
        <v>Tomlinson Dairies</v>
      </c>
      <c r="E5" s="789"/>
      <c r="F5" s="820" t="s">
        <v>728</v>
      </c>
      <c r="G5" s="821"/>
      <c r="H5" s="822"/>
      <c r="I5" s="102"/>
      <c r="J5" s="54"/>
      <c r="K5" s="54"/>
      <c r="L5" s="54"/>
      <c r="M5" s="54"/>
      <c r="N5" s="54"/>
    </row>
    <row r="6" spans="1:14" x14ac:dyDescent="0.2">
      <c r="A6" s="54"/>
      <c r="B6" s="59"/>
      <c r="C6" s="81" t="s">
        <v>72</v>
      </c>
      <c r="D6" s="789" t="str">
        <f>Introduction!I8</f>
        <v>PPN-00061</v>
      </c>
      <c r="E6" s="789"/>
      <c r="F6" s="823"/>
      <c r="G6" s="824"/>
      <c r="H6" s="825"/>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8" t="s">
        <v>581</v>
      </c>
      <c r="D77" s="819"/>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5" t="s">
        <v>770</v>
      </c>
      <c r="D86" s="816"/>
      <c r="E86" s="816"/>
      <c r="F86" s="816"/>
      <c r="G86" s="816"/>
      <c r="H86" s="817"/>
      <c r="I86" s="102"/>
      <c r="J86" s="54"/>
      <c r="K86" s="54"/>
      <c r="L86" s="54"/>
      <c r="M86" s="54"/>
      <c r="N86" s="54"/>
    </row>
    <row r="87" spans="1:16" x14ac:dyDescent="0.2">
      <c r="A87" s="54"/>
      <c r="B87" s="59"/>
      <c r="C87" s="107" t="s">
        <v>1000</v>
      </c>
      <c r="D87" s="108" t="s">
        <v>1000</v>
      </c>
      <c r="E87" s="571" t="s">
        <v>1000</v>
      </c>
      <c r="F87" s="1"/>
      <c r="G87" s="114">
        <v>0</v>
      </c>
      <c r="H87" s="13"/>
      <c r="I87" s="102"/>
      <c r="J87" s="54"/>
      <c r="K87" s="54"/>
      <c r="L87" s="54"/>
      <c r="M87" s="54"/>
      <c r="N87" s="54"/>
    </row>
    <row r="88" spans="1:16" x14ac:dyDescent="0.2">
      <c r="A88" s="54"/>
      <c r="B88" s="59"/>
      <c r="C88" s="107" t="s">
        <v>1000</v>
      </c>
      <c r="D88" s="108" t="s">
        <v>1000</v>
      </c>
      <c r="E88" s="571" t="s">
        <v>1000</v>
      </c>
      <c r="F88" s="1"/>
      <c r="G88" s="114">
        <v>0</v>
      </c>
      <c r="H88" s="13"/>
      <c r="I88" s="102"/>
      <c r="J88" s="54"/>
      <c r="K88" s="54"/>
      <c r="L88" s="54"/>
      <c r="M88" s="54"/>
      <c r="N88" s="54"/>
    </row>
    <row r="89" spans="1:16" x14ac:dyDescent="0.2">
      <c r="A89" s="54"/>
      <c r="B89" s="59"/>
      <c r="C89" s="107" t="s">
        <v>1000</v>
      </c>
      <c r="D89" s="108" t="s">
        <v>1000</v>
      </c>
      <c r="E89" s="571" t="s">
        <v>1000</v>
      </c>
      <c r="F89" s="1"/>
      <c r="G89" s="114">
        <v>0</v>
      </c>
      <c r="H89" s="13"/>
      <c r="I89" s="102"/>
      <c r="J89" s="54"/>
      <c r="K89" s="54"/>
      <c r="L89" s="54"/>
      <c r="M89" s="54"/>
      <c r="N89" s="54"/>
    </row>
    <row r="90" spans="1:16" x14ac:dyDescent="0.2">
      <c r="A90" s="54"/>
      <c r="B90" s="59"/>
      <c r="C90" s="107" t="s">
        <v>1000</v>
      </c>
      <c r="D90" s="108" t="s">
        <v>1000</v>
      </c>
      <c r="E90" s="571" t="s">
        <v>1000</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6" t="s">
        <v>671</v>
      </c>
      <c r="C3" s="827"/>
      <c r="D3" s="827"/>
      <c r="E3" s="827"/>
      <c r="F3" s="827"/>
      <c r="G3" s="827"/>
      <c r="H3" s="827"/>
      <c r="I3" s="828"/>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Tomlinson Dairies</v>
      </c>
      <c r="E5" s="60"/>
      <c r="F5" s="820" t="s">
        <v>728</v>
      </c>
      <c r="G5" s="821"/>
      <c r="H5" s="822"/>
      <c r="I5" s="62"/>
      <c r="J5" s="54"/>
      <c r="K5" s="54"/>
      <c r="L5" s="54"/>
      <c r="M5" s="54"/>
      <c r="N5" s="54"/>
    </row>
    <row r="6" spans="1:29" x14ac:dyDescent="0.2">
      <c r="A6" s="54"/>
      <c r="B6" s="59"/>
      <c r="C6" s="81" t="s">
        <v>72</v>
      </c>
      <c r="D6" s="82" t="str">
        <f>Introduction!I8</f>
        <v>PPN-00061</v>
      </c>
      <c r="E6" s="60"/>
      <c r="F6" s="823"/>
      <c r="G6" s="824"/>
      <c r="H6" s="825"/>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90">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topLeftCell="A52" zoomScale="80" workbookViewId="0">
      <selection activeCell="F90" sqref="F90"/>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6" t="s">
        <v>995</v>
      </c>
      <c r="C3" s="827"/>
      <c r="D3" s="827"/>
      <c r="E3" s="827"/>
      <c r="F3" s="827"/>
      <c r="G3" s="827"/>
      <c r="H3" s="827"/>
      <c r="I3" s="828"/>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9" t="str">
        <f>Introduction!E8</f>
        <v>Tomlinson Dairies</v>
      </c>
      <c r="E5" s="789"/>
      <c r="F5" s="820" t="s">
        <v>728</v>
      </c>
      <c r="G5" s="821"/>
      <c r="H5" s="822"/>
      <c r="I5" s="102"/>
      <c r="J5" s="54"/>
      <c r="K5" s="54"/>
      <c r="L5" s="54"/>
      <c r="M5" s="54"/>
      <c r="N5" s="54"/>
      <c r="O5" s="54"/>
    </row>
    <row r="6" spans="1:15" x14ac:dyDescent="0.2">
      <c r="A6" s="54"/>
      <c r="B6" s="59"/>
      <c r="C6" s="81" t="s">
        <v>77</v>
      </c>
      <c r="D6" s="789" t="str">
        <f>Introduction!I8</f>
        <v>PPN-00061</v>
      </c>
      <c r="E6" s="789"/>
      <c r="F6" s="823"/>
      <c r="G6" s="824"/>
      <c r="H6" s="825"/>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6" t="s">
        <v>581</v>
      </c>
      <c r="D77" s="837"/>
      <c r="E77" s="837"/>
      <c r="F77" s="838"/>
      <c r="G77" s="114"/>
      <c r="H77" s="567"/>
      <c r="I77" s="102"/>
      <c r="J77" s="54"/>
      <c r="K77" s="54"/>
      <c r="L77" s="54"/>
      <c r="M77" s="54"/>
      <c r="N77" s="54"/>
      <c r="O77" s="54"/>
    </row>
    <row r="78" spans="1:15" x14ac:dyDescent="0.2">
      <c r="A78" s="54"/>
      <c r="B78" s="59"/>
      <c r="C78" s="107" t="s">
        <v>655</v>
      </c>
      <c r="D78" s="108" t="s">
        <v>189</v>
      </c>
      <c r="E78" s="108">
        <v>10000</v>
      </c>
      <c r="F78" s="19">
        <v>54600</v>
      </c>
      <c r="G78" s="114">
        <f>IF(F78/E78&lt;1,0,(F78/E78))</f>
        <v>5.46</v>
      </c>
      <c r="H78" s="13"/>
      <c r="I78" s="102"/>
      <c r="J78" s="54"/>
      <c r="K78" s="54"/>
      <c r="L78" s="54"/>
      <c r="M78" s="54"/>
      <c r="N78" s="54"/>
      <c r="O78" s="54"/>
    </row>
    <row r="79" spans="1:15" x14ac:dyDescent="0.2">
      <c r="A79" s="54"/>
      <c r="B79" s="59"/>
      <c r="C79" s="107" t="s">
        <v>48</v>
      </c>
      <c r="D79" s="108" t="s">
        <v>189</v>
      </c>
      <c r="E79" s="108">
        <v>10000</v>
      </c>
      <c r="F79" s="19">
        <v>32760</v>
      </c>
      <c r="G79" s="114">
        <f>IF(F79/E79&lt;1,0,(F79/E79))</f>
        <v>3.2759999999999998</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3" t="s">
        <v>771</v>
      </c>
      <c r="D86" s="834"/>
      <c r="E86" s="834"/>
      <c r="F86" s="834"/>
      <c r="G86" s="834"/>
      <c r="H86" s="835"/>
      <c r="I86" s="102"/>
      <c r="J86" s="54"/>
      <c r="K86" s="54"/>
      <c r="L86" s="54"/>
      <c r="M86" s="54"/>
      <c r="N86" s="54"/>
      <c r="O86" s="54"/>
    </row>
    <row r="87" spans="1:15" x14ac:dyDescent="0.2">
      <c r="A87" s="54"/>
      <c r="B87" s="59"/>
      <c r="C87" s="107" t="s">
        <v>1000</v>
      </c>
      <c r="D87" s="108" t="s">
        <v>1000</v>
      </c>
      <c r="E87" s="571" t="s">
        <v>1000</v>
      </c>
      <c r="F87" s="1"/>
      <c r="G87" s="114">
        <v>0</v>
      </c>
      <c r="H87" s="13"/>
      <c r="I87" s="102"/>
      <c r="J87" s="54"/>
      <c r="K87" s="54"/>
      <c r="L87" s="54"/>
      <c r="M87" s="54"/>
      <c r="N87" s="54"/>
      <c r="O87" s="54"/>
    </row>
    <row r="88" spans="1:15" x14ac:dyDescent="0.2">
      <c r="A88" s="54"/>
      <c r="B88" s="59"/>
      <c r="C88" s="107" t="s">
        <v>1000</v>
      </c>
      <c r="D88" s="108" t="s">
        <v>1000</v>
      </c>
      <c r="E88" s="571" t="s">
        <v>1000</v>
      </c>
      <c r="F88" s="1"/>
      <c r="G88" s="114">
        <v>0</v>
      </c>
      <c r="H88" s="13"/>
      <c r="I88" s="102"/>
      <c r="J88" s="54"/>
      <c r="K88" s="54"/>
      <c r="L88" s="54"/>
      <c r="M88" s="54"/>
      <c r="N88" s="54"/>
      <c r="O88" s="54"/>
    </row>
    <row r="89" spans="1:15" x14ac:dyDescent="0.2">
      <c r="A89" s="54"/>
      <c r="B89" s="59"/>
      <c r="C89" s="107" t="s">
        <v>1000</v>
      </c>
      <c r="D89" s="108" t="s">
        <v>1000</v>
      </c>
      <c r="E89" s="571" t="s">
        <v>1000</v>
      </c>
      <c r="F89" s="1"/>
      <c r="G89" s="114">
        <v>0</v>
      </c>
      <c r="H89" s="13"/>
      <c r="I89" s="102"/>
      <c r="J89" s="54"/>
      <c r="K89" s="54"/>
      <c r="L89" s="54"/>
      <c r="M89" s="54"/>
      <c r="N89" s="54"/>
      <c r="O89" s="54"/>
    </row>
    <row r="90" spans="1:15" x14ac:dyDescent="0.2">
      <c r="A90" s="54"/>
      <c r="B90" s="59"/>
      <c r="C90" s="107" t="s">
        <v>1000</v>
      </c>
      <c r="D90" s="108" t="s">
        <v>1000</v>
      </c>
      <c r="E90" s="571" t="s">
        <v>1000</v>
      </c>
      <c r="F90" s="19"/>
      <c r="G90" s="114">
        <v>0</v>
      </c>
      <c r="H90" s="318"/>
      <c r="I90" s="102"/>
      <c r="J90" s="54"/>
      <c r="K90" s="54"/>
      <c r="L90" s="54"/>
      <c r="M90" s="54"/>
      <c r="N90" s="54"/>
      <c r="O90" s="54"/>
    </row>
    <row r="91" spans="1:15" x14ac:dyDescent="0.2">
      <c r="A91" s="54"/>
      <c r="B91" s="59"/>
      <c r="C91" s="110"/>
      <c r="D91" s="140"/>
      <c r="E91" s="829" t="s">
        <v>585</v>
      </c>
      <c r="F91" s="830"/>
      <c r="G91" s="114">
        <f>SUM(G9:G90)</f>
        <v>8.7360000000000007</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31" t="s">
        <v>601</v>
      </c>
      <c r="F93" s="832"/>
      <c r="G93" s="128">
        <f>G91*G92</f>
        <v>2.8828800000000006</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zoomScale="75" zoomScaleNormal="75" workbookViewId="0">
      <selection activeCell="H30" sqref="H30"/>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9"/>
      <c r="C1" s="839"/>
      <c r="D1" s="839"/>
      <c r="E1" s="839"/>
      <c r="F1" s="839"/>
      <c r="G1" s="839"/>
      <c r="H1" s="839"/>
      <c r="I1" s="839"/>
      <c r="J1" s="54"/>
      <c r="K1" s="54"/>
      <c r="L1" s="54"/>
      <c r="M1" s="54"/>
      <c r="N1" s="54"/>
    </row>
    <row r="2" spans="1:14" ht="18.75" customHeight="1" thickBot="1" x14ac:dyDescent="0.25">
      <c r="A2" s="54"/>
      <c r="B2" s="150"/>
      <c r="C2" s="843" t="s">
        <v>999</v>
      </c>
      <c r="D2" s="843"/>
      <c r="E2" s="843"/>
      <c r="F2" s="843"/>
      <c r="G2" s="843"/>
      <c r="H2" s="843"/>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Tomlinson Dairies</v>
      </c>
      <c r="E4" s="60"/>
      <c r="F4" s="820" t="s">
        <v>728</v>
      </c>
      <c r="G4" s="821"/>
      <c r="H4" s="822"/>
      <c r="I4" s="62"/>
      <c r="J4" s="54"/>
      <c r="K4" s="54"/>
      <c r="L4" s="54"/>
      <c r="M4" s="54"/>
      <c r="N4" s="54"/>
    </row>
    <row r="5" spans="1:14" x14ac:dyDescent="0.2">
      <c r="A5" s="54"/>
      <c r="B5" s="59"/>
      <c r="C5" s="81" t="s">
        <v>72</v>
      </c>
      <c r="D5" s="82" t="str">
        <f>'Emissions Summary'!D5</f>
        <v>PPN-00061</v>
      </c>
      <c r="E5" s="60"/>
      <c r="F5" s="823"/>
      <c r="G5" s="824"/>
      <c r="H5" s="825"/>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4" t="s">
        <v>585</v>
      </c>
      <c r="F12" s="845"/>
      <c r="G12" s="114">
        <f>SUM(G8:G11)</f>
        <v>0</v>
      </c>
      <c r="H12" s="321"/>
      <c r="I12" s="62"/>
      <c r="J12" s="54"/>
      <c r="K12" s="54"/>
      <c r="L12" s="54"/>
      <c r="M12" s="54"/>
      <c r="N12" s="54"/>
    </row>
    <row r="13" spans="1:14" x14ac:dyDescent="0.2">
      <c r="A13" s="54"/>
      <c r="B13" s="59"/>
      <c r="C13" s="142"/>
      <c r="D13" s="143"/>
      <c r="E13" s="844" t="s">
        <v>600</v>
      </c>
      <c r="F13" s="845"/>
      <c r="G13" s="588">
        <v>0.33</v>
      </c>
      <c r="H13" s="322" t="s">
        <v>715</v>
      </c>
      <c r="I13" s="62"/>
      <c r="J13" s="54"/>
      <c r="K13" s="54"/>
      <c r="L13" s="54"/>
      <c r="M13" s="54"/>
      <c r="N13" s="54"/>
    </row>
    <row r="14" spans="1:14" x14ac:dyDescent="0.2">
      <c r="A14" s="54"/>
      <c r="B14" s="59"/>
      <c r="C14" s="319"/>
      <c r="D14" s="320"/>
      <c r="E14" s="846" t="s">
        <v>601</v>
      </c>
      <c r="F14" s="847"/>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8"/>
      <c r="C19" s="849"/>
      <c r="D19" s="849"/>
      <c r="E19" s="849"/>
      <c r="F19" s="849"/>
      <c r="G19" s="849"/>
      <c r="H19" s="849"/>
      <c r="I19" s="850"/>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3" t="s">
        <v>52</v>
      </c>
      <c r="D21" s="843"/>
      <c r="E21" s="843"/>
      <c r="F21" s="843"/>
      <c r="G21" s="843"/>
      <c r="H21" s="843"/>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Tomlinson Dairies</v>
      </c>
      <c r="E23" s="60"/>
      <c r="F23" s="820" t="s">
        <v>728</v>
      </c>
      <c r="G23" s="821"/>
      <c r="H23" s="822"/>
      <c r="I23" s="62"/>
      <c r="J23" s="54"/>
      <c r="K23" s="54"/>
      <c r="L23" s="54"/>
      <c r="M23" s="54"/>
      <c r="N23" s="54"/>
    </row>
    <row r="24" spans="1:14" x14ac:dyDescent="0.2">
      <c r="A24" s="54"/>
      <c r="B24" s="59"/>
      <c r="C24" s="81" t="s">
        <v>733</v>
      </c>
      <c r="D24" s="82" t="str">
        <f>D5</f>
        <v>PPN-00061</v>
      </c>
      <c r="E24" s="60"/>
      <c r="F24" s="823"/>
      <c r="G24" s="824"/>
      <c r="H24" s="825"/>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v>320</v>
      </c>
      <c r="G30" s="114">
        <f>IF(F30/E30&lt;1,0,(F30/E30))</f>
        <v>3.2</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4" t="s">
        <v>585</v>
      </c>
      <c r="F32" s="845"/>
      <c r="G32" s="114">
        <f>SUM(G27:G30)</f>
        <v>3.2</v>
      </c>
      <c r="H32" s="322"/>
      <c r="I32" s="62"/>
      <c r="J32" s="54"/>
      <c r="K32" s="54"/>
      <c r="L32" s="54"/>
      <c r="M32" s="54"/>
      <c r="N32" s="54"/>
    </row>
    <row r="33" spans="1:14" x14ac:dyDescent="0.2">
      <c r="A33" s="54"/>
      <c r="B33" s="59"/>
      <c r="C33" s="142"/>
      <c r="D33" s="143"/>
      <c r="E33" s="844" t="s">
        <v>600</v>
      </c>
      <c r="F33" s="845"/>
      <c r="G33" s="589">
        <v>0.1</v>
      </c>
      <c r="H33" s="322" t="s">
        <v>716</v>
      </c>
      <c r="I33" s="62"/>
      <c r="J33" s="54"/>
      <c r="K33" s="54"/>
      <c r="L33" s="54"/>
      <c r="M33" s="54"/>
      <c r="N33" s="54"/>
    </row>
    <row r="34" spans="1:14" x14ac:dyDescent="0.2">
      <c r="A34" s="54"/>
      <c r="B34" s="59"/>
      <c r="C34" s="319"/>
      <c r="D34" s="320"/>
      <c r="E34" s="846" t="s">
        <v>601</v>
      </c>
      <c r="F34" s="847"/>
      <c r="G34" s="120">
        <f>G32*G33</f>
        <v>0.32000000000000006</v>
      </c>
      <c r="H34" s="323"/>
      <c r="I34" s="62"/>
      <c r="J34" s="54"/>
      <c r="K34" s="54"/>
      <c r="L34" s="54"/>
      <c r="M34" s="54"/>
      <c r="N34" s="54"/>
    </row>
    <row r="35" spans="1:14" x14ac:dyDescent="0.2">
      <c r="A35" s="54"/>
      <c r="B35" s="59"/>
      <c r="C35" s="152"/>
      <c r="D35" s="153"/>
      <c r="E35" s="154" t="s">
        <v>937</v>
      </c>
      <c r="F35" s="154"/>
      <c r="G35" s="155">
        <f>G14+G34</f>
        <v>0.32000000000000006</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40" t="s">
        <v>1056</v>
      </c>
      <c r="C38" s="841"/>
      <c r="D38" s="841"/>
      <c r="E38" s="841"/>
      <c r="F38" s="841"/>
      <c r="G38" s="841"/>
      <c r="H38" s="841"/>
      <c r="I38" s="842"/>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3" t="s">
        <v>936</v>
      </c>
      <c r="D40" s="843"/>
      <c r="E40" s="843"/>
      <c r="F40" s="843"/>
      <c r="G40" s="843"/>
      <c r="H40" s="843"/>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Tomlinson Dairies</v>
      </c>
      <c r="E42" s="60"/>
      <c r="F42" s="820" t="s">
        <v>728</v>
      </c>
      <c r="G42" s="821"/>
      <c r="H42" s="822"/>
      <c r="I42" s="62"/>
      <c r="J42" s="54"/>
      <c r="K42" s="54"/>
      <c r="L42" s="54"/>
      <c r="M42" s="54"/>
      <c r="N42" s="54"/>
    </row>
    <row r="43" spans="1:14" x14ac:dyDescent="0.2">
      <c r="A43" s="54"/>
      <c r="B43" s="59"/>
      <c r="C43" s="81" t="s">
        <v>733</v>
      </c>
      <c r="D43" s="82" t="str">
        <f>D24</f>
        <v>PPN-00061</v>
      </c>
      <c r="E43" s="60"/>
      <c r="F43" s="823"/>
      <c r="G43" s="824"/>
      <c r="H43" s="825"/>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946</v>
      </c>
      <c r="F51" s="154"/>
      <c r="G51" s="155">
        <f>SUM(G46:G49)</f>
        <v>0</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D12" sqref="D12"/>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2" t="s">
        <v>599</v>
      </c>
      <c r="C2" s="807"/>
      <c r="D2" s="807"/>
      <c r="E2" s="807"/>
      <c r="F2" s="807"/>
      <c r="G2" s="807"/>
      <c r="H2" s="807"/>
      <c r="I2" s="807"/>
      <c r="J2" s="807"/>
      <c r="K2" s="807"/>
      <c r="L2" s="807"/>
      <c r="M2" s="853"/>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Tomlinson Dairies</v>
      </c>
      <c r="E4" s="60"/>
      <c r="F4" s="60"/>
      <c r="G4" s="60"/>
      <c r="H4" s="60"/>
      <c r="I4" s="60"/>
      <c r="J4" s="60"/>
      <c r="K4" s="60"/>
      <c r="L4" s="60"/>
      <c r="M4" s="62"/>
      <c r="N4" s="54"/>
      <c r="O4" s="54"/>
      <c r="P4" s="54"/>
      <c r="Q4" s="54"/>
      <c r="R4" s="54"/>
    </row>
    <row r="5" spans="1:18" x14ac:dyDescent="0.2">
      <c r="A5" s="54"/>
      <c r="B5" s="59"/>
      <c r="C5" s="81" t="s">
        <v>72</v>
      </c>
      <c r="D5" s="82" t="str">
        <f>Introduction!I8</f>
        <v>PPN-00061</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0</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0</v>
      </c>
      <c r="E10" s="60"/>
      <c r="F10" s="60"/>
      <c r="G10" s="60"/>
      <c r="H10" s="60"/>
      <c r="I10" s="60"/>
      <c r="J10" s="60"/>
      <c r="K10" s="60"/>
      <c r="L10" s="60"/>
      <c r="M10" s="62"/>
      <c r="N10" s="54"/>
      <c r="O10" s="54"/>
      <c r="P10" s="54"/>
      <c r="Q10" s="54"/>
      <c r="R10" s="54"/>
    </row>
    <row r="11" spans="1:18" x14ac:dyDescent="0.2">
      <c r="A11" s="54"/>
      <c r="B11" s="59"/>
      <c r="C11" s="85" t="s">
        <v>594</v>
      </c>
      <c r="D11" s="586">
        <f>ROUND(Sewer!G93,0)</f>
        <v>3</v>
      </c>
      <c r="E11" s="60"/>
      <c r="F11" s="60"/>
      <c r="G11" s="60"/>
      <c r="H11" s="60"/>
      <c r="I11" s="60"/>
      <c r="J11" s="60"/>
      <c r="K11" s="60"/>
      <c r="L11" s="60"/>
      <c r="M11" s="62"/>
      <c r="N11" s="54"/>
      <c r="O11" s="54"/>
      <c r="P11" s="54"/>
      <c r="Q11" s="54"/>
      <c r="R11" s="54"/>
    </row>
    <row r="12" spans="1:18" x14ac:dyDescent="0.2">
      <c r="A12" s="54"/>
      <c r="B12" s="59"/>
      <c r="C12" s="85" t="s">
        <v>61</v>
      </c>
      <c r="D12" s="586">
        <f>ROUND(Waste!G35,0)</f>
        <v>0</v>
      </c>
      <c r="E12" s="60"/>
      <c r="F12" s="60"/>
      <c r="G12" s="60"/>
      <c r="H12" s="60"/>
      <c r="I12" s="60"/>
      <c r="J12" s="60"/>
      <c r="K12" s="60"/>
      <c r="L12" s="60"/>
      <c r="M12" s="62"/>
      <c r="N12" s="54"/>
      <c r="O12" s="54"/>
      <c r="P12" s="54"/>
      <c r="Q12" s="54"/>
      <c r="R12" s="54"/>
    </row>
    <row r="13" spans="1:18" x14ac:dyDescent="0.2">
      <c r="A13" s="54"/>
      <c r="B13" s="59"/>
      <c r="C13" s="85" t="s">
        <v>62</v>
      </c>
      <c r="D13" s="586">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1" t="s">
        <v>596</v>
      </c>
      <c r="E21" s="851"/>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1</v>
      </c>
      <c r="E25" s="87" t="str">
        <f t="shared" si="1"/>
        <v>A</v>
      </c>
      <c r="F25" s="60"/>
      <c r="G25" s="60"/>
      <c r="H25" s="60"/>
      <c r="I25" s="60"/>
      <c r="J25" s="60"/>
      <c r="K25" s="60"/>
      <c r="L25" s="60"/>
      <c r="M25" s="62"/>
      <c r="N25" s="54"/>
      <c r="O25" s="54"/>
      <c r="P25" s="54"/>
      <c r="Q25" s="54"/>
      <c r="R25" s="54"/>
    </row>
    <row r="26" spans="1:18" x14ac:dyDescent="0.2">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abSelected="1" topLeftCell="A6" zoomScale="90" workbookViewId="0">
      <selection activeCell="I34" sqref="I34"/>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6" t="s">
        <v>587</v>
      </c>
      <c r="C5" s="827"/>
      <c r="D5" s="827"/>
      <c r="E5" s="827"/>
      <c r="F5" s="827"/>
      <c r="G5" s="828"/>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9" t="str">
        <f>Introduction!E8</f>
        <v>Tomlinson Dairies</v>
      </c>
      <c r="E7" s="789"/>
      <c r="F7" s="789"/>
      <c r="G7" s="62"/>
      <c r="H7" s="54"/>
      <c r="I7" s="292"/>
      <c r="J7" s="54"/>
      <c r="K7" s="54"/>
      <c r="L7" s="54"/>
      <c r="M7" s="54"/>
    </row>
    <row r="8" spans="1:13" x14ac:dyDescent="0.2">
      <c r="A8" s="54"/>
      <c r="B8" s="59"/>
      <c r="C8" s="81" t="s">
        <v>72</v>
      </c>
      <c r="D8" s="789" t="str">
        <f>'Emissions Summary'!$D$5</f>
        <v>PPN-00061</v>
      </c>
      <c r="E8" s="789"/>
      <c r="F8" s="789"/>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54">
        <f>IF(D12="Yes",E12, IF(D14="Yes",E14,IF(D16="Yes",E16,0)))</f>
        <v>5</v>
      </c>
      <c r="G11" s="62"/>
      <c r="H11" s="54"/>
      <c r="I11" s="54"/>
      <c r="J11" s="54"/>
      <c r="K11" s="54"/>
      <c r="L11" s="54"/>
      <c r="M11" s="54"/>
    </row>
    <row r="12" spans="1:13" x14ac:dyDescent="0.2">
      <c r="A12" s="54"/>
      <c r="B12" s="59"/>
      <c r="C12" s="161" t="s">
        <v>631</v>
      </c>
      <c r="D12" s="24" t="s">
        <v>1007</v>
      </c>
      <c r="E12" s="173">
        <v>5</v>
      </c>
      <c r="F12" s="855"/>
      <c r="G12" s="62"/>
      <c r="H12" s="54"/>
      <c r="I12" s="54"/>
      <c r="J12" s="54"/>
      <c r="K12" s="54"/>
      <c r="L12" s="54"/>
      <c r="M12" s="54"/>
    </row>
    <row r="13" spans="1:13" x14ac:dyDescent="0.2">
      <c r="A13" s="54"/>
      <c r="B13" s="59"/>
      <c r="C13" s="455" t="s">
        <v>270</v>
      </c>
      <c r="D13" s="70"/>
      <c r="E13" s="174"/>
      <c r="F13" s="855"/>
      <c r="G13" s="62"/>
      <c r="H13" s="54"/>
      <c r="I13" s="54"/>
      <c r="J13" s="54"/>
      <c r="K13" s="54"/>
      <c r="L13" s="54"/>
      <c r="M13" s="54"/>
    </row>
    <row r="14" spans="1:13" x14ac:dyDescent="0.2">
      <c r="A14" s="54"/>
      <c r="B14" s="59"/>
      <c r="C14" s="161" t="s">
        <v>268</v>
      </c>
      <c r="D14" s="24"/>
      <c r="E14" s="174">
        <v>3</v>
      </c>
      <c r="F14" s="855"/>
      <c r="G14" s="62"/>
      <c r="H14" s="54"/>
      <c r="I14" s="54"/>
      <c r="J14" s="54"/>
      <c r="K14" s="54"/>
      <c r="L14" s="54"/>
      <c r="M14" s="54"/>
    </row>
    <row r="15" spans="1:13" ht="12.75" customHeight="1" x14ac:dyDescent="0.2">
      <c r="A15" s="54"/>
      <c r="B15" s="59"/>
      <c r="C15" s="455" t="s">
        <v>267</v>
      </c>
      <c r="D15" s="171"/>
      <c r="E15" s="174"/>
      <c r="F15" s="855"/>
      <c r="G15" s="62"/>
      <c r="H15" s="54"/>
      <c r="I15" s="54"/>
      <c r="J15" s="54"/>
      <c r="K15" s="54"/>
      <c r="L15" s="54"/>
      <c r="M15" s="54"/>
    </row>
    <row r="16" spans="1:13" x14ac:dyDescent="0.2">
      <c r="A16" s="54"/>
      <c r="B16" s="59"/>
      <c r="C16" s="162" t="s">
        <v>269</v>
      </c>
      <c r="D16" s="24"/>
      <c r="E16" s="175">
        <v>1</v>
      </c>
      <c r="F16" s="856"/>
      <c r="G16" s="62"/>
      <c r="H16" s="54"/>
      <c r="I16" s="54"/>
      <c r="J16" s="54"/>
      <c r="K16" s="54"/>
      <c r="L16" s="54"/>
      <c r="M16" s="54"/>
    </row>
    <row r="17" spans="1:13" ht="25.5" x14ac:dyDescent="0.2">
      <c r="A17" s="54"/>
      <c r="B17" s="59"/>
      <c r="C17" s="163" t="s">
        <v>628</v>
      </c>
      <c r="D17" s="79"/>
      <c r="E17" s="172"/>
      <c r="F17" s="854">
        <f>IF(D18="Yes",E18, IF(D20="Yes",E20,0))</f>
        <v>3</v>
      </c>
      <c r="G17" s="62"/>
      <c r="H17" s="54"/>
      <c r="I17" s="54"/>
      <c r="J17" s="54"/>
      <c r="K17" s="54"/>
      <c r="L17" s="54"/>
      <c r="M17" s="54"/>
    </row>
    <row r="18" spans="1:13" x14ac:dyDescent="0.2">
      <c r="A18" s="54"/>
      <c r="B18" s="59"/>
      <c r="C18" s="164" t="s">
        <v>629</v>
      </c>
      <c r="D18" s="24" t="s">
        <v>1007</v>
      </c>
      <c r="E18" s="173">
        <v>3</v>
      </c>
      <c r="F18" s="855"/>
      <c r="G18" s="62"/>
      <c r="H18" s="54"/>
      <c r="I18" s="54"/>
      <c r="J18" s="54"/>
      <c r="K18" s="54"/>
      <c r="L18" s="54"/>
      <c r="M18" s="54"/>
    </row>
    <row r="19" spans="1:13" ht="12.75" customHeight="1" x14ac:dyDescent="0.2">
      <c r="A19" s="54"/>
      <c r="B19" s="59"/>
      <c r="C19" s="455" t="s">
        <v>958</v>
      </c>
      <c r="D19" s="70"/>
      <c r="E19" s="174"/>
      <c r="F19" s="855"/>
      <c r="G19" s="62"/>
      <c r="H19" s="54"/>
      <c r="I19" s="54"/>
      <c r="J19" s="54"/>
      <c r="K19" s="54"/>
      <c r="L19" s="54"/>
      <c r="M19" s="54"/>
    </row>
    <row r="20" spans="1:13" x14ac:dyDescent="0.2">
      <c r="A20" s="54"/>
      <c r="B20" s="59"/>
      <c r="C20" s="165" t="s">
        <v>630</v>
      </c>
      <c r="D20" s="25" t="s">
        <v>1008</v>
      </c>
      <c r="E20" s="176">
        <v>2</v>
      </c>
      <c r="F20" s="856"/>
      <c r="G20" s="62"/>
      <c r="H20" s="54"/>
      <c r="I20" s="54"/>
      <c r="J20" s="54"/>
      <c r="K20" s="54"/>
      <c r="L20" s="54"/>
      <c r="M20" s="54"/>
    </row>
    <row r="21" spans="1:13" x14ac:dyDescent="0.2">
      <c r="A21" s="54"/>
      <c r="B21" s="59"/>
      <c r="C21" s="166" t="s">
        <v>976</v>
      </c>
      <c r="D21" s="26" t="s">
        <v>1008</v>
      </c>
      <c r="E21" s="177">
        <v>2</v>
      </c>
      <c r="F21" s="854">
        <f>IF(D21="Yes",E21, IF(D23="Yes",E23,0))</f>
        <v>1</v>
      </c>
      <c r="G21" s="62"/>
      <c r="H21" s="54"/>
      <c r="I21" s="54"/>
      <c r="J21" s="54"/>
      <c r="K21" s="54"/>
      <c r="L21" s="54"/>
      <c r="M21" s="54"/>
    </row>
    <row r="22" spans="1:13" ht="12.75" customHeight="1" x14ac:dyDescent="0.2">
      <c r="A22" s="54"/>
      <c r="B22" s="59"/>
      <c r="C22" s="455" t="s">
        <v>958</v>
      </c>
      <c r="D22" s="171"/>
      <c r="E22" s="70"/>
      <c r="F22" s="855"/>
      <c r="G22" s="62"/>
      <c r="H22" s="54"/>
      <c r="I22" s="54"/>
      <c r="J22" s="54"/>
      <c r="K22" s="54"/>
      <c r="L22" s="54"/>
      <c r="M22" s="54"/>
    </row>
    <row r="23" spans="1:13" x14ac:dyDescent="0.2">
      <c r="A23" s="54"/>
      <c r="B23" s="59"/>
      <c r="C23" s="167" t="s">
        <v>977</v>
      </c>
      <c r="D23" s="24" t="s">
        <v>1007</v>
      </c>
      <c r="E23" s="70">
        <v>1</v>
      </c>
      <c r="F23" s="855"/>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57"/>
      <c r="E25" s="858"/>
      <c r="F25" s="855">
        <f>IF(D28="Yes",E28,IF(D27="Yes",E27,IF(D26="Yes",E26,0)))</f>
        <v>2</v>
      </c>
      <c r="G25" s="62"/>
      <c r="H25" s="54"/>
      <c r="I25" s="54"/>
      <c r="J25" s="54"/>
      <c r="K25" s="54"/>
      <c r="L25" s="54"/>
      <c r="M25" s="54"/>
    </row>
    <row r="26" spans="1:13" x14ac:dyDescent="0.2">
      <c r="A26" s="54"/>
      <c r="B26" s="59"/>
      <c r="C26" s="164" t="s">
        <v>271</v>
      </c>
      <c r="D26" s="24"/>
      <c r="E26" s="70">
        <v>1</v>
      </c>
      <c r="F26" s="855"/>
      <c r="G26" s="62"/>
      <c r="H26" s="54"/>
      <c r="I26" s="54"/>
      <c r="J26" s="54"/>
      <c r="K26" s="54"/>
      <c r="L26" s="54"/>
      <c r="M26" s="54"/>
    </row>
    <row r="27" spans="1:13" x14ac:dyDescent="0.2">
      <c r="A27" s="54"/>
      <c r="B27" s="59"/>
      <c r="C27" s="164" t="s">
        <v>272</v>
      </c>
      <c r="D27" s="24" t="s">
        <v>1007</v>
      </c>
      <c r="E27" s="70">
        <v>2</v>
      </c>
      <c r="F27" s="855"/>
      <c r="G27" s="62"/>
      <c r="H27" s="54"/>
      <c r="I27" s="54"/>
      <c r="J27" s="54"/>
      <c r="K27" s="54"/>
      <c r="L27" s="54"/>
      <c r="M27" s="54"/>
    </row>
    <row r="28" spans="1:13" x14ac:dyDescent="0.2">
      <c r="A28" s="54"/>
      <c r="B28" s="59"/>
      <c r="C28" s="164" t="s">
        <v>632</v>
      </c>
      <c r="D28" s="24" t="s">
        <v>1008</v>
      </c>
      <c r="E28" s="175">
        <v>3</v>
      </c>
      <c r="F28" s="856"/>
      <c r="G28" s="62"/>
      <c r="H28" s="54"/>
      <c r="I28" s="54"/>
      <c r="J28" s="54"/>
      <c r="K28" s="54"/>
      <c r="L28" s="54"/>
      <c r="M28" s="54"/>
    </row>
    <row r="29" spans="1:13" x14ac:dyDescent="0.2">
      <c r="A29" s="54"/>
      <c r="B29" s="59"/>
      <c r="C29" s="865" t="s">
        <v>1054</v>
      </c>
      <c r="D29" s="170"/>
      <c r="E29" s="174"/>
      <c r="F29" s="854">
        <f>IF(D30="Yes",E30, IF(D32="Yes",E32,0))</f>
        <v>1</v>
      </c>
      <c r="G29" s="62"/>
      <c r="H29" s="54"/>
      <c r="I29" s="54"/>
      <c r="J29" s="54"/>
      <c r="K29" s="54"/>
      <c r="L29" s="54"/>
      <c r="M29" s="54"/>
    </row>
    <row r="30" spans="1:13" x14ac:dyDescent="0.2">
      <c r="A30" s="54"/>
      <c r="B30" s="59"/>
      <c r="C30" s="866"/>
      <c r="D30" s="24" t="s">
        <v>1008</v>
      </c>
      <c r="E30" s="173">
        <v>2</v>
      </c>
      <c r="F30" s="855"/>
      <c r="G30" s="62"/>
      <c r="H30" s="54"/>
      <c r="I30" s="54"/>
      <c r="J30" s="54"/>
      <c r="K30" s="54"/>
      <c r="L30" s="54"/>
      <c r="M30" s="54"/>
    </row>
    <row r="31" spans="1:13" x14ac:dyDescent="0.2">
      <c r="A31" s="54"/>
      <c r="B31" s="59"/>
      <c r="C31" s="455" t="s">
        <v>958</v>
      </c>
      <c r="D31" s="171"/>
      <c r="E31" s="174"/>
      <c r="F31" s="855"/>
      <c r="G31" s="62"/>
      <c r="H31" s="54"/>
      <c r="I31" s="54"/>
      <c r="J31" s="54"/>
      <c r="K31" s="54"/>
      <c r="L31" s="54"/>
      <c r="M31" s="54"/>
    </row>
    <row r="32" spans="1:13" x14ac:dyDescent="0.2">
      <c r="A32" s="54"/>
      <c r="B32" s="59"/>
      <c r="C32" s="168" t="s">
        <v>961</v>
      </c>
      <c r="D32" s="24" t="s">
        <v>1007</v>
      </c>
      <c r="E32" s="175">
        <v>1</v>
      </c>
      <c r="F32" s="856"/>
      <c r="G32" s="62"/>
      <c r="H32" s="54"/>
      <c r="I32" s="54"/>
      <c r="J32" s="54"/>
      <c r="K32" s="54"/>
      <c r="L32" s="54"/>
      <c r="M32" s="54"/>
    </row>
    <row r="33" spans="1:13" x14ac:dyDescent="0.2">
      <c r="A33" s="54"/>
      <c r="B33" s="59"/>
      <c r="C33" s="573" t="s">
        <v>997</v>
      </c>
      <c r="D33" s="170"/>
      <c r="E33" s="174"/>
      <c r="F33" s="854">
        <f>IF(D34="Yes",E34,IF(D37="Yes",E37,IF(D39="Yes",E39,0)))</f>
        <v>0</v>
      </c>
      <c r="G33" s="62"/>
      <c r="H33" s="54"/>
      <c r="I33" s="54"/>
      <c r="J33" s="54"/>
      <c r="K33" s="54"/>
      <c r="L33" s="54"/>
      <c r="M33" s="54"/>
    </row>
    <row r="34" spans="1:13" x14ac:dyDescent="0.2">
      <c r="A34" s="54"/>
      <c r="B34" s="59"/>
      <c r="C34" s="574" t="s">
        <v>180</v>
      </c>
      <c r="D34" s="24" t="s">
        <v>1008</v>
      </c>
      <c r="E34" s="173">
        <v>3</v>
      </c>
      <c r="F34" s="855"/>
      <c r="G34" s="62"/>
      <c r="H34" s="54"/>
      <c r="I34" s="54"/>
      <c r="J34" s="54"/>
      <c r="K34" s="54"/>
      <c r="L34" s="54"/>
      <c r="M34" s="54"/>
    </row>
    <row r="35" spans="1:13" x14ac:dyDescent="0.2">
      <c r="A35" s="54"/>
      <c r="B35" s="59"/>
      <c r="C35" s="455" t="s">
        <v>958</v>
      </c>
      <c r="D35" s="458"/>
      <c r="E35" s="174"/>
      <c r="F35" s="855"/>
      <c r="G35" s="62"/>
      <c r="H35" s="54"/>
      <c r="I35" s="54"/>
      <c r="J35" s="54"/>
      <c r="K35" s="54"/>
      <c r="L35" s="54"/>
      <c r="M35" s="54"/>
    </row>
    <row r="36" spans="1:13" x14ac:dyDescent="0.2">
      <c r="A36" s="54"/>
      <c r="B36" s="59"/>
      <c r="C36" s="460" t="s">
        <v>998</v>
      </c>
      <c r="D36" s="459"/>
      <c r="E36" s="174"/>
      <c r="F36" s="855"/>
      <c r="G36" s="62"/>
      <c r="H36" s="54"/>
      <c r="I36" s="54"/>
      <c r="J36" s="54"/>
      <c r="K36" s="54"/>
      <c r="L36" s="54"/>
      <c r="M36" s="54"/>
    </row>
    <row r="37" spans="1:13" x14ac:dyDescent="0.2">
      <c r="A37" s="54"/>
      <c r="B37" s="59"/>
      <c r="C37" s="574" t="s">
        <v>180</v>
      </c>
      <c r="D37" s="24" t="s">
        <v>1008</v>
      </c>
      <c r="E37" s="173">
        <v>2</v>
      </c>
      <c r="F37" s="855">
        <f>IF(D40="Y",E40,IF(D39="Y",E39,IF(D38="Y",E38,0)))</f>
        <v>0</v>
      </c>
      <c r="G37" s="62"/>
      <c r="H37" s="54"/>
      <c r="I37" s="54"/>
      <c r="J37" s="54"/>
      <c r="K37" s="54"/>
      <c r="L37" s="54"/>
      <c r="M37" s="54"/>
    </row>
    <row r="38" spans="1:13" x14ac:dyDescent="0.2">
      <c r="A38" s="54"/>
      <c r="B38" s="59"/>
      <c r="C38" s="455" t="s">
        <v>958</v>
      </c>
      <c r="D38" s="171"/>
      <c r="E38" s="174"/>
      <c r="F38" s="855"/>
      <c r="G38" s="62"/>
      <c r="H38" s="54"/>
      <c r="I38" s="54"/>
      <c r="J38" s="54"/>
      <c r="K38" s="54"/>
      <c r="L38" s="54"/>
      <c r="M38" s="54"/>
    </row>
    <row r="39" spans="1:13" x14ac:dyDescent="0.2">
      <c r="A39" s="54"/>
      <c r="B39" s="59"/>
      <c r="C39" s="568" t="s">
        <v>633</v>
      </c>
      <c r="D39" s="24" t="s">
        <v>1008</v>
      </c>
      <c r="E39" s="173">
        <v>1</v>
      </c>
      <c r="F39" s="855"/>
      <c r="G39" s="62"/>
      <c r="H39" s="54"/>
      <c r="I39" s="54"/>
      <c r="J39" s="54"/>
      <c r="K39" s="54"/>
      <c r="L39" s="54"/>
      <c r="M39" s="54"/>
    </row>
    <row r="40" spans="1:13" x14ac:dyDescent="0.2">
      <c r="A40" s="54"/>
      <c r="B40" s="59"/>
      <c r="C40" s="460" t="s">
        <v>451</v>
      </c>
      <c r="D40" s="458"/>
      <c r="E40" s="174"/>
      <c r="F40" s="856"/>
      <c r="G40" s="62"/>
      <c r="H40" s="54"/>
      <c r="I40" s="54"/>
      <c r="J40" s="54"/>
      <c r="K40" s="54"/>
      <c r="L40" s="54"/>
      <c r="M40" s="54"/>
    </row>
    <row r="41" spans="1:13" x14ac:dyDescent="0.2">
      <c r="A41" s="54"/>
      <c r="B41" s="59"/>
      <c r="C41" s="569" t="s">
        <v>962</v>
      </c>
      <c r="D41" s="5" t="s">
        <v>1008</v>
      </c>
      <c r="E41" s="178">
        <v>2</v>
      </c>
      <c r="F41" s="179">
        <f>IF(D41="Yes",E41,0)</f>
        <v>0</v>
      </c>
      <c r="G41" s="62"/>
      <c r="H41" s="54"/>
      <c r="I41" s="54"/>
      <c r="J41" s="22"/>
      <c r="K41" s="54"/>
      <c r="L41" s="54"/>
      <c r="M41" s="54"/>
    </row>
    <row r="42" spans="1:13" x14ac:dyDescent="0.2">
      <c r="A42" s="54"/>
      <c r="B42" s="59"/>
      <c r="C42" s="863" t="s">
        <v>398</v>
      </c>
      <c r="D42" s="859" t="s">
        <v>585</v>
      </c>
      <c r="E42" s="860"/>
      <c r="F42" s="180">
        <f>SUM(F11:F41)</f>
        <v>12</v>
      </c>
      <c r="G42" s="62"/>
      <c r="H42" s="54"/>
      <c r="I42" s="54"/>
      <c r="J42" s="54"/>
      <c r="K42" s="54"/>
      <c r="L42" s="54"/>
      <c r="M42" s="54"/>
    </row>
    <row r="43" spans="1:13" x14ac:dyDescent="0.2">
      <c r="A43" s="54"/>
      <c r="B43" s="59"/>
      <c r="C43" s="864"/>
      <c r="D43" s="861" t="s">
        <v>596</v>
      </c>
      <c r="E43" s="862"/>
      <c r="F43" s="181" t="str">
        <f>IF(F42&lt;=4,"A",IF(F42&lt;=8,"B",IF(F42&lt;=12,"C",IF(F42&lt;=17,"D","E"))))</f>
        <v>C</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5</v>
      </c>
      <c r="E49" s="60"/>
      <c r="F49" s="60"/>
      <c r="G49" s="62"/>
      <c r="H49" s="54"/>
      <c r="I49" s="54"/>
      <c r="J49" s="54"/>
      <c r="K49" s="54"/>
      <c r="L49" s="54"/>
      <c r="M49" s="54"/>
    </row>
    <row r="50" spans="1:13" x14ac:dyDescent="0.2">
      <c r="A50" s="54"/>
      <c r="B50" s="59"/>
      <c r="C50" s="107" t="s">
        <v>602</v>
      </c>
      <c r="D50" s="183">
        <f>F17</f>
        <v>3</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2</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D42:E42"/>
    <mergeCell ref="D43:E43"/>
    <mergeCell ref="C42:C43"/>
    <mergeCell ref="D7:F7"/>
    <mergeCell ref="C29:C30"/>
    <mergeCell ref="F33:F40"/>
    <mergeCell ref="B5:G5"/>
    <mergeCell ref="F11:F16"/>
    <mergeCell ref="F17:F20"/>
    <mergeCell ref="F29:F32"/>
    <mergeCell ref="F21:F23"/>
    <mergeCell ref="D8:F8"/>
    <mergeCell ref="F25:F28"/>
    <mergeCell ref="D25:E25"/>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3" zoomScaleNormal="100" workbookViewId="0">
      <selection activeCell="J11" sqref="J11"/>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891" t="s">
        <v>28</v>
      </c>
      <c r="D4" s="891"/>
      <c r="E4" s="891"/>
      <c r="F4" s="891"/>
      <c r="G4" s="891"/>
      <c r="H4" s="891"/>
      <c r="I4" s="891"/>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02" t="s">
        <v>609</v>
      </c>
      <c r="I6" s="903"/>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94" t="s">
        <v>963</v>
      </c>
      <c r="D8" s="895"/>
      <c r="E8" s="895"/>
      <c r="F8" s="895"/>
      <c r="G8" s="895"/>
      <c r="H8" s="895"/>
      <c r="I8" s="895"/>
      <c r="J8" s="468"/>
      <c r="K8" s="264"/>
      <c r="N8" s="539"/>
      <c r="O8" s="539"/>
      <c r="P8" s="539"/>
      <c r="Q8" s="539"/>
      <c r="R8" s="539"/>
      <c r="S8" s="539"/>
    </row>
    <row r="9" spans="1:19" s="27" customFormat="1" ht="30" customHeight="1" x14ac:dyDescent="0.2">
      <c r="B9" s="187"/>
      <c r="C9" s="195"/>
      <c r="D9" s="896" t="s">
        <v>634</v>
      </c>
      <c r="E9" s="896"/>
      <c r="F9" s="896"/>
      <c r="G9" s="896"/>
      <c r="H9" s="896"/>
      <c r="I9" s="896"/>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898"/>
      <c r="I10" s="899"/>
      <c r="J10" s="723" t="s">
        <v>1074</v>
      </c>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89"/>
      <c r="I11" s="890"/>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89"/>
      <c r="I12" s="890"/>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89"/>
      <c r="I13" s="890"/>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89"/>
      <c r="I14" s="890"/>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89"/>
      <c r="I15" s="890"/>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89"/>
      <c r="I16" s="890"/>
      <c r="J16" s="379"/>
      <c r="K16" s="264"/>
      <c r="N16" s="539"/>
      <c r="O16" s="539"/>
      <c r="P16" s="539"/>
      <c r="Q16" s="539"/>
      <c r="R16" s="539"/>
      <c r="S16" s="539"/>
    </row>
    <row r="17" spans="2:19" s="27" customFormat="1" ht="54" customHeight="1" x14ac:dyDescent="0.2">
      <c r="B17" s="187"/>
      <c r="C17" s="198">
        <v>8</v>
      </c>
      <c r="D17" s="199" t="s">
        <v>33</v>
      </c>
      <c r="E17" s="462" t="s">
        <v>1007</v>
      </c>
      <c r="F17" s="203">
        <v>-2</v>
      </c>
      <c r="G17" s="203">
        <f t="shared" si="0"/>
        <v>-2</v>
      </c>
      <c r="H17" s="906" t="s">
        <v>1070</v>
      </c>
      <c r="I17" s="890"/>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89"/>
      <c r="I18" s="890"/>
      <c r="J18" s="379"/>
      <c r="K18" s="264"/>
      <c r="N18" s="539"/>
      <c r="O18" s="539"/>
      <c r="P18" s="539"/>
      <c r="Q18" s="539"/>
      <c r="R18" s="539"/>
      <c r="S18" s="539"/>
    </row>
    <row r="19" spans="2:19" s="27" customFormat="1" x14ac:dyDescent="0.2">
      <c r="B19" s="187"/>
      <c r="C19" s="200"/>
      <c r="D19" s="201" t="s">
        <v>993</v>
      </c>
      <c r="E19" s="283"/>
      <c r="F19" s="204">
        <v>12</v>
      </c>
      <c r="G19" s="204">
        <f>SUM(G10:G18)</f>
        <v>10</v>
      </c>
      <c r="H19" s="900">
        <f>G19/F19</f>
        <v>0.83333333333333337</v>
      </c>
      <c r="I19" s="901"/>
      <c r="J19" s="660">
        <f>H19*H158/10</f>
        <v>1.6666666666666667</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94" t="s">
        <v>34</v>
      </c>
      <c r="D21" s="895"/>
      <c r="E21" s="895"/>
      <c r="F21" s="895"/>
      <c r="G21" s="895"/>
      <c r="H21" s="895"/>
      <c r="I21" s="895"/>
      <c r="J21" s="468"/>
      <c r="K21" s="264"/>
      <c r="N21" s="539"/>
      <c r="O21" s="539"/>
      <c r="P21" s="539"/>
      <c r="Q21" s="539"/>
      <c r="R21" s="539"/>
      <c r="S21" s="539"/>
    </row>
    <row r="22" spans="2:19" s="27" customFormat="1" ht="41.25" customHeight="1" x14ac:dyDescent="0.2">
      <c r="B22" s="187"/>
      <c r="C22" s="205"/>
      <c r="D22" s="897" t="s">
        <v>35</v>
      </c>
      <c r="E22" s="897"/>
      <c r="F22" s="897"/>
      <c r="G22" s="897"/>
      <c r="H22" s="897"/>
      <c r="I22" s="897"/>
      <c r="J22" s="476"/>
      <c r="K22" s="264"/>
      <c r="N22" s="539"/>
      <c r="O22" s="539"/>
      <c r="P22" s="539"/>
      <c r="Q22" s="539"/>
      <c r="R22" s="539"/>
      <c r="S22" s="539"/>
    </row>
    <row r="23" spans="2:19" s="27" customFormat="1" ht="26.25" customHeight="1" x14ac:dyDescent="0.2">
      <c r="B23" s="187"/>
      <c r="C23" s="206"/>
      <c r="D23" s="892" t="s">
        <v>53</v>
      </c>
      <c r="E23" s="892"/>
      <c r="F23" s="892"/>
      <c r="G23" s="892"/>
      <c r="H23" s="892"/>
      <c r="I23" s="892"/>
      <c r="J23" s="474"/>
      <c r="K23" s="264"/>
      <c r="N23" s="539"/>
      <c r="O23" s="539"/>
      <c r="P23" s="539"/>
      <c r="Q23" s="539"/>
      <c r="R23" s="539"/>
      <c r="S23" s="539"/>
    </row>
    <row r="24" spans="2:19" s="27" customFormat="1" ht="15.95" customHeight="1" x14ac:dyDescent="0.2">
      <c r="B24" s="187"/>
      <c r="C24" s="206"/>
      <c r="D24" s="892" t="s">
        <v>55</v>
      </c>
      <c r="E24" s="892"/>
      <c r="F24" s="892"/>
      <c r="G24" s="892"/>
      <c r="H24" s="892"/>
      <c r="I24" s="892"/>
      <c r="J24" s="474"/>
      <c r="K24" s="264"/>
      <c r="N24" s="539"/>
      <c r="O24" s="539"/>
      <c r="P24" s="539"/>
      <c r="Q24" s="539"/>
      <c r="R24" s="539"/>
      <c r="S24" s="539"/>
    </row>
    <row r="25" spans="2:19" s="27" customFormat="1" ht="18.75" customHeight="1" x14ac:dyDescent="0.2">
      <c r="B25" s="187"/>
      <c r="C25" s="207"/>
      <c r="D25" s="893" t="s">
        <v>56</v>
      </c>
      <c r="E25" s="893"/>
      <c r="F25" s="893"/>
      <c r="G25" s="893"/>
      <c r="H25" s="893"/>
      <c r="I25" s="893"/>
      <c r="J25" s="478"/>
      <c r="K25" s="264"/>
      <c r="N25" s="539"/>
      <c r="O25" s="539"/>
      <c r="P25" s="539"/>
      <c r="Q25" s="539"/>
      <c r="R25" s="539"/>
      <c r="S25" s="539"/>
    </row>
    <row r="26" spans="2:19" s="27" customFormat="1" ht="25.5" x14ac:dyDescent="0.2">
      <c r="B26" s="187"/>
      <c r="C26" s="210">
        <v>1</v>
      </c>
      <c r="D26" s="211" t="s">
        <v>979</v>
      </c>
      <c r="E26" s="904" t="s">
        <v>1007</v>
      </c>
      <c r="F26" s="907">
        <v>3</v>
      </c>
      <c r="G26" s="907">
        <f>IF(E26="yes",F26,0)</f>
        <v>3</v>
      </c>
      <c r="H26" s="913"/>
      <c r="I26" s="914"/>
      <c r="J26" s="909"/>
      <c r="K26" s="264"/>
      <c r="N26" s="539"/>
      <c r="O26" s="539"/>
      <c r="P26" s="539"/>
      <c r="Q26" s="539"/>
      <c r="R26" s="539"/>
      <c r="S26" s="539"/>
    </row>
    <row r="27" spans="2:19" s="27" customFormat="1" ht="67.5" customHeight="1" x14ac:dyDescent="0.2">
      <c r="B27" s="187"/>
      <c r="C27" s="212"/>
      <c r="D27" s="213" t="s">
        <v>57</v>
      </c>
      <c r="E27" s="905"/>
      <c r="F27" s="908"/>
      <c r="G27" s="908"/>
      <c r="H27" s="915"/>
      <c r="I27" s="916"/>
      <c r="J27" s="910"/>
      <c r="K27" s="264"/>
      <c r="N27" s="539"/>
      <c r="O27" s="539"/>
      <c r="P27" s="539"/>
      <c r="Q27" s="539"/>
      <c r="R27" s="539"/>
      <c r="S27" s="539"/>
    </row>
    <row r="28" spans="2:19" s="27" customFormat="1" ht="38.25" x14ac:dyDescent="0.2">
      <c r="B28" s="187"/>
      <c r="C28" s="214">
        <v>2</v>
      </c>
      <c r="D28" s="199" t="s">
        <v>658</v>
      </c>
      <c r="E28" s="461"/>
      <c r="F28" s="208"/>
      <c r="G28" s="199"/>
      <c r="H28" s="917"/>
      <c r="I28" s="918"/>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911"/>
      <c r="I29" s="912"/>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911"/>
      <c r="I30" s="912"/>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911"/>
      <c r="I31" s="912"/>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911"/>
      <c r="I32" s="912"/>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911"/>
      <c r="I33" s="912"/>
      <c r="J33" s="379"/>
      <c r="K33" s="264"/>
      <c r="N33" s="539"/>
      <c r="O33" s="539"/>
      <c r="P33" s="539"/>
      <c r="Q33" s="539"/>
      <c r="R33" s="539"/>
      <c r="S33" s="539"/>
    </row>
    <row r="34" spans="2:19" s="27" customFormat="1" ht="54" customHeight="1" x14ac:dyDescent="0.2">
      <c r="B34" s="187"/>
      <c r="C34" s="198">
        <v>3</v>
      </c>
      <c r="D34" s="199" t="s">
        <v>610</v>
      </c>
      <c r="E34" s="462" t="s">
        <v>1007</v>
      </c>
      <c r="F34" s="203">
        <v>1</v>
      </c>
      <c r="G34" s="203">
        <f t="shared" si="1"/>
        <v>1</v>
      </c>
      <c r="H34" s="911"/>
      <c r="I34" s="912"/>
      <c r="J34" s="379"/>
      <c r="K34" s="264"/>
      <c r="N34" s="539"/>
      <c r="O34" s="539"/>
      <c r="P34" s="539"/>
      <c r="Q34" s="539"/>
      <c r="R34" s="539"/>
      <c r="S34" s="539"/>
    </row>
    <row r="35" spans="2:19" s="27" customFormat="1" ht="53.25" customHeight="1" x14ac:dyDescent="0.2">
      <c r="B35" s="187"/>
      <c r="C35" s="198">
        <v>4</v>
      </c>
      <c r="D35" s="199" t="s">
        <v>741</v>
      </c>
      <c r="E35" s="462" t="s">
        <v>1007</v>
      </c>
      <c r="F35" s="203">
        <v>1</v>
      </c>
      <c r="G35" s="203">
        <f t="shared" si="1"/>
        <v>1</v>
      </c>
      <c r="H35" s="911"/>
      <c r="I35" s="912"/>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911"/>
      <c r="I36" s="912"/>
      <c r="J36" s="379"/>
      <c r="K36" s="264"/>
      <c r="N36" s="539"/>
      <c r="O36" s="539"/>
      <c r="P36" s="539"/>
      <c r="Q36" s="539"/>
      <c r="R36" s="539"/>
      <c r="S36" s="539"/>
    </row>
    <row r="37" spans="2:19" s="27" customFormat="1" ht="54.75" customHeight="1" x14ac:dyDescent="0.2">
      <c r="B37" s="187"/>
      <c r="C37" s="198">
        <v>6</v>
      </c>
      <c r="D37" s="199" t="s">
        <v>947</v>
      </c>
      <c r="E37" s="462" t="s">
        <v>1008</v>
      </c>
      <c r="F37" s="203">
        <v>-2</v>
      </c>
      <c r="G37" s="203">
        <f t="shared" si="1"/>
        <v>0</v>
      </c>
      <c r="H37" s="911"/>
      <c r="I37" s="912"/>
      <c r="J37" s="379"/>
      <c r="K37" s="264"/>
      <c r="N37" s="539"/>
      <c r="O37" s="539"/>
      <c r="P37" s="539"/>
      <c r="Q37" s="539"/>
      <c r="R37" s="539"/>
      <c r="S37" s="539"/>
    </row>
    <row r="38" spans="2:19" s="27" customFormat="1" ht="63.75" x14ac:dyDescent="0.2">
      <c r="B38" s="187"/>
      <c r="C38" s="198">
        <v>7</v>
      </c>
      <c r="D38" s="702" t="s">
        <v>1058</v>
      </c>
      <c r="E38" s="462" t="s">
        <v>1007</v>
      </c>
      <c r="F38" s="203">
        <v>-2</v>
      </c>
      <c r="G38" s="203">
        <f>IF(E38="no",F38,0)</f>
        <v>0</v>
      </c>
      <c r="H38" s="911"/>
      <c r="I38" s="912"/>
      <c r="J38" s="379"/>
      <c r="K38" s="264"/>
      <c r="N38" s="539"/>
      <c r="O38" s="539"/>
      <c r="P38" s="539"/>
      <c r="Q38" s="539"/>
      <c r="R38" s="539"/>
      <c r="S38" s="539"/>
    </row>
    <row r="39" spans="2:19" s="27" customFormat="1" ht="51" customHeight="1" x14ac:dyDescent="0.2">
      <c r="B39" s="187"/>
      <c r="C39" s="198">
        <v>8</v>
      </c>
      <c r="D39" s="199" t="s">
        <v>742</v>
      </c>
      <c r="E39" s="462" t="s">
        <v>1007</v>
      </c>
      <c r="F39" s="203">
        <v>2</v>
      </c>
      <c r="G39" s="203">
        <f>IF(E39="yes",F39,0)</f>
        <v>2</v>
      </c>
      <c r="H39" s="911"/>
      <c r="I39" s="912"/>
      <c r="J39" s="379"/>
      <c r="K39" s="264"/>
      <c r="N39" s="539"/>
      <c r="O39" s="539"/>
      <c r="P39" s="539"/>
      <c r="Q39" s="539"/>
      <c r="R39" s="539"/>
      <c r="S39" s="539"/>
    </row>
    <row r="40" spans="2:19" s="27" customFormat="1" x14ac:dyDescent="0.2">
      <c r="B40" s="187"/>
      <c r="C40" s="220"/>
      <c r="D40" s="221" t="s">
        <v>37</v>
      </c>
      <c r="E40" s="230"/>
      <c r="F40" s="209">
        <v>17</v>
      </c>
      <c r="G40" s="209">
        <f>SUM(G26:G39)</f>
        <v>17</v>
      </c>
      <c r="H40" s="959"/>
      <c r="I40" s="960"/>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94" t="s">
        <v>969</v>
      </c>
      <c r="D42" s="895"/>
      <c r="E42" s="895"/>
      <c r="F42" s="895"/>
      <c r="G42" s="895"/>
      <c r="H42" s="895"/>
      <c r="I42" s="895"/>
      <c r="J42" s="468"/>
      <c r="K42" s="264"/>
      <c r="N42" s="539"/>
      <c r="O42" s="539"/>
      <c r="P42" s="539"/>
      <c r="Q42" s="539"/>
      <c r="R42" s="539"/>
      <c r="S42" s="539"/>
    </row>
    <row r="43" spans="2:19" s="27" customFormat="1" ht="27" customHeight="1" x14ac:dyDescent="0.2">
      <c r="B43" s="187"/>
      <c r="C43" s="227"/>
      <c r="D43" s="958" t="s">
        <v>38</v>
      </c>
      <c r="E43" s="897"/>
      <c r="F43" s="897"/>
      <c r="G43" s="897"/>
      <c r="H43" s="897"/>
      <c r="I43" s="897"/>
      <c r="J43" s="476"/>
      <c r="K43" s="264"/>
      <c r="N43" s="539"/>
      <c r="O43" s="539"/>
      <c r="P43" s="539"/>
      <c r="Q43" s="539"/>
      <c r="R43" s="539"/>
      <c r="S43" s="539"/>
    </row>
    <row r="44" spans="2:19" s="27" customFormat="1" x14ac:dyDescent="0.2">
      <c r="B44" s="187"/>
      <c r="C44" s="228"/>
      <c r="D44" s="957" t="s">
        <v>933</v>
      </c>
      <c r="E44" s="892"/>
      <c r="F44" s="892"/>
      <c r="G44" s="892"/>
      <c r="H44" s="892"/>
      <c r="I44" s="892"/>
      <c r="J44" s="474"/>
      <c r="K44" s="264"/>
      <c r="N44" s="539"/>
      <c r="O44" s="539"/>
      <c r="P44" s="539"/>
      <c r="Q44" s="539"/>
      <c r="R44" s="539"/>
      <c r="S44" s="539"/>
    </row>
    <row r="45" spans="2:19" s="27" customFormat="1" x14ac:dyDescent="0.2">
      <c r="B45" s="187"/>
      <c r="C45" s="228"/>
      <c r="D45" s="957" t="s">
        <v>934</v>
      </c>
      <c r="E45" s="892"/>
      <c r="F45" s="892"/>
      <c r="G45" s="892"/>
      <c r="H45" s="892"/>
      <c r="I45" s="892"/>
      <c r="J45" s="474"/>
      <c r="K45" s="264"/>
      <c r="N45" s="539"/>
      <c r="O45" s="539"/>
      <c r="P45" s="539"/>
      <c r="Q45" s="539"/>
      <c r="R45" s="539"/>
      <c r="S45" s="539"/>
    </row>
    <row r="46" spans="2:19" s="27" customFormat="1" ht="51.95" customHeight="1" x14ac:dyDescent="0.2">
      <c r="B46" s="187"/>
      <c r="C46" s="228"/>
      <c r="D46" s="957" t="s">
        <v>59</v>
      </c>
      <c r="E46" s="892"/>
      <c r="F46" s="892"/>
      <c r="G46" s="892"/>
      <c r="H46" s="892"/>
      <c r="I46" s="892"/>
      <c r="J46" s="475"/>
      <c r="K46" s="264"/>
      <c r="N46" s="539"/>
      <c r="O46" s="539"/>
      <c r="P46" s="539"/>
      <c r="Q46" s="539"/>
      <c r="R46" s="539"/>
      <c r="S46" s="539"/>
    </row>
    <row r="47" spans="2:19" s="27" customFormat="1" hidden="1" x14ac:dyDescent="0.2">
      <c r="B47" s="187"/>
      <c r="C47" s="228"/>
      <c r="D47" s="957"/>
      <c r="E47" s="892"/>
      <c r="F47" s="892"/>
      <c r="G47" s="892"/>
      <c r="H47" s="892"/>
      <c r="I47" s="892"/>
      <c r="J47" s="474"/>
      <c r="K47" s="264"/>
      <c r="N47" s="539"/>
      <c r="O47" s="539"/>
      <c r="P47" s="539"/>
      <c r="Q47" s="539"/>
      <c r="R47" s="539"/>
      <c r="S47" s="539"/>
    </row>
    <row r="48" spans="2:19" s="27" customFormat="1" ht="12.75" customHeight="1" x14ac:dyDescent="0.2">
      <c r="B48" s="187"/>
      <c r="C48" s="228"/>
      <c r="D48" s="969" t="s">
        <v>920</v>
      </c>
      <c r="E48" s="970"/>
      <c r="F48" s="970"/>
      <c r="G48" s="970"/>
      <c r="H48" s="970"/>
      <c r="I48" s="970"/>
      <c r="J48" s="473"/>
      <c r="K48" s="264"/>
      <c r="N48" s="539"/>
      <c r="O48" s="539"/>
      <c r="P48" s="539"/>
      <c r="Q48" s="539"/>
      <c r="R48" s="539"/>
      <c r="S48" s="539"/>
    </row>
    <row r="49" spans="2:19" s="27" customFormat="1" ht="12.75" customHeight="1" x14ac:dyDescent="0.2">
      <c r="B49" s="187"/>
      <c r="C49" s="228"/>
      <c r="D49" s="969" t="s">
        <v>31</v>
      </c>
      <c r="E49" s="970"/>
      <c r="F49" s="970"/>
      <c r="G49" s="970"/>
      <c r="H49" s="970"/>
      <c r="I49" s="970"/>
      <c r="J49" s="473"/>
      <c r="K49" s="264"/>
      <c r="N49" s="539"/>
      <c r="O49" s="539"/>
      <c r="P49" s="539"/>
      <c r="Q49" s="539"/>
      <c r="R49" s="539"/>
      <c r="S49" s="539"/>
    </row>
    <row r="50" spans="2:19" s="27" customFormat="1" x14ac:dyDescent="0.2">
      <c r="B50" s="187"/>
      <c r="C50" s="229"/>
      <c r="D50" s="969" t="s">
        <v>924</v>
      </c>
      <c r="E50" s="970"/>
      <c r="F50" s="970"/>
      <c r="G50" s="970"/>
      <c r="H50" s="970"/>
      <c r="I50" s="970"/>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971"/>
      <c r="I51" s="972"/>
      <c r="J51" s="380"/>
      <c r="K51" s="264"/>
      <c r="N51" s="539"/>
      <c r="O51" s="539"/>
      <c r="P51" s="539"/>
      <c r="Q51" s="539"/>
      <c r="R51" s="539"/>
      <c r="S51" s="539"/>
    </row>
    <row r="52" spans="2:19" s="27" customFormat="1" ht="29.45" customHeight="1" x14ac:dyDescent="0.2">
      <c r="B52" s="187"/>
      <c r="C52" s="198">
        <v>2</v>
      </c>
      <c r="D52" s="199" t="s">
        <v>60</v>
      </c>
      <c r="E52" s="462" t="s">
        <v>1007</v>
      </c>
      <c r="F52" s="203">
        <v>1</v>
      </c>
      <c r="G52" s="203">
        <f>IF(E52="yes",F52,0)</f>
        <v>1</v>
      </c>
      <c r="H52" s="889"/>
      <c r="I52" s="890"/>
      <c r="J52" s="379"/>
      <c r="K52" s="264"/>
      <c r="N52" s="539"/>
      <c r="O52" s="539"/>
      <c r="P52" s="539"/>
      <c r="Q52" s="539"/>
      <c r="R52" s="539"/>
      <c r="S52" s="539"/>
    </row>
    <row r="53" spans="2:19" s="27" customFormat="1" ht="66.75" customHeight="1" x14ac:dyDescent="0.2">
      <c r="B53" s="187"/>
      <c r="C53" s="198">
        <v>3</v>
      </c>
      <c r="D53" s="199" t="s">
        <v>190</v>
      </c>
      <c r="E53" s="462" t="s">
        <v>1007</v>
      </c>
      <c r="F53" s="203">
        <v>-2</v>
      </c>
      <c r="G53" s="203">
        <f>IF(E53="no",F53,0)</f>
        <v>0</v>
      </c>
      <c r="H53" s="889"/>
      <c r="I53" s="890"/>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89"/>
      <c r="I54" s="890"/>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89"/>
      <c r="I55" s="890"/>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89"/>
      <c r="I56" s="890"/>
      <c r="J56" s="379"/>
      <c r="K56" s="264"/>
      <c r="N56" s="539"/>
      <c r="O56" s="539"/>
      <c r="P56" s="539"/>
      <c r="Q56" s="539"/>
      <c r="R56" s="539"/>
      <c r="S56" s="539"/>
    </row>
    <row r="57" spans="2:19" s="27" customFormat="1" ht="66.75" customHeight="1" x14ac:dyDescent="0.2">
      <c r="B57" s="187"/>
      <c r="C57" s="198">
        <v>7</v>
      </c>
      <c r="D57" s="199" t="s">
        <v>657</v>
      </c>
      <c r="E57" s="462" t="s">
        <v>1007</v>
      </c>
      <c r="F57" s="203">
        <v>-2</v>
      </c>
      <c r="G57" s="203">
        <f>IF(E57="yes",F57,0)</f>
        <v>-2</v>
      </c>
      <c r="H57" s="906" t="s">
        <v>1071</v>
      </c>
      <c r="I57" s="890"/>
      <c r="J57" s="379"/>
      <c r="K57" s="264"/>
      <c r="N57" s="539"/>
      <c r="O57" s="539"/>
      <c r="P57" s="539"/>
      <c r="Q57" s="539"/>
      <c r="R57" s="539"/>
      <c r="S57" s="539"/>
    </row>
    <row r="58" spans="2:19" s="27" customFormat="1" ht="66.75" customHeight="1" x14ac:dyDescent="0.2">
      <c r="B58" s="187"/>
      <c r="C58" s="198">
        <v>8</v>
      </c>
      <c r="D58" s="199" t="s">
        <v>739</v>
      </c>
      <c r="E58" s="462" t="s">
        <v>1007</v>
      </c>
      <c r="F58" s="203">
        <v>3</v>
      </c>
      <c r="G58" s="203">
        <f>IF(E58="yes",F58,0)</f>
        <v>3</v>
      </c>
      <c r="H58" s="889"/>
      <c r="I58" s="890"/>
      <c r="J58" s="379"/>
      <c r="K58" s="264"/>
      <c r="N58" s="539"/>
      <c r="O58" s="539"/>
      <c r="P58" s="539"/>
      <c r="Q58" s="539"/>
      <c r="R58" s="539"/>
      <c r="S58" s="539"/>
    </row>
    <row r="59" spans="2:19" s="27" customFormat="1" x14ac:dyDescent="0.2">
      <c r="B59" s="187"/>
      <c r="C59" s="220"/>
      <c r="D59" s="221" t="s">
        <v>611</v>
      </c>
      <c r="E59" s="230"/>
      <c r="F59" s="209">
        <v>12</v>
      </c>
      <c r="G59" s="209">
        <f>SUM(G51:G58)</f>
        <v>10</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94" t="s">
        <v>970</v>
      </c>
      <c r="D61" s="895"/>
      <c r="E61" s="895"/>
      <c r="F61" s="895"/>
      <c r="G61" s="895"/>
      <c r="H61" s="895"/>
      <c r="I61" s="895"/>
      <c r="J61" s="468"/>
      <c r="K61" s="264"/>
      <c r="N61" s="539"/>
      <c r="O61" s="539"/>
      <c r="P61" s="539"/>
      <c r="Q61" s="539"/>
      <c r="R61" s="539"/>
      <c r="S61" s="539"/>
    </row>
    <row r="62" spans="2:19" s="27" customFormat="1" ht="25.5" customHeight="1" x14ac:dyDescent="0.2">
      <c r="B62" s="187"/>
      <c r="C62" s="232"/>
      <c r="D62" s="896" t="s">
        <v>348</v>
      </c>
      <c r="E62" s="896"/>
      <c r="F62" s="896"/>
      <c r="G62" s="896"/>
      <c r="H62" s="896"/>
      <c r="I62" s="896"/>
      <c r="J62" s="470"/>
      <c r="K62" s="264"/>
      <c r="N62" s="539"/>
      <c r="O62" s="539"/>
      <c r="P62" s="539"/>
      <c r="Q62" s="539"/>
      <c r="R62" s="539"/>
      <c r="S62" s="539"/>
    </row>
    <row r="63" spans="2:19" s="27" customFormat="1" ht="40.5" customHeight="1" x14ac:dyDescent="0.2">
      <c r="B63" s="187"/>
      <c r="C63" s="233">
        <v>1</v>
      </c>
      <c r="D63" s="964" t="s">
        <v>349</v>
      </c>
      <c r="E63" s="965"/>
      <c r="F63" s="966"/>
      <c r="G63" s="966"/>
      <c r="H63" s="966"/>
      <c r="I63" s="966"/>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89"/>
      <c r="I64" s="890"/>
      <c r="J64" s="381"/>
      <c r="K64" s="264"/>
      <c r="N64" s="539"/>
      <c r="O64" s="539"/>
      <c r="P64" s="539"/>
      <c r="Q64" s="539"/>
      <c r="R64" s="539"/>
      <c r="S64" s="539"/>
    </row>
    <row r="65" spans="2:19" s="27" customFormat="1" ht="57.75" customHeight="1" x14ac:dyDescent="0.2">
      <c r="B65" s="187"/>
      <c r="C65" s="234">
        <v>1.2</v>
      </c>
      <c r="D65" s="235" t="s">
        <v>66</v>
      </c>
      <c r="E65" s="462" t="s">
        <v>1008</v>
      </c>
      <c r="F65" s="236">
        <v>15</v>
      </c>
      <c r="G65" s="199">
        <f>IF(E65="yes",F65,0)</f>
        <v>0</v>
      </c>
      <c r="H65" s="889"/>
      <c r="I65" s="890"/>
      <c r="J65" s="381"/>
      <c r="K65" s="264"/>
      <c r="N65" s="539"/>
      <c r="O65" s="539"/>
      <c r="P65" s="539"/>
      <c r="Q65" s="539"/>
      <c r="R65" s="539"/>
      <c r="S65" s="539"/>
    </row>
    <row r="66" spans="2:19" s="27" customFormat="1" ht="104.25" customHeight="1" x14ac:dyDescent="0.2">
      <c r="B66" s="187"/>
      <c r="C66" s="234">
        <v>1.3</v>
      </c>
      <c r="D66" s="235" t="s">
        <v>971</v>
      </c>
      <c r="E66" s="462" t="s">
        <v>1008</v>
      </c>
      <c r="F66" s="237">
        <v>12</v>
      </c>
      <c r="G66" s="199">
        <f>IF(E66="yes",F66,0)</f>
        <v>0</v>
      </c>
      <c r="H66" s="889"/>
      <c r="I66" s="890"/>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0</v>
      </c>
      <c r="H67" s="967"/>
      <c r="I67" s="968"/>
      <c r="J67" s="492"/>
      <c r="K67" s="264"/>
      <c r="N67" s="539"/>
      <c r="O67" s="539"/>
      <c r="P67" s="539"/>
      <c r="Q67" s="539"/>
      <c r="R67" s="539"/>
      <c r="S67" s="539"/>
    </row>
    <row r="68" spans="2:19" s="27" customFormat="1" ht="26.25" customHeight="1" x14ac:dyDescent="0.2">
      <c r="B68" s="187"/>
      <c r="C68" s="291">
        <v>2</v>
      </c>
      <c r="D68" s="939" t="s">
        <v>972</v>
      </c>
      <c r="E68" s="940"/>
      <c r="F68" s="940"/>
      <c r="G68" s="940"/>
      <c r="H68" s="940"/>
      <c r="I68" s="940"/>
      <c r="J68" s="941"/>
      <c r="K68" s="264"/>
      <c r="N68" s="539"/>
      <c r="O68" s="539"/>
      <c r="P68" s="539"/>
      <c r="Q68" s="539"/>
      <c r="R68" s="539"/>
      <c r="S68" s="539"/>
    </row>
    <row r="69" spans="2:19" s="27" customFormat="1" x14ac:dyDescent="0.2">
      <c r="B69" s="187"/>
      <c r="C69" s="214">
        <v>2.1</v>
      </c>
      <c r="D69" s="945" t="s">
        <v>612</v>
      </c>
      <c r="E69" s="946"/>
      <c r="F69" s="946"/>
      <c r="G69" s="946"/>
      <c r="H69" s="946"/>
      <c r="I69" s="946"/>
      <c r="J69" s="947"/>
      <c r="K69" s="264"/>
      <c r="N69" s="539"/>
      <c r="O69" s="539"/>
      <c r="P69" s="539"/>
      <c r="Q69" s="539"/>
      <c r="R69" s="539"/>
      <c r="S69" s="539"/>
    </row>
    <row r="70" spans="2:19" s="27" customFormat="1" ht="38.25" x14ac:dyDescent="0.2">
      <c r="B70" s="187"/>
      <c r="C70" s="198"/>
      <c r="D70" s="238" t="s">
        <v>925</v>
      </c>
      <c r="E70" s="462" t="s">
        <v>1007</v>
      </c>
      <c r="F70" s="241">
        <v>1</v>
      </c>
      <c r="G70" s="203">
        <f>IF(E70="yes",F70,0)</f>
        <v>1</v>
      </c>
      <c r="H70" s="889"/>
      <c r="I70" s="942"/>
      <c r="J70" s="379"/>
      <c r="K70" s="264"/>
      <c r="N70" s="539"/>
      <c r="O70" s="539"/>
      <c r="P70" s="539"/>
      <c r="Q70" s="539"/>
      <c r="R70" s="539"/>
      <c r="S70" s="539"/>
    </row>
    <row r="71" spans="2:19" s="27" customFormat="1" ht="54.75" customHeight="1" x14ac:dyDescent="0.2">
      <c r="B71" s="187"/>
      <c r="C71" s="198"/>
      <c r="D71" s="238" t="s">
        <v>67</v>
      </c>
      <c r="E71" s="462" t="s">
        <v>1007</v>
      </c>
      <c r="F71" s="241">
        <v>1</v>
      </c>
      <c r="G71" s="203">
        <f>IF(E71="yes",F71,0)</f>
        <v>1</v>
      </c>
      <c r="H71" s="889"/>
      <c r="I71" s="890"/>
      <c r="J71" s="379"/>
      <c r="K71" s="264"/>
      <c r="N71" s="539"/>
      <c r="O71" s="539"/>
      <c r="P71" s="539"/>
      <c r="Q71" s="539"/>
      <c r="R71" s="539"/>
      <c r="S71" s="539"/>
    </row>
    <row r="72" spans="2:19" s="27" customFormat="1" ht="38.25" x14ac:dyDescent="0.2">
      <c r="B72" s="187"/>
      <c r="C72" s="239"/>
      <c r="D72" s="240" t="s">
        <v>926</v>
      </c>
      <c r="E72" s="463" t="s">
        <v>1007</v>
      </c>
      <c r="F72" s="242">
        <v>1</v>
      </c>
      <c r="G72" s="243">
        <f>IF(E72="yes",F72,0)</f>
        <v>1</v>
      </c>
      <c r="H72" s="943"/>
      <c r="I72" s="944"/>
      <c r="J72" s="382"/>
      <c r="K72" s="264"/>
      <c r="N72" s="539"/>
      <c r="O72" s="539"/>
      <c r="P72" s="539"/>
      <c r="Q72" s="539"/>
      <c r="R72" s="539"/>
      <c r="S72" s="539"/>
    </row>
    <row r="73" spans="2:19" s="27" customFormat="1" ht="30" customHeight="1" x14ac:dyDescent="0.2">
      <c r="B73" s="187"/>
      <c r="C73" s="244">
        <v>2.2000000000000002</v>
      </c>
      <c r="D73" s="945" t="s">
        <v>948</v>
      </c>
      <c r="E73" s="948"/>
      <c r="F73" s="946"/>
      <c r="G73" s="946"/>
      <c r="H73" s="946"/>
      <c r="I73" s="946"/>
      <c r="J73" s="472"/>
      <c r="K73" s="264"/>
      <c r="N73" s="539"/>
      <c r="O73" s="539"/>
      <c r="P73" s="539"/>
      <c r="Q73" s="539"/>
      <c r="R73" s="539"/>
      <c r="S73" s="539"/>
    </row>
    <row r="74" spans="2:19" s="27" customFormat="1" ht="25.5" x14ac:dyDescent="0.2">
      <c r="B74" s="187"/>
      <c r="C74" s="219"/>
      <c r="D74" s="238" t="s">
        <v>927</v>
      </c>
      <c r="E74" s="462" t="s">
        <v>1007</v>
      </c>
      <c r="F74" s="203">
        <v>1</v>
      </c>
      <c r="G74" s="203">
        <f t="shared" ref="G74:G81" si="2">IF(E74="yes",F74,0)</f>
        <v>1</v>
      </c>
      <c r="H74" s="889"/>
      <c r="I74" s="890"/>
      <c r="J74" s="379"/>
      <c r="K74" s="264"/>
      <c r="N74" s="539"/>
      <c r="O74" s="539"/>
      <c r="P74" s="539"/>
      <c r="Q74" s="539"/>
      <c r="R74" s="539"/>
      <c r="S74" s="539"/>
    </row>
    <row r="75" spans="2:19" s="27" customFormat="1" ht="54" customHeight="1" x14ac:dyDescent="0.2">
      <c r="B75" s="187"/>
      <c r="C75" s="219"/>
      <c r="D75" s="238" t="s">
        <v>928</v>
      </c>
      <c r="E75" s="462" t="s">
        <v>1007</v>
      </c>
      <c r="F75" s="203">
        <v>1</v>
      </c>
      <c r="G75" s="203">
        <f t="shared" si="2"/>
        <v>1</v>
      </c>
      <c r="H75" s="889"/>
      <c r="I75" s="890"/>
      <c r="J75" s="641"/>
      <c r="K75" s="264"/>
      <c r="N75" s="539"/>
      <c r="O75" s="539"/>
      <c r="P75" s="539"/>
      <c r="Q75" s="539"/>
      <c r="R75" s="539"/>
      <c r="S75" s="539"/>
    </row>
    <row r="76" spans="2:19" s="27" customFormat="1" x14ac:dyDescent="0.2">
      <c r="B76" s="187"/>
      <c r="C76" s="219"/>
      <c r="D76" s="238" t="s">
        <v>930</v>
      </c>
      <c r="E76" s="462" t="s">
        <v>1007</v>
      </c>
      <c r="F76" s="203">
        <v>1</v>
      </c>
      <c r="G76" s="203">
        <f t="shared" si="2"/>
        <v>1</v>
      </c>
      <c r="H76" s="889"/>
      <c r="I76" s="890"/>
      <c r="J76" s="379"/>
      <c r="K76" s="264"/>
      <c r="N76" s="539"/>
      <c r="O76" s="539"/>
      <c r="P76" s="539"/>
      <c r="Q76" s="539"/>
      <c r="R76" s="539"/>
      <c r="S76" s="539"/>
    </row>
    <row r="77" spans="2:19" s="27" customFormat="1" x14ac:dyDescent="0.2">
      <c r="B77" s="187"/>
      <c r="C77" s="215"/>
      <c r="D77" s="240" t="s">
        <v>931</v>
      </c>
      <c r="E77" s="465" t="s">
        <v>1007</v>
      </c>
      <c r="F77" s="243">
        <v>1</v>
      </c>
      <c r="G77" s="243">
        <f t="shared" si="2"/>
        <v>1</v>
      </c>
      <c r="H77" s="889"/>
      <c r="I77" s="890"/>
      <c r="J77" s="382"/>
      <c r="K77" s="264"/>
      <c r="N77" s="539"/>
      <c r="O77" s="539"/>
      <c r="P77" s="539"/>
      <c r="Q77" s="539"/>
      <c r="R77" s="539"/>
      <c r="S77" s="539"/>
    </row>
    <row r="78" spans="2:19" s="27" customFormat="1" ht="54.75" customHeight="1" x14ac:dyDescent="0.2">
      <c r="B78" s="187"/>
      <c r="C78" s="245">
        <v>2.2999999999999998</v>
      </c>
      <c r="D78" s="246" t="s">
        <v>932</v>
      </c>
      <c r="E78" s="466" t="s">
        <v>1007</v>
      </c>
      <c r="F78" s="254">
        <v>1</v>
      </c>
      <c r="G78" s="254">
        <f t="shared" si="2"/>
        <v>1</v>
      </c>
      <c r="H78" s="889"/>
      <c r="I78" s="890"/>
      <c r="J78" s="383"/>
      <c r="K78" s="264"/>
      <c r="N78" s="539"/>
      <c r="O78" s="539"/>
      <c r="P78" s="539"/>
      <c r="Q78" s="539"/>
      <c r="R78" s="539"/>
      <c r="S78" s="539"/>
    </row>
    <row r="79" spans="2:19" s="27" customFormat="1" ht="25.5" x14ac:dyDescent="0.2">
      <c r="B79" s="187"/>
      <c r="C79" s="247">
        <v>2.4</v>
      </c>
      <c r="D79" s="248" t="s">
        <v>613</v>
      </c>
      <c r="E79" s="466" t="s">
        <v>1007</v>
      </c>
      <c r="F79" s="255">
        <v>2</v>
      </c>
      <c r="G79" s="255">
        <f t="shared" si="2"/>
        <v>2</v>
      </c>
      <c r="H79" s="906" t="s">
        <v>1072</v>
      </c>
      <c r="I79" s="890"/>
      <c r="J79" s="384"/>
      <c r="K79" s="264"/>
      <c r="N79" s="539"/>
      <c r="O79" s="539"/>
      <c r="P79" s="539"/>
      <c r="Q79" s="539"/>
      <c r="R79" s="539"/>
      <c r="S79" s="539"/>
    </row>
    <row r="80" spans="2:19" s="27" customFormat="1" ht="76.5" x14ac:dyDescent="0.2">
      <c r="B80" s="187"/>
      <c r="C80" s="212">
        <v>2.5</v>
      </c>
      <c r="D80" s="249" t="s">
        <v>239</v>
      </c>
      <c r="E80" s="467" t="s">
        <v>1007</v>
      </c>
      <c r="F80" s="256">
        <v>1</v>
      </c>
      <c r="G80" s="256">
        <f t="shared" si="2"/>
        <v>1</v>
      </c>
      <c r="H80" s="955"/>
      <c r="I80" s="956"/>
      <c r="J80" s="385"/>
      <c r="K80" s="264"/>
      <c r="N80" s="539"/>
      <c r="O80" s="539"/>
      <c r="P80" s="539"/>
      <c r="Q80" s="539"/>
      <c r="R80" s="539"/>
      <c r="S80" s="539"/>
    </row>
    <row r="81" spans="2:19" s="27" customFormat="1" ht="81.75" customHeight="1" x14ac:dyDescent="0.2">
      <c r="B81" s="187"/>
      <c r="C81" s="250">
        <v>3</v>
      </c>
      <c r="D81" s="251" t="s">
        <v>973</v>
      </c>
      <c r="E81" s="29" t="s">
        <v>1008</v>
      </c>
      <c r="F81" s="257">
        <v>1</v>
      </c>
      <c r="G81" s="257">
        <f t="shared" si="2"/>
        <v>0</v>
      </c>
      <c r="H81" s="936"/>
      <c r="I81" s="937"/>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952"/>
      <c r="I82" s="953"/>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11</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50" t="s">
        <v>689</v>
      </c>
      <c r="D85" s="951"/>
      <c r="E85" s="951"/>
      <c r="F85" s="671"/>
      <c r="G85" s="671"/>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49" t="s">
        <v>635</v>
      </c>
      <c r="E87" s="921">
        <v>0</v>
      </c>
      <c r="F87" s="923" t="s">
        <v>182</v>
      </c>
      <c r="G87" s="550"/>
      <c r="H87" s="502"/>
      <c r="I87" s="543"/>
      <c r="J87" s="544"/>
      <c r="K87" s="264"/>
      <c r="L87" s="479"/>
      <c r="N87" s="539"/>
      <c r="O87" s="539"/>
      <c r="P87" s="539"/>
      <c r="Q87" s="539"/>
      <c r="R87" s="539"/>
      <c r="S87" s="539"/>
    </row>
    <row r="88" spans="2:19" s="27" customFormat="1" ht="30" customHeight="1" x14ac:dyDescent="0.2">
      <c r="B88" s="187"/>
      <c r="C88" s="503"/>
      <c r="D88" s="926"/>
      <c r="E88" s="922"/>
      <c r="F88" s="923"/>
      <c r="G88" s="550"/>
      <c r="H88" s="502"/>
      <c r="I88" s="543"/>
      <c r="J88" s="545"/>
      <c r="K88" s="264"/>
      <c r="L88" s="479"/>
      <c r="N88" s="539"/>
      <c r="O88" s="539"/>
      <c r="P88" s="539"/>
      <c r="Q88" s="539"/>
      <c r="R88" s="539"/>
      <c r="S88" s="539"/>
    </row>
    <row r="89" spans="2:19" s="27" customFormat="1" ht="30" customHeight="1" x14ac:dyDescent="0.2">
      <c r="B89" s="187"/>
      <c r="C89" s="503"/>
      <c r="D89" s="926"/>
      <c r="E89" s="922"/>
      <c r="F89" s="923"/>
      <c r="G89" s="550"/>
      <c r="H89" s="502"/>
      <c r="I89" s="543"/>
      <c r="J89" s="545"/>
      <c r="K89" s="264"/>
      <c r="L89" s="479"/>
      <c r="N89" s="539"/>
      <c r="O89" s="539"/>
      <c r="P89" s="539"/>
      <c r="Q89" s="539"/>
      <c r="R89" s="539"/>
      <c r="S89" s="539"/>
    </row>
    <row r="90" spans="2:19" s="27" customFormat="1" ht="30" customHeight="1" x14ac:dyDescent="0.2">
      <c r="B90" s="187"/>
      <c r="C90" s="503"/>
      <c r="D90" s="926"/>
      <c r="E90" s="922"/>
      <c r="F90" s="923"/>
      <c r="G90" s="550"/>
      <c r="H90" s="502"/>
      <c r="I90" s="543"/>
      <c r="J90" s="545"/>
      <c r="K90" s="264"/>
      <c r="L90" s="479"/>
      <c r="N90" s="539"/>
      <c r="O90" s="539"/>
      <c r="P90" s="539"/>
      <c r="Q90" s="539"/>
      <c r="R90" s="539"/>
      <c r="S90" s="539"/>
    </row>
    <row r="91" spans="2:19" s="27" customFormat="1" ht="30" customHeight="1" x14ac:dyDescent="0.2">
      <c r="B91" s="187"/>
      <c r="C91" s="503"/>
      <c r="D91" s="926"/>
      <c r="E91" s="922"/>
      <c r="F91" s="923"/>
      <c r="G91" s="550"/>
      <c r="H91" s="502"/>
      <c r="I91" s="543"/>
      <c r="J91" s="545"/>
      <c r="K91" s="264"/>
      <c r="L91" s="479"/>
      <c r="N91" s="539"/>
      <c r="O91" s="539"/>
      <c r="P91" s="539"/>
      <c r="Q91" s="539"/>
      <c r="R91" s="539"/>
      <c r="S91" s="539"/>
    </row>
    <row r="92" spans="2:19" s="27" customFormat="1" ht="30" customHeight="1" x14ac:dyDescent="0.2">
      <c r="B92" s="187"/>
      <c r="C92" s="214"/>
      <c r="D92" s="927"/>
      <c r="E92" s="931"/>
      <c r="F92" s="924"/>
      <c r="G92" s="551"/>
      <c r="H92" s="502"/>
      <c r="I92" s="543"/>
      <c r="J92" s="545"/>
      <c r="K92" s="264"/>
      <c r="L92" s="479"/>
      <c r="N92" s="539"/>
      <c r="O92" s="539"/>
      <c r="P92" s="539"/>
      <c r="Q92" s="539"/>
      <c r="R92" s="539"/>
      <c r="S92" s="539"/>
    </row>
    <row r="93" spans="2:19" s="27" customFormat="1" ht="24.95" customHeight="1" x14ac:dyDescent="0.2">
      <c r="B93" s="187"/>
      <c r="C93" s="919">
        <v>2</v>
      </c>
      <c r="D93" s="925" t="s">
        <v>636</v>
      </c>
      <c r="E93" s="921">
        <v>1</v>
      </c>
      <c r="F93" s="938" t="s">
        <v>182</v>
      </c>
      <c r="G93" s="550" t="s">
        <v>234</v>
      </c>
      <c r="H93" s="722" t="s">
        <v>518</v>
      </c>
      <c r="I93" s="546">
        <v>42710</v>
      </c>
      <c r="J93" s="547"/>
      <c r="K93" s="264"/>
      <c r="L93" s="479"/>
      <c r="N93" s="539"/>
      <c r="O93" s="539"/>
      <c r="P93" s="539"/>
      <c r="Q93" s="539"/>
      <c r="R93" s="539"/>
      <c r="S93" s="539"/>
    </row>
    <row r="94" spans="2:19" s="27" customFormat="1" ht="24.95" customHeight="1" x14ac:dyDescent="0.2">
      <c r="B94" s="187"/>
      <c r="C94" s="920"/>
      <c r="D94" s="926"/>
      <c r="E94" s="922"/>
      <c r="F94" s="923"/>
      <c r="G94" s="550"/>
      <c r="H94" s="502"/>
      <c r="I94" s="543"/>
      <c r="J94" s="545"/>
      <c r="K94" s="264"/>
      <c r="L94" s="479"/>
      <c r="N94" s="539"/>
      <c r="O94" s="539"/>
      <c r="P94" s="539"/>
      <c r="Q94" s="539"/>
      <c r="R94" s="539"/>
      <c r="S94" s="539"/>
    </row>
    <row r="95" spans="2:19" s="27" customFormat="1" ht="24.95" customHeight="1" x14ac:dyDescent="0.2">
      <c r="B95" s="187"/>
      <c r="C95" s="920"/>
      <c r="D95" s="926"/>
      <c r="E95" s="922"/>
      <c r="F95" s="923"/>
      <c r="G95" s="550"/>
      <c r="H95" s="502"/>
      <c r="I95" s="543"/>
      <c r="J95" s="545"/>
      <c r="K95" s="264"/>
      <c r="L95" s="479"/>
      <c r="N95" s="539"/>
      <c r="O95" s="539"/>
      <c r="P95" s="539"/>
      <c r="Q95" s="539"/>
      <c r="R95" s="539"/>
      <c r="S95" s="539"/>
    </row>
    <row r="96" spans="2:19" s="27" customFormat="1" ht="24.95" customHeight="1" x14ac:dyDescent="0.2">
      <c r="B96" s="187"/>
      <c r="C96" s="920"/>
      <c r="D96" s="926"/>
      <c r="E96" s="922"/>
      <c r="F96" s="923"/>
      <c r="G96" s="550"/>
      <c r="H96" s="502"/>
      <c r="I96" s="543"/>
      <c r="J96" s="545"/>
      <c r="K96" s="264"/>
      <c r="L96" s="479"/>
      <c r="N96" s="539"/>
      <c r="O96" s="539"/>
      <c r="P96" s="539"/>
      <c r="Q96" s="539"/>
      <c r="R96" s="539"/>
      <c r="S96" s="539"/>
    </row>
    <row r="97" spans="2:19" s="27" customFormat="1" ht="24.95" customHeight="1" x14ac:dyDescent="0.2">
      <c r="B97" s="187"/>
      <c r="C97" s="920"/>
      <c r="D97" s="926"/>
      <c r="E97" s="922"/>
      <c r="F97" s="923"/>
      <c r="G97" s="550"/>
      <c r="H97" s="502"/>
      <c r="I97" s="543"/>
      <c r="J97" s="545"/>
      <c r="K97" s="264"/>
      <c r="L97" s="479"/>
      <c r="N97" s="539"/>
      <c r="O97" s="539"/>
      <c r="P97" s="539"/>
      <c r="Q97" s="539"/>
      <c r="R97" s="539"/>
      <c r="S97" s="539"/>
    </row>
    <row r="98" spans="2:19" s="27" customFormat="1" ht="24.95" customHeight="1" x14ac:dyDescent="0.2">
      <c r="B98" s="187"/>
      <c r="C98" s="954"/>
      <c r="D98" s="927"/>
      <c r="E98" s="931"/>
      <c r="F98" s="924"/>
      <c r="G98" s="551"/>
      <c r="H98" s="502"/>
      <c r="I98" s="543"/>
      <c r="J98" s="545"/>
      <c r="K98" s="264"/>
      <c r="L98" s="479"/>
      <c r="N98" s="539"/>
      <c r="O98" s="539"/>
      <c r="P98" s="539"/>
      <c r="Q98" s="539"/>
      <c r="R98" s="539"/>
      <c r="S98" s="539"/>
    </row>
    <row r="99" spans="2:19" s="27" customFormat="1" ht="24.95" customHeight="1" x14ac:dyDescent="0.2">
      <c r="B99" s="187"/>
      <c r="C99" s="928">
        <v>3</v>
      </c>
      <c r="D99" s="925" t="s">
        <v>637</v>
      </c>
      <c r="E99" s="921">
        <v>0</v>
      </c>
      <c r="F99" s="932" t="s">
        <v>228</v>
      </c>
      <c r="G99" s="550"/>
      <c r="H99" s="469"/>
      <c r="I99" s="546"/>
      <c r="J99" s="547"/>
      <c r="K99" s="264"/>
      <c r="L99" s="479"/>
      <c r="N99" s="539"/>
      <c r="O99" s="539"/>
      <c r="P99" s="539"/>
      <c r="Q99" s="539"/>
      <c r="R99" s="539"/>
      <c r="S99" s="539"/>
    </row>
    <row r="100" spans="2:19" s="27" customFormat="1" ht="24.95" customHeight="1" x14ac:dyDescent="0.2">
      <c r="B100" s="187"/>
      <c r="C100" s="929"/>
      <c r="D100" s="926"/>
      <c r="E100" s="922"/>
      <c r="F100" s="933"/>
      <c r="G100" s="550"/>
      <c r="H100" s="502"/>
      <c r="I100" s="543"/>
      <c r="J100" s="545"/>
      <c r="K100" s="264"/>
      <c r="L100" s="479"/>
      <c r="N100" s="539"/>
      <c r="O100" s="539"/>
      <c r="P100" s="539"/>
      <c r="Q100" s="539"/>
      <c r="R100" s="539"/>
      <c r="S100" s="539"/>
    </row>
    <row r="101" spans="2:19" s="27" customFormat="1" ht="24.95" customHeight="1" x14ac:dyDescent="0.2">
      <c r="B101" s="187"/>
      <c r="C101" s="929"/>
      <c r="D101" s="926"/>
      <c r="E101" s="922"/>
      <c r="F101" s="933"/>
      <c r="G101" s="550"/>
      <c r="H101" s="502"/>
      <c r="I101" s="543"/>
      <c r="J101" s="545"/>
      <c r="K101" s="264"/>
      <c r="L101" s="479"/>
      <c r="N101" s="539"/>
      <c r="O101" s="539"/>
      <c r="P101" s="539"/>
      <c r="Q101" s="539"/>
      <c r="R101" s="539"/>
      <c r="S101" s="539"/>
    </row>
    <row r="102" spans="2:19" s="27" customFormat="1" ht="24.95" customHeight="1" x14ac:dyDescent="0.2">
      <c r="B102" s="187"/>
      <c r="C102" s="929"/>
      <c r="D102" s="926"/>
      <c r="E102" s="922"/>
      <c r="F102" s="933"/>
      <c r="G102" s="550"/>
      <c r="H102" s="502"/>
      <c r="I102" s="543"/>
      <c r="J102" s="545"/>
      <c r="K102" s="264"/>
      <c r="L102" s="479"/>
      <c r="N102" s="539"/>
      <c r="O102" s="539"/>
      <c r="P102" s="539"/>
      <c r="Q102" s="539"/>
      <c r="R102" s="539"/>
      <c r="S102" s="539"/>
    </row>
    <row r="103" spans="2:19" s="27" customFormat="1" ht="24.95" customHeight="1" x14ac:dyDescent="0.2">
      <c r="B103" s="187"/>
      <c r="C103" s="929"/>
      <c r="D103" s="926"/>
      <c r="E103" s="922"/>
      <c r="F103" s="933"/>
      <c r="G103" s="550"/>
      <c r="H103" s="502"/>
      <c r="I103" s="543"/>
      <c r="J103" s="545"/>
      <c r="K103" s="264"/>
      <c r="L103" s="479"/>
      <c r="N103" s="539"/>
      <c r="O103" s="539"/>
      <c r="P103" s="539"/>
      <c r="Q103" s="539"/>
      <c r="R103" s="539"/>
      <c r="S103" s="539"/>
    </row>
    <row r="104" spans="2:19" s="27" customFormat="1" ht="24.95" customHeight="1" x14ac:dyDescent="0.2">
      <c r="B104" s="187"/>
      <c r="C104" s="930"/>
      <c r="D104" s="927"/>
      <c r="E104" s="931"/>
      <c r="F104" s="934"/>
      <c r="G104" s="551"/>
      <c r="H104" s="502"/>
      <c r="I104" s="543"/>
      <c r="J104" s="545"/>
      <c r="K104" s="264"/>
      <c r="L104" s="479"/>
      <c r="N104" s="539"/>
      <c r="O104" s="539"/>
      <c r="P104" s="539"/>
      <c r="Q104" s="539"/>
      <c r="R104" s="539"/>
      <c r="S104" s="539"/>
    </row>
    <row r="105" spans="2:19" s="27" customFormat="1" ht="27.95" customHeight="1" x14ac:dyDescent="0.2">
      <c r="B105" s="187"/>
      <c r="C105" s="928">
        <v>4</v>
      </c>
      <c r="D105" s="925" t="s">
        <v>638</v>
      </c>
      <c r="E105" s="921">
        <v>0</v>
      </c>
      <c r="F105" s="932" t="s">
        <v>236</v>
      </c>
      <c r="G105" s="552"/>
      <c r="H105" s="469"/>
      <c r="I105" s="546"/>
      <c r="J105" s="547"/>
      <c r="K105" s="264"/>
      <c r="L105" s="479"/>
      <c r="N105" s="539"/>
      <c r="O105" s="539"/>
      <c r="P105" s="539"/>
      <c r="Q105" s="539"/>
      <c r="R105" s="539"/>
      <c r="S105" s="539"/>
    </row>
    <row r="106" spans="2:19" s="27" customFormat="1" ht="27.95" customHeight="1" x14ac:dyDescent="0.2">
      <c r="B106" s="187"/>
      <c r="C106" s="929"/>
      <c r="D106" s="926"/>
      <c r="E106" s="922"/>
      <c r="F106" s="933"/>
      <c r="G106" s="550"/>
      <c r="H106" s="502"/>
      <c r="I106" s="543"/>
      <c r="J106" s="545"/>
      <c r="K106" s="264"/>
      <c r="L106" s="479"/>
      <c r="N106" s="539"/>
      <c r="O106" s="539"/>
      <c r="P106" s="539"/>
      <c r="Q106" s="539"/>
      <c r="R106" s="539"/>
      <c r="S106" s="539"/>
    </row>
    <row r="107" spans="2:19" s="27" customFormat="1" ht="27.95" customHeight="1" x14ac:dyDescent="0.2">
      <c r="B107" s="187"/>
      <c r="C107" s="929"/>
      <c r="D107" s="926"/>
      <c r="E107" s="922"/>
      <c r="F107" s="933"/>
      <c r="G107" s="550"/>
      <c r="H107" s="502"/>
      <c r="I107" s="543"/>
      <c r="J107" s="545"/>
      <c r="K107" s="264"/>
      <c r="L107" s="479"/>
      <c r="N107" s="539"/>
      <c r="O107" s="539"/>
      <c r="P107" s="539"/>
      <c r="Q107" s="539"/>
      <c r="R107" s="539"/>
      <c r="S107" s="539"/>
    </row>
    <row r="108" spans="2:19" s="27" customFormat="1" ht="27.95" customHeight="1" x14ac:dyDescent="0.2">
      <c r="B108" s="187"/>
      <c r="C108" s="929"/>
      <c r="D108" s="926"/>
      <c r="E108" s="922"/>
      <c r="F108" s="933"/>
      <c r="G108" s="550"/>
      <c r="H108" s="502"/>
      <c r="I108" s="543"/>
      <c r="J108" s="545"/>
      <c r="K108" s="264"/>
      <c r="L108" s="479"/>
      <c r="N108" s="539"/>
      <c r="O108" s="539"/>
      <c r="P108" s="539"/>
      <c r="Q108" s="539"/>
      <c r="R108" s="539"/>
      <c r="S108" s="539"/>
    </row>
    <row r="109" spans="2:19" s="27" customFormat="1" ht="27.95" customHeight="1" x14ac:dyDescent="0.2">
      <c r="B109" s="187"/>
      <c r="C109" s="929"/>
      <c r="D109" s="926"/>
      <c r="E109" s="922"/>
      <c r="F109" s="933"/>
      <c r="G109" s="550"/>
      <c r="H109" s="502"/>
      <c r="I109" s="543"/>
      <c r="J109" s="545"/>
      <c r="K109" s="264"/>
      <c r="L109" s="479"/>
      <c r="N109" s="539"/>
      <c r="O109" s="539"/>
      <c r="P109" s="539"/>
      <c r="Q109" s="539"/>
      <c r="R109" s="539"/>
      <c r="S109" s="539"/>
    </row>
    <row r="110" spans="2:19" s="27" customFormat="1" ht="27.95" customHeight="1" x14ac:dyDescent="0.2">
      <c r="B110" s="672"/>
      <c r="C110" s="930"/>
      <c r="D110" s="927"/>
      <c r="E110" s="931"/>
      <c r="F110" s="934"/>
      <c r="G110" s="551"/>
      <c r="H110" s="502"/>
      <c r="I110" s="543"/>
      <c r="J110" s="545"/>
      <c r="K110" s="264"/>
      <c r="L110" s="479"/>
      <c r="N110" s="539"/>
      <c r="O110" s="539"/>
      <c r="P110" s="539"/>
      <c r="Q110" s="539"/>
      <c r="R110" s="539"/>
      <c r="S110" s="539"/>
    </row>
    <row r="111" spans="2:19" s="27" customFormat="1" ht="24.95" hidden="1" customHeight="1" x14ac:dyDescent="0.2">
      <c r="B111" s="187"/>
      <c r="C111" s="919"/>
      <c r="D111" s="935"/>
      <c r="E111" s="921">
        <v>0</v>
      </c>
      <c r="F111" s="923"/>
      <c r="G111" s="552"/>
      <c r="H111" s="469"/>
      <c r="I111" s="546"/>
      <c r="J111" s="547"/>
      <c r="K111" s="264"/>
      <c r="L111" s="479"/>
      <c r="N111" s="539"/>
      <c r="O111" s="539"/>
      <c r="P111" s="539"/>
      <c r="Q111" s="539"/>
      <c r="R111" s="539"/>
      <c r="S111" s="539"/>
    </row>
    <row r="112" spans="2:19" s="27" customFormat="1" ht="24.95" hidden="1" customHeight="1" x14ac:dyDescent="0.2">
      <c r="B112" s="187"/>
      <c r="C112" s="920"/>
      <c r="D112" s="926"/>
      <c r="E112" s="922"/>
      <c r="F112" s="923"/>
      <c r="G112" s="550"/>
      <c r="H112" s="502"/>
      <c r="I112" s="543"/>
      <c r="J112" s="545"/>
      <c r="K112" s="264"/>
      <c r="L112" s="479"/>
      <c r="N112" s="539"/>
      <c r="O112" s="539"/>
      <c r="P112" s="539"/>
      <c r="Q112" s="539"/>
      <c r="R112" s="539"/>
      <c r="S112" s="539"/>
    </row>
    <row r="113" spans="2:19" s="27" customFormat="1" ht="24.95" hidden="1" customHeight="1" x14ac:dyDescent="0.2">
      <c r="B113" s="187"/>
      <c r="C113" s="920"/>
      <c r="D113" s="926"/>
      <c r="E113" s="922"/>
      <c r="F113" s="923"/>
      <c r="G113" s="550"/>
      <c r="H113" s="502"/>
      <c r="I113" s="543"/>
      <c r="J113" s="545"/>
      <c r="K113" s="264"/>
      <c r="L113" s="479"/>
      <c r="N113" s="539"/>
      <c r="O113" s="539"/>
      <c r="P113" s="539"/>
      <c r="Q113" s="539"/>
      <c r="R113" s="539"/>
      <c r="S113" s="539"/>
    </row>
    <row r="114" spans="2:19" s="27" customFormat="1" ht="24.95" hidden="1" customHeight="1" x14ac:dyDescent="0.2">
      <c r="B114" s="187"/>
      <c r="C114" s="920"/>
      <c r="D114" s="926"/>
      <c r="E114" s="922"/>
      <c r="F114" s="923"/>
      <c r="G114" s="550"/>
      <c r="H114" s="502"/>
      <c r="I114" s="543"/>
      <c r="J114" s="545"/>
      <c r="K114" s="264"/>
      <c r="L114" s="479"/>
      <c r="N114" s="539"/>
      <c r="O114" s="539"/>
      <c r="P114" s="539"/>
      <c r="Q114" s="539"/>
      <c r="R114" s="539"/>
      <c r="S114" s="539"/>
    </row>
    <row r="115" spans="2:19" s="27" customFormat="1" ht="24.95" hidden="1" customHeight="1" x14ac:dyDescent="0.2">
      <c r="B115" s="187"/>
      <c r="C115" s="920"/>
      <c r="D115" s="926"/>
      <c r="E115" s="922"/>
      <c r="F115" s="923"/>
      <c r="G115" s="550"/>
      <c r="H115" s="502"/>
      <c r="I115" s="543"/>
      <c r="J115" s="545"/>
      <c r="K115" s="264"/>
      <c r="L115" s="479"/>
      <c r="N115" s="539"/>
      <c r="O115" s="539"/>
      <c r="P115" s="539"/>
      <c r="Q115" s="539"/>
      <c r="R115" s="539"/>
      <c r="S115" s="539"/>
    </row>
    <row r="116" spans="2:19" s="27" customFormat="1" ht="24.95" hidden="1" customHeight="1" x14ac:dyDescent="0.2">
      <c r="B116" s="187"/>
      <c r="C116" s="920"/>
      <c r="D116" s="926"/>
      <c r="E116" s="504"/>
      <c r="F116" s="924"/>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869">
        <f>H232</f>
        <v>0</v>
      </c>
      <c r="I120" s="867"/>
      <c r="J120" s="868"/>
      <c r="K120" s="264"/>
      <c r="N120" s="539"/>
      <c r="O120" s="539"/>
      <c r="P120" s="539"/>
      <c r="Q120" s="539"/>
      <c r="R120" s="539"/>
      <c r="S120" s="539"/>
    </row>
    <row r="121" spans="2:19" s="27" customFormat="1" x14ac:dyDescent="0.2">
      <c r="B121" s="187"/>
      <c r="C121" s="39">
        <v>2</v>
      </c>
      <c r="D121" s="39" t="s">
        <v>640</v>
      </c>
      <c r="E121" s="518">
        <f>CautionTotal</f>
        <v>1</v>
      </c>
      <c r="F121" s="518">
        <v>1</v>
      </c>
      <c r="G121" s="529">
        <f>E121-F121</f>
        <v>0</v>
      </c>
      <c r="H121" s="870"/>
      <c r="I121" s="867"/>
      <c r="J121" s="868"/>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870"/>
      <c r="I122" s="266"/>
      <c r="J122" s="514"/>
      <c r="K122" s="264"/>
      <c r="N122" s="539"/>
      <c r="O122" s="539"/>
      <c r="P122" s="539"/>
      <c r="Q122" s="539"/>
      <c r="R122" s="539"/>
      <c r="S122" s="539"/>
    </row>
    <row r="123" spans="2:19" s="27" customFormat="1" x14ac:dyDescent="0.2">
      <c r="B123" s="672"/>
      <c r="C123" s="39">
        <v>4</v>
      </c>
      <c r="D123" s="39" t="s">
        <v>642</v>
      </c>
      <c r="E123" s="518">
        <f>ConvictionTotal</f>
        <v>0</v>
      </c>
      <c r="F123" s="518">
        <v>0</v>
      </c>
      <c r="G123" s="673">
        <f>E123-F123</f>
        <v>0</v>
      </c>
      <c r="H123" s="870"/>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871"/>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879"/>
      <c r="D131" s="879"/>
      <c r="E131" s="271"/>
      <c r="F131" s="272"/>
      <c r="G131" s="270"/>
      <c r="H131" s="270"/>
      <c r="I131" s="270"/>
      <c r="J131" s="270"/>
      <c r="K131" s="264"/>
      <c r="N131" s="539"/>
      <c r="O131" s="539"/>
      <c r="P131" s="539"/>
      <c r="Q131" s="539"/>
      <c r="R131" s="539"/>
      <c r="S131" s="539"/>
    </row>
    <row r="132" spans="2:19" s="27" customFormat="1" x14ac:dyDescent="0.2">
      <c r="B132" s="187"/>
      <c r="C132" s="879"/>
      <c r="D132" s="879"/>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886" t="s">
        <v>97</v>
      </c>
      <c r="E150" s="887"/>
      <c r="F150" s="887"/>
      <c r="G150" s="888"/>
      <c r="H150" s="31" t="s">
        <v>614</v>
      </c>
      <c r="I150" s="32" t="str">
        <f>IF($G$118 = -40, "E",IF($I$163&lt;2,"E",IF($I$163&lt;4,"D",IF($I$163&lt;6,"C",IF($I$163&lt;8,"B",IF($I$163&lt;12,"A"))))))</f>
        <v>B</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880" t="s">
        <v>981</v>
      </c>
      <c r="E152" s="882" t="str">
        <f>Introduction!E8</f>
        <v>Tomlinson Dairies</v>
      </c>
      <c r="F152" s="882"/>
      <c r="G152" s="882"/>
      <c r="H152" s="880" t="s">
        <v>982</v>
      </c>
      <c r="I152" s="884" t="str">
        <f>Introduction!I8</f>
        <v>PPN-00061</v>
      </c>
      <c r="J152" s="485"/>
      <c r="K152" s="264"/>
      <c r="N152" s="539"/>
      <c r="O152" s="539"/>
      <c r="P152" s="539"/>
      <c r="Q152" s="539"/>
      <c r="R152" s="539"/>
      <c r="S152" s="539"/>
    </row>
    <row r="153" spans="2:19" s="27" customFormat="1" x14ac:dyDescent="0.2">
      <c r="B153" s="187"/>
      <c r="C153" s="277"/>
      <c r="D153" s="881"/>
      <c r="E153" s="883"/>
      <c r="F153" s="883"/>
      <c r="G153" s="883"/>
      <c r="H153" s="881"/>
      <c r="I153" s="885"/>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873" t="s">
        <v>974</v>
      </c>
      <c r="E156" s="874"/>
      <c r="F156" s="874"/>
      <c r="G156" s="874"/>
      <c r="H156" s="874"/>
      <c r="I156" s="875"/>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10</v>
      </c>
      <c r="G158" s="38">
        <f>10/E158*F158</f>
        <v>8.3333333333333339</v>
      </c>
      <c r="H158" s="33">
        <v>20</v>
      </c>
      <c r="I158" s="50">
        <f>G158*H158/100</f>
        <v>1.666666666666667</v>
      </c>
      <c r="J158" s="488"/>
      <c r="K158" s="264"/>
      <c r="N158" s="539"/>
      <c r="O158" s="539"/>
      <c r="P158" s="539"/>
      <c r="Q158" s="539"/>
      <c r="R158" s="539"/>
      <c r="S158" s="539"/>
    </row>
    <row r="159" spans="2:19" s="27" customFormat="1" x14ac:dyDescent="0.2">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
      <c r="B160" s="187"/>
      <c r="C160" s="265"/>
      <c r="D160" s="39" t="s">
        <v>731</v>
      </c>
      <c r="E160" s="37">
        <v>12</v>
      </c>
      <c r="F160" s="38">
        <f>(G59)</f>
        <v>10</v>
      </c>
      <c r="G160" s="38">
        <f>10/E160*F160</f>
        <v>8.3333333333333339</v>
      </c>
      <c r="H160" s="33">
        <v>20</v>
      </c>
      <c r="I160" s="50">
        <f>G160*H160/100</f>
        <v>1.666666666666667</v>
      </c>
      <c r="J160" s="488"/>
      <c r="K160" s="264"/>
      <c r="N160" s="539"/>
      <c r="O160" s="539"/>
      <c r="P160" s="539"/>
      <c r="Q160" s="539"/>
      <c r="R160" s="539"/>
      <c r="S160" s="539"/>
    </row>
    <row r="161" spans="2:19" s="27" customFormat="1" x14ac:dyDescent="0.2">
      <c r="B161" s="187"/>
      <c r="C161" s="265"/>
      <c r="D161" s="39" t="s">
        <v>732</v>
      </c>
      <c r="E161" s="37">
        <v>20</v>
      </c>
      <c r="F161" s="38">
        <f>(G83)</f>
        <v>11</v>
      </c>
      <c r="G161" s="38">
        <f>10/E161*F161</f>
        <v>5.5</v>
      </c>
      <c r="H161" s="38">
        <v>40</v>
      </c>
      <c r="I161" s="50">
        <f>G161*H161/100</f>
        <v>2.2000000000000002</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876" t="s">
        <v>627</v>
      </c>
      <c r="E163" s="877"/>
      <c r="F163" s="877"/>
      <c r="G163" s="877"/>
      <c r="H163" s="878"/>
      <c r="I163" s="51">
        <f>SUM(I158:I162)</f>
        <v>7.5333333333333341</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872"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872"/>
      <c r="G190" s="872"/>
      <c r="H190" s="872"/>
      <c r="I190" s="872"/>
      <c r="J190" s="872"/>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962"/>
      <c r="M208" s="962"/>
      <c r="N208" s="963"/>
      <c r="O208" s="963"/>
      <c r="P208" s="963"/>
      <c r="Q208" s="963"/>
      <c r="R208" s="963"/>
      <c r="S208" s="963"/>
      <c r="T208" s="963"/>
      <c r="U208" s="963"/>
      <c r="V208" s="963"/>
      <c r="W208" s="963"/>
      <c r="X208" s="963"/>
      <c r="Y208" s="963"/>
      <c r="Z208" s="963"/>
      <c r="AA208" s="963"/>
      <c r="AB208" s="963"/>
      <c r="AC208" s="963"/>
      <c r="AD208" s="963"/>
      <c r="AE208" s="963"/>
      <c r="AF208" s="963"/>
      <c r="AG208" s="963"/>
      <c r="AH208" s="963"/>
      <c r="AI208" s="963"/>
      <c r="AJ208" s="963"/>
      <c r="AK208" s="963"/>
      <c r="AL208" s="963"/>
      <c r="AM208" s="963"/>
      <c r="AN208" s="963"/>
      <c r="AO208" s="963"/>
      <c r="AP208" s="537"/>
      <c r="AQ208" s="537"/>
      <c r="AR208" s="537"/>
      <c r="AS208" s="537"/>
    </row>
    <row r="209" spans="3:45" s="27" customFormat="1" hidden="1" x14ac:dyDescent="0.2">
      <c r="L209" s="962"/>
      <c r="M209" s="962"/>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961"/>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961"/>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961"/>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961"/>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961"/>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961"/>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961"/>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961"/>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961"/>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961"/>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961"/>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8">
        <v>1</v>
      </c>
      <c r="I221" s="678">
        <v>2</v>
      </c>
      <c r="J221" s="678" t="s">
        <v>737</v>
      </c>
      <c r="L221" s="961"/>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8" t="str">
        <f t="shared" ref="E222:G227" si="3">E119</f>
        <v>Entered</v>
      </c>
      <c r="F222" s="678" t="str">
        <f t="shared" si="3"/>
        <v>Spent</v>
      </c>
      <c r="G222" s="678" t="str">
        <f t="shared" si="3"/>
        <v>Extant</v>
      </c>
      <c r="H222" s="678"/>
      <c r="I222" s="678"/>
      <c r="J222" s="678"/>
      <c r="L222" s="961"/>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8">
        <f t="shared" si="3"/>
        <v>0</v>
      </c>
      <c r="F223" s="678">
        <f t="shared" si="3"/>
        <v>0</v>
      </c>
      <c r="G223" s="678">
        <f t="shared" si="3"/>
        <v>0</v>
      </c>
      <c r="H223" s="678">
        <v>-5</v>
      </c>
      <c r="I223" s="678">
        <v>-10</v>
      </c>
      <c r="J223" s="678">
        <v>-40</v>
      </c>
      <c r="L223" s="961"/>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8">
        <f t="shared" si="3"/>
        <v>1</v>
      </c>
      <c r="F224" s="678">
        <f t="shared" si="3"/>
        <v>1</v>
      </c>
      <c r="G224" s="678">
        <f t="shared" si="3"/>
        <v>0</v>
      </c>
      <c r="H224" s="678">
        <v>-5</v>
      </c>
      <c r="I224" s="678">
        <v>-10</v>
      </c>
      <c r="J224" s="678">
        <v>-40</v>
      </c>
      <c r="L224" s="961"/>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8">
        <f t="shared" si="3"/>
        <v>0</v>
      </c>
      <c r="F225" s="678">
        <f t="shared" si="3"/>
        <v>0</v>
      </c>
      <c r="G225" s="678">
        <f t="shared" si="3"/>
        <v>0</v>
      </c>
      <c r="H225" s="678">
        <v>-10</v>
      </c>
      <c r="I225" s="678">
        <v>-40</v>
      </c>
      <c r="J225" s="678">
        <v>-40</v>
      </c>
      <c r="L225" s="961"/>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8">
        <f t="shared" si="3"/>
        <v>0</v>
      </c>
      <c r="F226" s="678">
        <f t="shared" si="3"/>
        <v>0</v>
      </c>
      <c r="G226" s="678">
        <f t="shared" si="3"/>
        <v>0</v>
      </c>
      <c r="H226" s="678">
        <v>-15</v>
      </c>
      <c r="I226" s="678">
        <v>-40</v>
      </c>
      <c r="J226" s="678">
        <v>-40</v>
      </c>
      <c r="L226" s="961"/>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8">
        <f t="shared" si="3"/>
        <v>0</v>
      </c>
      <c r="F227" s="678">
        <f t="shared" si="3"/>
        <v>0</v>
      </c>
      <c r="G227" s="678">
        <f t="shared" si="3"/>
        <v>0</v>
      </c>
      <c r="H227" s="678"/>
      <c r="I227" s="678"/>
      <c r="J227" s="678"/>
      <c r="L227" s="961"/>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0" t="s">
        <v>585</v>
      </c>
      <c r="G228" s="678">
        <f>SUM(G223:G227)</f>
        <v>0</v>
      </c>
      <c r="L228" s="961"/>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961"/>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961"/>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79" t="s">
        <v>738</v>
      </c>
      <c r="G231" s="682" t="s">
        <v>619</v>
      </c>
      <c r="H231" s="682"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8"/>
      <c r="G232" s="678">
        <f>G223*H223</f>
        <v>0</v>
      </c>
      <c r="H232" s="681">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8">
        <f>G224*H224</f>
        <v>0</v>
      </c>
      <c r="H233" s="678"/>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8">
        <f>IF(G225=1,H225,IF(G225=2,I225,0))</f>
        <v>0</v>
      </c>
      <c r="H234" s="678"/>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8">
        <f>IF(G226=1,H226,IF(G226=2,I226,0))</f>
        <v>0</v>
      </c>
      <c r="H235" s="678"/>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8">
        <f>SUM(G232:G235)</f>
        <v>0</v>
      </c>
      <c r="H236" s="678"/>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 ref="D47:I47"/>
    <mergeCell ref="H37:I37"/>
    <mergeCell ref="C42:I42"/>
    <mergeCell ref="D43:I43"/>
    <mergeCell ref="D45:I45"/>
    <mergeCell ref="H39:I39"/>
    <mergeCell ref="H40:I40"/>
    <mergeCell ref="H34:I34"/>
    <mergeCell ref="D46:I46"/>
    <mergeCell ref="D44:I4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C111:C116"/>
    <mergeCell ref="E111:E115"/>
    <mergeCell ref="F111:F116"/>
    <mergeCell ref="D105:D110"/>
    <mergeCell ref="C105:C110"/>
    <mergeCell ref="E105:E110"/>
    <mergeCell ref="F105:F110"/>
    <mergeCell ref="D111:D116"/>
    <mergeCell ref="C99:C104"/>
    <mergeCell ref="E99:E104"/>
    <mergeCell ref="F99:F104"/>
    <mergeCell ref="D99:D104"/>
    <mergeCell ref="J26:J27"/>
    <mergeCell ref="H35:I35"/>
    <mergeCell ref="H36:I36"/>
    <mergeCell ref="H31:I31"/>
    <mergeCell ref="H32:I32"/>
    <mergeCell ref="H33:I33"/>
    <mergeCell ref="H26:I27"/>
    <mergeCell ref="H28:I28"/>
    <mergeCell ref="H29:I29"/>
    <mergeCell ref="H30:I3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I120:J121"/>
    <mergeCell ref="H120:H124"/>
    <mergeCell ref="E190:J190"/>
    <mergeCell ref="D156:I156"/>
    <mergeCell ref="D163:H163"/>
    <mergeCell ref="C131:D132"/>
    <mergeCell ref="D152:D153"/>
    <mergeCell ref="E152:G153"/>
    <mergeCell ref="H152:H153"/>
    <mergeCell ref="I152:I153"/>
    <mergeCell ref="D150:G150"/>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topLeftCell="A4" workbookViewId="0">
      <selection activeCell="K37" sqref="K37"/>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6" t="s">
        <v>350</v>
      </c>
      <c r="D3" s="827"/>
      <c r="E3" s="827"/>
      <c r="F3" s="828"/>
      <c r="G3" s="70"/>
      <c r="H3" s="70"/>
      <c r="I3" s="364"/>
      <c r="J3" s="20"/>
      <c r="K3" s="20"/>
      <c r="L3" s="20"/>
      <c r="M3" s="20"/>
      <c r="N3" s="20"/>
      <c r="O3" s="20"/>
    </row>
    <row r="4" spans="2:15" x14ac:dyDescent="0.2">
      <c r="B4" s="347"/>
      <c r="C4" s="973"/>
      <c r="D4" s="973"/>
      <c r="E4" s="295"/>
      <c r="F4" s="295"/>
      <c r="G4" s="70"/>
      <c r="H4" s="70"/>
      <c r="I4" s="364"/>
      <c r="J4" s="20"/>
      <c r="K4" s="20"/>
      <c r="L4" s="20"/>
      <c r="M4" s="20"/>
      <c r="N4" s="20"/>
      <c r="O4" s="20"/>
    </row>
    <row r="5" spans="2:15" x14ac:dyDescent="0.2">
      <c r="B5" s="347"/>
      <c r="C5" s="81" t="s">
        <v>74</v>
      </c>
      <c r="D5" s="789" t="str">
        <f>Introduction!E8</f>
        <v>Tomlinson Dairies</v>
      </c>
      <c r="E5" s="798"/>
      <c r="F5" s="370"/>
      <c r="G5" s="453"/>
      <c r="H5" s="70"/>
      <c r="I5" s="364"/>
      <c r="J5" s="20"/>
      <c r="K5" s="20"/>
      <c r="L5" s="20"/>
      <c r="M5" s="20"/>
      <c r="N5" s="20"/>
      <c r="O5" s="20"/>
    </row>
    <row r="6" spans="2:15" x14ac:dyDescent="0.2">
      <c r="B6" s="347"/>
      <c r="C6" s="81" t="s">
        <v>72</v>
      </c>
      <c r="D6" s="789" t="str">
        <f>Introduction!I8</f>
        <v>PPN-00061</v>
      </c>
      <c r="E6" s="798"/>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81" t="s">
        <v>140</v>
      </c>
      <c r="F8" s="982"/>
      <c r="G8" s="974" t="s">
        <v>351</v>
      </c>
      <c r="H8" s="975"/>
      <c r="I8" s="364"/>
      <c r="J8" s="20"/>
      <c r="K8" s="20"/>
      <c r="L8" s="20"/>
      <c r="M8" s="20"/>
      <c r="N8" s="20"/>
      <c r="O8" s="20"/>
    </row>
    <row r="9" spans="2:15" x14ac:dyDescent="0.2">
      <c r="B9" s="347"/>
      <c r="C9" s="755" t="s">
        <v>646</v>
      </c>
      <c r="D9" s="756"/>
      <c r="E9" s="373" t="s">
        <v>651</v>
      </c>
      <c r="F9" s="373" t="s">
        <v>596</v>
      </c>
      <c r="G9" s="376" t="s">
        <v>651</v>
      </c>
      <c r="H9" s="376" t="s">
        <v>596</v>
      </c>
      <c r="I9" s="364"/>
      <c r="J9" s="20"/>
      <c r="K9" s="20"/>
      <c r="L9" s="20"/>
      <c r="M9" s="20"/>
      <c r="N9" s="20"/>
      <c r="O9" s="20"/>
    </row>
    <row r="10" spans="2:15" x14ac:dyDescent="0.2">
      <c r="B10" s="347"/>
      <c r="C10" s="988" t="s">
        <v>674</v>
      </c>
      <c r="D10" s="989"/>
      <c r="E10" s="374">
        <f>Complexities!H51</f>
        <v>0</v>
      </c>
      <c r="F10" s="374" t="s">
        <v>652</v>
      </c>
      <c r="G10" s="376">
        <f>Complexities!F51</f>
        <v>0</v>
      </c>
      <c r="H10" s="376" t="s">
        <v>652</v>
      </c>
      <c r="I10" s="364"/>
      <c r="J10" s="20"/>
      <c r="K10" s="20"/>
      <c r="L10" s="20"/>
      <c r="M10" s="20"/>
      <c r="N10" s="20"/>
      <c r="O10" s="20"/>
    </row>
    <row r="11" spans="2:15" x14ac:dyDescent="0.2">
      <c r="B11" s="347"/>
      <c r="C11" s="983"/>
      <c r="D11" s="984"/>
      <c r="E11" s="374">
        <f>Complexities!H52</f>
        <v>1</v>
      </c>
      <c r="F11" s="374" t="s">
        <v>653</v>
      </c>
      <c r="G11" s="376">
        <f>Complexities!F52</f>
        <v>1</v>
      </c>
      <c r="H11" s="376" t="s">
        <v>653</v>
      </c>
      <c r="I11" s="364"/>
      <c r="J11" s="20"/>
      <c r="K11" s="20"/>
      <c r="L11" s="20"/>
      <c r="M11" s="20"/>
      <c r="N11" s="20"/>
      <c r="O11" s="20"/>
    </row>
    <row r="12" spans="2:15" x14ac:dyDescent="0.2">
      <c r="B12" s="347"/>
      <c r="C12" s="983"/>
      <c r="D12" s="984"/>
      <c r="E12" s="374">
        <f>Complexities!H53</f>
        <v>0</v>
      </c>
      <c r="F12" s="374" t="s">
        <v>649</v>
      </c>
      <c r="G12" s="376">
        <f>Complexities!F53</f>
        <v>0</v>
      </c>
      <c r="H12" s="376" t="s">
        <v>649</v>
      </c>
      <c r="I12" s="364"/>
      <c r="J12" s="20"/>
      <c r="K12" s="20"/>
      <c r="L12" s="20"/>
      <c r="M12" s="20"/>
      <c r="N12" s="20"/>
      <c r="O12" s="20"/>
    </row>
    <row r="13" spans="2:15" x14ac:dyDescent="0.2">
      <c r="B13" s="347"/>
      <c r="C13" s="983"/>
      <c r="D13" s="984"/>
      <c r="E13" s="374">
        <f>Complexities!H54</f>
        <v>0</v>
      </c>
      <c r="F13" s="374" t="s">
        <v>650</v>
      </c>
      <c r="G13" s="376">
        <f>Complexities!F54</f>
        <v>0</v>
      </c>
      <c r="H13" s="376" t="s">
        <v>650</v>
      </c>
      <c r="I13" s="364"/>
      <c r="J13" s="20"/>
      <c r="K13" s="20"/>
      <c r="L13" s="20"/>
      <c r="M13" s="20"/>
      <c r="N13" s="20"/>
      <c r="O13" s="20"/>
    </row>
    <row r="14" spans="2:15" x14ac:dyDescent="0.2">
      <c r="B14" s="347"/>
      <c r="C14" s="979"/>
      <c r="D14" s="980"/>
      <c r="E14" s="374">
        <f>Complexities!H55</f>
        <v>0</v>
      </c>
      <c r="F14" s="374" t="s">
        <v>654</v>
      </c>
      <c r="G14" s="376">
        <f>Complexities!F55</f>
        <v>0</v>
      </c>
      <c r="H14" s="376" t="s">
        <v>654</v>
      </c>
      <c r="I14" s="364"/>
      <c r="J14" s="20"/>
      <c r="K14" s="20"/>
      <c r="L14" s="20"/>
      <c r="M14" s="20"/>
      <c r="N14" s="20"/>
      <c r="O14" s="20"/>
    </row>
    <row r="15" spans="2:15" x14ac:dyDescent="0.2">
      <c r="B15" s="347"/>
      <c r="C15" s="985" t="s">
        <v>656</v>
      </c>
      <c r="D15" s="635" t="s">
        <v>434</v>
      </c>
      <c r="E15" s="811"/>
      <c r="F15" s="374" t="str">
        <f>'Emissions Summary'!E22</f>
        <v>-</v>
      </c>
      <c r="G15" s="70"/>
      <c r="H15" s="376" t="str">
        <f>'Emissions Summary'!E22</f>
        <v>-</v>
      </c>
      <c r="I15" s="364"/>
      <c r="J15" s="20"/>
      <c r="K15" s="20"/>
      <c r="L15" s="20"/>
      <c r="M15" s="20"/>
      <c r="N15" s="20"/>
      <c r="O15" s="20"/>
    </row>
    <row r="16" spans="2:15" x14ac:dyDescent="0.2">
      <c r="B16" s="347"/>
      <c r="C16" s="986"/>
      <c r="D16" s="635" t="s">
        <v>525</v>
      </c>
      <c r="E16" s="987"/>
      <c r="F16" s="374" t="str">
        <f>'Emissions Summary'!E23</f>
        <v>-</v>
      </c>
      <c r="G16" s="70"/>
      <c r="H16" s="376" t="str">
        <f>'Emissions Summary'!E23</f>
        <v>-</v>
      </c>
      <c r="I16" s="364"/>
      <c r="J16" s="20"/>
      <c r="K16" s="20"/>
      <c r="L16" s="20"/>
      <c r="M16" s="20"/>
      <c r="N16" s="20"/>
      <c r="O16" s="20"/>
    </row>
    <row r="17" spans="2:15" x14ac:dyDescent="0.2">
      <c r="B17" s="347"/>
      <c r="C17" s="986"/>
      <c r="D17" s="635" t="s">
        <v>592</v>
      </c>
      <c r="E17" s="987"/>
      <c r="F17" s="374" t="str">
        <f>'Emissions Summary'!E24</f>
        <v>-</v>
      </c>
      <c r="G17" s="70"/>
      <c r="H17" s="376" t="str">
        <f>'Emissions Summary'!E24</f>
        <v>-</v>
      </c>
      <c r="I17" s="364"/>
      <c r="J17" s="20"/>
      <c r="K17" s="20"/>
      <c r="L17" s="20"/>
      <c r="M17" s="20"/>
      <c r="N17" s="20"/>
      <c r="O17" s="20"/>
    </row>
    <row r="18" spans="2:15" x14ac:dyDescent="0.2">
      <c r="B18" s="347"/>
      <c r="C18" s="986"/>
      <c r="D18" s="635" t="s">
        <v>594</v>
      </c>
      <c r="E18" s="987"/>
      <c r="F18" s="374" t="str">
        <f>'Emissions Summary'!E25</f>
        <v>A</v>
      </c>
      <c r="G18" s="70"/>
      <c r="H18" s="376" t="str">
        <f>'Emissions Summary'!E25</f>
        <v>A</v>
      </c>
      <c r="I18" s="364"/>
      <c r="J18" s="20"/>
      <c r="K18" s="20"/>
      <c r="L18" s="20"/>
      <c r="M18" s="20"/>
      <c r="N18" s="20"/>
      <c r="O18" s="20"/>
    </row>
    <row r="19" spans="2:15" x14ac:dyDescent="0.2">
      <c r="B19" s="347"/>
      <c r="C19" s="986"/>
      <c r="D19" s="635" t="s">
        <v>61</v>
      </c>
      <c r="E19" s="864"/>
      <c r="F19" s="374" t="str">
        <f>'Emissions Summary'!E26</f>
        <v>-</v>
      </c>
      <c r="G19" s="70"/>
      <c r="H19" s="376" t="str">
        <f>'Emissions Summary'!E26</f>
        <v>-</v>
      </c>
      <c r="I19" s="364"/>
      <c r="J19" s="20"/>
      <c r="K19" s="20"/>
      <c r="L19" s="20"/>
      <c r="M19" s="20"/>
      <c r="N19" s="20"/>
      <c r="O19" s="20"/>
    </row>
    <row r="20" spans="2:15" x14ac:dyDescent="0.2">
      <c r="B20" s="347"/>
      <c r="C20" s="633"/>
      <c r="D20" s="635" t="s">
        <v>62</v>
      </c>
      <c r="E20" s="634"/>
      <c r="F20" s="374" t="str">
        <f>'Emissions Summary'!E27</f>
        <v>-</v>
      </c>
      <c r="G20" s="70"/>
      <c r="H20" s="376" t="str">
        <f>'Emissions Summary'!E27</f>
        <v>-</v>
      </c>
      <c r="I20" s="364"/>
      <c r="J20" s="20"/>
      <c r="K20" s="20"/>
      <c r="L20" s="20"/>
      <c r="M20" s="20"/>
      <c r="N20" s="20"/>
      <c r="O20" s="20"/>
    </row>
    <row r="21" spans="2:15" x14ac:dyDescent="0.2">
      <c r="B21" s="347"/>
      <c r="C21" s="636" t="s">
        <v>647</v>
      </c>
      <c r="D21" s="810"/>
      <c r="E21" s="978"/>
      <c r="F21" s="374" t="str">
        <f>Location!F43</f>
        <v>C</v>
      </c>
      <c r="G21" s="87"/>
      <c r="H21" s="376" t="str">
        <f>Location!F43</f>
        <v>C</v>
      </c>
      <c r="I21" s="364"/>
      <c r="J21" s="20"/>
      <c r="K21" s="20"/>
      <c r="L21" s="20"/>
      <c r="M21" s="20"/>
      <c r="N21" s="20"/>
      <c r="O21" s="20"/>
    </row>
    <row r="22" spans="2:15" ht="26.25" customHeight="1" x14ac:dyDescent="0.2">
      <c r="B22" s="347"/>
      <c r="C22" s="840" t="s">
        <v>28</v>
      </c>
      <c r="D22" s="976"/>
      <c r="E22" s="977"/>
      <c r="F22" s="375" t="str">
        <f>'Op Perf'!I150</f>
        <v>B</v>
      </c>
      <c r="G22" s="87"/>
      <c r="H22" s="377" t="str">
        <f>'Op Perf'!I150</f>
        <v>B</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9:D9"/>
    <mergeCell ref="C22:E22"/>
    <mergeCell ref="D21:E21"/>
    <mergeCell ref="C14:D14"/>
    <mergeCell ref="E8:F8"/>
    <mergeCell ref="C12:D12"/>
    <mergeCell ref="C15:C19"/>
    <mergeCell ref="E15:E19"/>
    <mergeCell ref="C13:D13"/>
    <mergeCell ref="C10:D10"/>
    <mergeCell ref="C11:D11"/>
    <mergeCell ref="C3:F3"/>
    <mergeCell ref="C4:D4"/>
    <mergeCell ref="D5:E5"/>
    <mergeCell ref="D6:E6"/>
    <mergeCell ref="G8:H8"/>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zoomScaleNormal="100" workbookViewId="0">
      <selection activeCell="P27" sqref="P27"/>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49"/>
      <c r="C2" s="650"/>
      <c r="D2" s="650"/>
      <c r="E2" s="650"/>
      <c r="F2" s="650"/>
      <c r="G2" s="650"/>
      <c r="H2" s="650"/>
      <c r="I2" s="650"/>
      <c r="J2" s="650"/>
      <c r="K2" s="651"/>
    </row>
    <row r="3" spans="2:19" x14ac:dyDescent="0.2">
      <c r="B3" s="652"/>
      <c r="C3" s="296" t="s">
        <v>74</v>
      </c>
      <c r="D3" s="990" t="str">
        <f>Introduction!E8</f>
        <v>Tomlinson Dairies</v>
      </c>
      <c r="E3" s="991"/>
      <c r="F3" s="992" t="s">
        <v>72</v>
      </c>
      <c r="G3" s="990"/>
      <c r="H3" s="990" t="str">
        <f>Introduction!I8</f>
        <v>PPN-00061</v>
      </c>
      <c r="I3" s="991"/>
      <c r="J3" s="297"/>
      <c r="K3" s="442"/>
    </row>
    <row r="4" spans="2:19" x14ac:dyDescent="0.2">
      <c r="B4" s="653"/>
      <c r="C4" s="297"/>
      <c r="D4" s="297"/>
      <c r="E4" s="297"/>
      <c r="F4" s="297"/>
      <c r="G4" s="297"/>
      <c r="H4" s="297"/>
      <c r="I4" s="297"/>
      <c r="J4" s="297"/>
      <c r="K4" s="442"/>
      <c r="L4" s="52"/>
      <c r="M4" s="52"/>
      <c r="N4" s="52"/>
      <c r="O4" s="46"/>
      <c r="P4" s="46"/>
      <c r="Q4" s="46"/>
      <c r="R4" s="46"/>
      <c r="S4" s="46"/>
    </row>
    <row r="5" spans="2:19" ht="20.25" x14ac:dyDescent="0.3">
      <c r="B5" s="653"/>
      <c r="C5" s="298" t="s">
        <v>151</v>
      </c>
      <c r="D5" s="297"/>
      <c r="E5" s="297"/>
      <c r="F5" s="297"/>
      <c r="G5" s="297"/>
      <c r="H5" s="297"/>
      <c r="I5" s="297"/>
      <c r="J5" s="297"/>
      <c r="K5" s="442"/>
      <c r="L5" s="52"/>
      <c r="M5" s="52"/>
      <c r="N5" s="52"/>
      <c r="O5" s="46"/>
      <c r="P5" s="46"/>
      <c r="Q5" s="46"/>
      <c r="R5" s="46"/>
      <c r="S5" s="46"/>
    </row>
    <row r="6" spans="2:19" ht="15" x14ac:dyDescent="0.25">
      <c r="B6" s="653"/>
      <c r="C6" s="684" t="s">
        <v>150</v>
      </c>
      <c r="D6" s="297"/>
      <c r="E6" s="297"/>
      <c r="F6" s="297"/>
      <c r="G6" s="297"/>
      <c r="H6" s="297"/>
      <c r="I6" s="297"/>
      <c r="J6" s="297"/>
      <c r="K6" s="442"/>
      <c r="L6" s="52"/>
      <c r="M6" s="52"/>
      <c r="N6" s="52"/>
      <c r="O6" s="46"/>
      <c r="P6" s="46"/>
      <c r="Q6" s="46"/>
      <c r="R6" s="46"/>
      <c r="S6" s="46"/>
    </row>
    <row r="7" spans="2:19" ht="18" x14ac:dyDescent="0.25">
      <c r="B7" s="653"/>
      <c r="C7" s="299" t="s">
        <v>123</v>
      </c>
      <c r="D7" s="661"/>
      <c r="E7" s="662"/>
      <c r="F7" s="297"/>
      <c r="G7" s="297"/>
      <c r="H7" s="297"/>
      <c r="I7" s="297"/>
      <c r="J7" s="297"/>
      <c r="K7" s="442"/>
      <c r="L7" s="52"/>
      <c r="M7" s="52"/>
      <c r="N7" s="52"/>
      <c r="O7" s="46"/>
      <c r="P7" s="46"/>
      <c r="Q7" s="46"/>
      <c r="R7" s="46"/>
      <c r="S7" s="46"/>
    </row>
    <row r="8" spans="2:19" ht="13.5" thickBot="1" x14ac:dyDescent="0.25">
      <c r="B8" s="653"/>
      <c r="C8" s="297"/>
      <c r="D8" s="297"/>
      <c r="E8" s="297"/>
      <c r="F8" s="297"/>
      <c r="G8" s="297"/>
      <c r="H8" s="297"/>
      <c r="I8" s="297"/>
      <c r="J8" s="297"/>
      <c r="K8" s="442"/>
      <c r="L8" s="52"/>
      <c r="M8" s="52"/>
      <c r="N8" s="52"/>
      <c r="O8" s="46"/>
      <c r="P8" s="46"/>
      <c r="Q8" s="46"/>
      <c r="R8" s="46"/>
      <c r="S8" s="46"/>
    </row>
    <row r="9" spans="2:19" ht="26.25" thickBot="1" x14ac:dyDescent="0.25">
      <c r="B9" s="653"/>
      <c r="C9" s="301" t="s">
        <v>646</v>
      </c>
      <c r="D9" s="304" t="s">
        <v>596</v>
      </c>
      <c r="E9" s="305"/>
      <c r="F9" s="305" t="s">
        <v>590</v>
      </c>
      <c r="G9" s="306" t="s">
        <v>682</v>
      </c>
      <c r="H9" s="297"/>
      <c r="I9" s="297"/>
      <c r="J9" s="297"/>
      <c r="K9" s="442"/>
      <c r="L9" s="52"/>
      <c r="M9" s="52"/>
      <c r="N9" s="52"/>
      <c r="O9" s="46"/>
      <c r="P9" s="46"/>
      <c r="Q9" s="46"/>
      <c r="R9" s="46"/>
      <c r="S9" s="46"/>
    </row>
    <row r="10" spans="2:19" x14ac:dyDescent="0.2">
      <c r="B10" s="653"/>
      <c r="C10" s="302" t="s">
        <v>674</v>
      </c>
      <c r="D10" s="307" t="s">
        <v>652</v>
      </c>
      <c r="E10" s="639">
        <v>0</v>
      </c>
      <c r="F10" s="308">
        <f>HLOOKUP(D10,Lookup!$C$5:$G$13,2,FALSE)</f>
        <v>2</v>
      </c>
      <c r="G10" s="628">
        <f t="shared" ref="G10:G16" si="0">E10*F10</f>
        <v>0</v>
      </c>
      <c r="H10" s="297"/>
      <c r="I10" s="297"/>
      <c r="J10" s="297"/>
      <c r="K10" s="442"/>
      <c r="L10" s="52"/>
      <c r="M10" s="52"/>
      <c r="N10" s="52"/>
      <c r="O10" s="46"/>
      <c r="P10" s="46"/>
      <c r="Q10" s="46"/>
      <c r="R10" s="46"/>
      <c r="S10" s="46"/>
    </row>
    <row r="11" spans="2:19" x14ac:dyDescent="0.2">
      <c r="B11" s="653"/>
      <c r="C11" s="302"/>
      <c r="D11" s="307" t="s">
        <v>653</v>
      </c>
      <c r="E11" s="640">
        <v>1</v>
      </c>
      <c r="F11" s="308">
        <f>HLOOKUP(D11,Lookup!$C$5:$G$13,2,FALSE)</f>
        <v>15</v>
      </c>
      <c r="G11" s="628">
        <f t="shared" si="0"/>
        <v>15</v>
      </c>
      <c r="H11" s="297"/>
      <c r="I11" s="297"/>
      <c r="J11" s="297"/>
      <c r="K11" s="442"/>
      <c r="L11" s="52"/>
      <c r="M11" s="52"/>
      <c r="N11" s="52"/>
      <c r="O11" s="46"/>
      <c r="P11" s="46"/>
      <c r="Q11" s="46"/>
      <c r="R11" s="46"/>
      <c r="S11" s="46"/>
    </row>
    <row r="12" spans="2:19" x14ac:dyDescent="0.2">
      <c r="B12" s="653"/>
      <c r="C12" s="302"/>
      <c r="D12" s="307" t="s">
        <v>649</v>
      </c>
      <c r="E12" s="640">
        <v>0</v>
      </c>
      <c r="F12" s="308">
        <f>HLOOKUP(D12,Lookup!$C$5:$G$13,2,FALSE)</f>
        <v>45</v>
      </c>
      <c r="G12" s="628">
        <f t="shared" si="0"/>
        <v>0</v>
      </c>
      <c r="H12" s="297"/>
      <c r="I12" s="297"/>
      <c r="J12" s="297"/>
      <c r="K12" s="442"/>
      <c r="L12" s="52"/>
      <c r="M12" s="52"/>
      <c r="N12" s="52"/>
      <c r="O12" s="46"/>
      <c r="P12" s="46"/>
      <c r="Q12" s="46"/>
      <c r="R12" s="46"/>
      <c r="S12" s="46"/>
    </row>
    <row r="13" spans="2:19" x14ac:dyDescent="0.2">
      <c r="B13" s="653"/>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3"/>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3"/>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3"/>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3"/>
      <c r="C17" s="302" t="s">
        <v>675</v>
      </c>
      <c r="D17" s="637" t="s">
        <v>174</v>
      </c>
      <c r="E17" s="309"/>
      <c r="F17" s="309"/>
      <c r="G17" s="628">
        <f>IF(OR(D17="-",D17="",D17=0,D17="0"),0,HLOOKUP(D17,Lookup!$C$5:$G$13,3,FALSE))</f>
        <v>0</v>
      </c>
      <c r="H17" s="297"/>
      <c r="I17" s="297"/>
      <c r="J17" s="297"/>
      <c r="K17" s="442"/>
      <c r="L17" s="52"/>
      <c r="M17" s="52"/>
      <c r="N17" s="52"/>
      <c r="O17" s="46"/>
      <c r="P17" s="46"/>
      <c r="Q17" s="46"/>
      <c r="R17" s="46"/>
      <c r="S17" s="46"/>
    </row>
    <row r="18" spans="2:19" x14ac:dyDescent="0.2">
      <c r="B18" s="653"/>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3"/>
      <c r="C19" s="302" t="s">
        <v>677</v>
      </c>
      <c r="D19" s="637" t="s">
        <v>174</v>
      </c>
      <c r="E19" s="309"/>
      <c r="F19" s="309"/>
      <c r="G19" s="628">
        <f>IF(OR(D19="-",D19="",D19=0,D19="0"),0,HLOOKUP(D19,Lookup!$C$5:$G$13,5,FALSE))</f>
        <v>0</v>
      </c>
      <c r="H19" s="297"/>
      <c r="I19" s="297"/>
      <c r="J19" s="297"/>
      <c r="K19" s="442"/>
      <c r="L19" s="52"/>
      <c r="M19" s="52"/>
      <c r="N19" s="52"/>
      <c r="O19" s="46"/>
      <c r="P19" s="46"/>
      <c r="Q19" s="46"/>
      <c r="R19" s="46"/>
      <c r="S19" s="46"/>
    </row>
    <row r="20" spans="2:19" x14ac:dyDescent="0.2">
      <c r="B20" s="653"/>
      <c r="C20" s="302" t="s">
        <v>717</v>
      </c>
      <c r="D20" s="637" t="s">
        <v>652</v>
      </c>
      <c r="E20" s="309"/>
      <c r="F20" s="309"/>
      <c r="G20" s="628">
        <f>IF(OR(D20="-",D20="",D20=0,D20="0"),0,HLOOKUP(D20,Lookup!$C$5:$G$13,8,FALSE))</f>
        <v>1</v>
      </c>
      <c r="H20" s="297"/>
      <c r="I20" s="297"/>
      <c r="J20" s="297"/>
      <c r="K20" s="442"/>
      <c r="L20" s="52"/>
      <c r="M20" s="52"/>
      <c r="N20" s="52"/>
      <c r="O20" s="46"/>
      <c r="P20" s="46"/>
      <c r="Q20" s="46"/>
      <c r="R20" s="46"/>
      <c r="S20" s="46"/>
    </row>
    <row r="21" spans="2:19" x14ac:dyDescent="0.2">
      <c r="B21" s="653"/>
      <c r="C21" s="302" t="s">
        <v>58</v>
      </c>
      <c r="D21" s="637" t="s">
        <v>174</v>
      </c>
      <c r="E21" s="309"/>
      <c r="F21" s="309"/>
      <c r="G21" s="628">
        <f>IF(OR(D21="-",D21="",D21=0,D21="0"),0,HLOOKUP(D21,Lookup!$C$5:$G$13,8,FALSE))</f>
        <v>0</v>
      </c>
      <c r="H21" s="297"/>
      <c r="I21" s="297"/>
      <c r="J21" s="297"/>
      <c r="K21" s="442"/>
      <c r="L21" s="52"/>
      <c r="M21" s="52"/>
      <c r="N21" s="52"/>
      <c r="O21" s="46"/>
      <c r="P21" s="46"/>
      <c r="Q21" s="46"/>
      <c r="R21" s="46"/>
      <c r="S21" s="46"/>
    </row>
    <row r="22" spans="2:19" x14ac:dyDescent="0.2">
      <c r="B22" s="653"/>
      <c r="C22" s="302" t="s">
        <v>63</v>
      </c>
      <c r="D22" s="637" t="s">
        <v>174</v>
      </c>
      <c r="E22" s="309"/>
      <c r="F22" s="309"/>
      <c r="G22" s="628">
        <f>IF(OR(D22="-",D22="",D22=0,D22="0"),0,HLOOKUP(D22,Lookup!$C$5:$G$13,5,FALSE))</f>
        <v>0</v>
      </c>
      <c r="H22" s="297"/>
      <c r="I22" s="297"/>
      <c r="J22" s="297"/>
      <c r="K22" s="442"/>
      <c r="L22" s="52"/>
      <c r="M22" s="52"/>
      <c r="N22" s="52"/>
      <c r="O22" s="46"/>
      <c r="P22" s="46"/>
      <c r="Q22" s="46"/>
      <c r="R22" s="46"/>
      <c r="S22" s="46"/>
    </row>
    <row r="23" spans="2:19" x14ac:dyDescent="0.2">
      <c r="B23" s="653"/>
      <c r="C23" s="302" t="s">
        <v>647</v>
      </c>
      <c r="D23" s="637" t="s">
        <v>649</v>
      </c>
      <c r="E23" s="309"/>
      <c r="F23" s="309"/>
      <c r="G23" s="628">
        <f>IF(OR(D23="-",D23="",D23=0,D23="0"),0,HLOOKUP(D23,Lookup!$C$5:$G$13,6,FALSE))</f>
        <v>20</v>
      </c>
      <c r="H23" s="297"/>
      <c r="I23" s="297"/>
      <c r="J23" s="297"/>
      <c r="K23" s="442"/>
      <c r="L23" s="52"/>
      <c r="M23" s="52"/>
      <c r="N23" s="52"/>
      <c r="O23" s="46"/>
      <c r="P23" s="46"/>
      <c r="Q23" s="46"/>
      <c r="R23" s="46"/>
      <c r="S23" s="46"/>
    </row>
    <row r="24" spans="2:19" ht="13.5" thickBot="1" x14ac:dyDescent="0.25">
      <c r="B24" s="653"/>
      <c r="C24" s="303" t="s">
        <v>28</v>
      </c>
      <c r="D24" s="638" t="s">
        <v>653</v>
      </c>
      <c r="E24" s="310"/>
      <c r="F24" s="310"/>
      <c r="G24" s="629">
        <f>IF(OR(D24="-",D24="",D24=0,D24="0"),0,HLOOKUP(D24,Lookup!$C$5:$G$13,7,FALSE))</f>
        <v>25</v>
      </c>
      <c r="H24" s="297"/>
      <c r="I24" s="297"/>
      <c r="J24" s="297"/>
      <c r="K24" s="442"/>
      <c r="L24" s="52"/>
      <c r="M24" s="52"/>
      <c r="N24" s="52"/>
      <c r="O24" s="46"/>
      <c r="P24" s="46"/>
      <c r="Q24" s="46"/>
      <c r="R24" s="46"/>
      <c r="S24" s="46"/>
    </row>
    <row r="25" spans="2:19" ht="13.5" thickBot="1" x14ac:dyDescent="0.25">
      <c r="B25" s="653"/>
      <c r="C25" s="297"/>
      <c r="D25" s="993" t="s">
        <v>352</v>
      </c>
      <c r="E25" s="994"/>
      <c r="F25" s="995"/>
      <c r="G25" s="630">
        <f>SUM(G10:G14,G17:G24)</f>
        <v>61</v>
      </c>
      <c r="H25" s="297"/>
      <c r="I25" s="297"/>
      <c r="J25" s="297"/>
      <c r="K25" s="442"/>
      <c r="L25" s="52"/>
      <c r="M25" s="52"/>
      <c r="N25" s="52"/>
      <c r="O25" s="46"/>
      <c r="P25" s="46"/>
      <c r="Q25" s="46"/>
      <c r="R25" s="46"/>
      <c r="S25" s="46"/>
    </row>
    <row r="26" spans="2:19" ht="13.5" thickBot="1" x14ac:dyDescent="0.25">
      <c r="B26" s="653"/>
      <c r="C26" s="297"/>
      <c r="D26" s="297"/>
      <c r="E26" s="297"/>
      <c r="F26" s="297"/>
      <c r="G26" s="297"/>
      <c r="H26" s="300"/>
      <c r="I26" s="297"/>
      <c r="J26" s="297"/>
      <c r="K26" s="442"/>
      <c r="L26" s="52"/>
      <c r="M26" s="52"/>
      <c r="N26" s="52"/>
      <c r="O26" s="46"/>
      <c r="P26" s="46"/>
      <c r="Q26" s="46"/>
      <c r="R26" s="46"/>
      <c r="S26" s="46"/>
    </row>
    <row r="27" spans="2:19" ht="18" customHeight="1" x14ac:dyDescent="0.2">
      <c r="B27" s="653"/>
      <c r="C27" s="703" t="s">
        <v>923</v>
      </c>
      <c r="D27" s="297"/>
      <c r="E27" s="297"/>
      <c r="F27" s="1003" t="s">
        <v>240</v>
      </c>
      <c r="G27" s="1004"/>
      <c r="H27" s="1004"/>
      <c r="I27" s="1004"/>
      <c r="J27" s="1005"/>
      <c r="K27" s="442"/>
      <c r="L27" s="52"/>
      <c r="M27" s="52"/>
      <c r="N27" s="52"/>
      <c r="O27" s="46"/>
      <c r="P27" s="46"/>
      <c r="Q27" s="46"/>
      <c r="R27" s="46"/>
      <c r="S27" s="46"/>
    </row>
    <row r="28" spans="2:19" ht="18" customHeight="1" x14ac:dyDescent="0.25">
      <c r="B28" s="653"/>
      <c r="C28" s="643" t="s">
        <v>921</v>
      </c>
      <c r="D28" s="644">
        <f>Mult_App*Total_EP_OPRA_score1</f>
        <v>12566</v>
      </c>
      <c r="E28" s="297"/>
      <c r="F28" s="1006" t="s">
        <v>354</v>
      </c>
      <c r="G28" s="1007"/>
      <c r="H28" s="1007"/>
      <c r="I28" s="1007"/>
      <c r="J28" s="1008"/>
      <c r="K28" s="442"/>
      <c r="L28" s="52"/>
      <c r="M28" s="52"/>
      <c r="N28" s="52"/>
      <c r="O28" s="46"/>
      <c r="P28" s="46"/>
      <c r="Q28" s="46"/>
      <c r="R28" s="46"/>
      <c r="S28" s="46"/>
    </row>
    <row r="29" spans="2:19" x14ac:dyDescent="0.2">
      <c r="B29" s="653"/>
      <c r="C29" s="645"/>
      <c r="D29" s="646"/>
      <c r="E29" s="297"/>
      <c r="F29" s="1009"/>
      <c r="G29" s="1007"/>
      <c r="H29" s="1007"/>
      <c r="I29" s="1007"/>
      <c r="J29" s="1008"/>
      <c r="K29" s="442"/>
      <c r="L29" s="52"/>
      <c r="M29" s="52"/>
      <c r="N29" s="52"/>
      <c r="O29" s="46"/>
      <c r="P29" s="46"/>
      <c r="Q29" s="46"/>
      <c r="R29" s="46"/>
      <c r="S29" s="46"/>
    </row>
    <row r="30" spans="2:19" ht="15.75" x14ac:dyDescent="0.25">
      <c r="B30" s="653"/>
      <c r="C30" s="647" t="s">
        <v>922</v>
      </c>
      <c r="D30" s="648">
        <f>Mult_Subs*Total_EP_OPRA_score1</f>
        <v>6100</v>
      </c>
      <c r="E30" s="297"/>
      <c r="F30" s="1009"/>
      <c r="G30" s="1007"/>
      <c r="H30" s="1007"/>
      <c r="I30" s="1007"/>
      <c r="J30" s="1008"/>
      <c r="K30" s="442"/>
      <c r="L30" s="52"/>
      <c r="M30" s="52"/>
      <c r="N30" s="52"/>
      <c r="O30" s="46"/>
      <c r="P30" s="46"/>
      <c r="Q30" s="46"/>
      <c r="R30" s="46"/>
      <c r="S30" s="46"/>
    </row>
    <row r="31" spans="2:19" ht="13.5" thickBot="1" x14ac:dyDescent="0.25">
      <c r="B31" s="653"/>
      <c r="C31" s="645"/>
      <c r="D31" s="648"/>
      <c r="E31" s="297"/>
      <c r="F31" s="1010"/>
      <c r="G31" s="1011"/>
      <c r="H31" s="1011"/>
      <c r="I31" s="1011"/>
      <c r="J31" s="1012"/>
      <c r="K31" s="442"/>
      <c r="L31" s="52"/>
      <c r="M31" s="52"/>
      <c r="N31" s="52"/>
      <c r="O31" s="46"/>
      <c r="P31" s="46"/>
      <c r="Q31" s="46"/>
      <c r="R31" s="46"/>
      <c r="S31" s="46"/>
    </row>
    <row r="32" spans="2:19" ht="14.25" customHeight="1" x14ac:dyDescent="0.25">
      <c r="B32" s="653"/>
      <c r="C32" s="647" t="s">
        <v>383</v>
      </c>
      <c r="D32" s="648">
        <f>Mult_SubsVar*Total_EP_OPRA_score1</f>
        <v>6893</v>
      </c>
      <c r="E32" s="297"/>
      <c r="F32" s="297"/>
      <c r="G32" s="297"/>
      <c r="H32" s="297"/>
      <c r="I32" s="297"/>
      <c r="J32" s="297"/>
      <c r="K32" s="442"/>
      <c r="L32" s="52"/>
      <c r="M32" s="52"/>
      <c r="N32" s="52"/>
      <c r="O32" s="46"/>
      <c r="P32" s="46"/>
      <c r="Q32" s="46"/>
      <c r="R32" s="46"/>
      <c r="S32" s="46"/>
    </row>
    <row r="33" spans="2:19" ht="14.25" customHeight="1" x14ac:dyDescent="0.2">
      <c r="B33" s="653"/>
      <c r="C33" s="645"/>
      <c r="D33" s="648"/>
      <c r="E33" s="297"/>
      <c r="F33" s="999" t="s">
        <v>353</v>
      </c>
      <c r="G33" s="1000"/>
      <c r="H33" s="1000"/>
      <c r="I33" s="1001"/>
      <c r="J33" s="297"/>
      <c r="K33" s="442"/>
      <c r="L33" s="46"/>
      <c r="M33" s="46"/>
      <c r="N33" s="704" t="s">
        <v>654</v>
      </c>
      <c r="O33" s="46"/>
      <c r="P33" s="46"/>
      <c r="Q33" s="46"/>
      <c r="R33" s="46"/>
      <c r="S33" s="46"/>
    </row>
    <row r="34" spans="2:19" ht="14.25" customHeight="1" x14ac:dyDescent="0.25">
      <c r="B34" s="653"/>
      <c r="C34" s="647" t="s">
        <v>237</v>
      </c>
      <c r="D34" s="648">
        <f>Mult_StanVar*Total_EP_OPRA_score1</f>
        <v>3477</v>
      </c>
      <c r="E34" s="297"/>
      <c r="F34" s="1002" t="s">
        <v>680</v>
      </c>
      <c r="G34" s="1002"/>
      <c r="H34" s="1002"/>
      <c r="I34" s="669">
        <v>206</v>
      </c>
      <c r="J34" s="297"/>
      <c r="K34" s="442"/>
      <c r="L34" s="46"/>
      <c r="M34" s="46"/>
      <c r="N34" s="45">
        <v>206</v>
      </c>
      <c r="O34" s="46">
        <v>201</v>
      </c>
      <c r="P34" s="46"/>
      <c r="Q34" s="46"/>
      <c r="R34" s="46"/>
      <c r="S34" s="46"/>
    </row>
    <row r="35" spans="2:19" ht="14.25" customHeight="1" x14ac:dyDescent="0.2">
      <c r="B35" s="653"/>
      <c r="C35" s="645"/>
      <c r="D35" s="648"/>
      <c r="E35" s="297"/>
      <c r="F35" s="1002" t="s">
        <v>681</v>
      </c>
      <c r="G35" s="1002"/>
      <c r="H35" s="1002"/>
      <c r="I35" s="669">
        <v>100</v>
      </c>
      <c r="J35" s="297"/>
      <c r="K35" s="442"/>
      <c r="L35" s="46"/>
      <c r="M35" s="46"/>
      <c r="N35" s="45">
        <v>101</v>
      </c>
      <c r="O35" s="46">
        <v>98</v>
      </c>
      <c r="P35" s="46"/>
      <c r="Q35" s="46"/>
      <c r="R35" s="46"/>
      <c r="S35" s="46"/>
    </row>
    <row r="36" spans="2:19" ht="14.25" customHeight="1" x14ac:dyDescent="0.25">
      <c r="B36" s="653"/>
      <c r="C36" s="647" t="s">
        <v>697</v>
      </c>
      <c r="D36" s="648">
        <f>Mult_PartSur*Total_EP_OPRA_score1</f>
        <v>5978</v>
      </c>
      <c r="E36" s="297"/>
      <c r="F36" s="1002" t="s">
        <v>383</v>
      </c>
      <c r="G36" s="1002"/>
      <c r="H36" s="1002"/>
      <c r="I36" s="669">
        <v>113</v>
      </c>
      <c r="J36" s="297"/>
      <c r="K36" s="442"/>
      <c r="L36" s="46"/>
      <c r="M36" s="46"/>
      <c r="N36" s="45">
        <v>113</v>
      </c>
      <c r="O36" s="46">
        <v>110</v>
      </c>
      <c r="P36" s="46"/>
      <c r="Q36" s="46"/>
      <c r="R36" s="46"/>
      <c r="S36" s="46"/>
    </row>
    <row r="37" spans="2:19" ht="14.25" customHeight="1" x14ac:dyDescent="0.25">
      <c r="B37" s="653"/>
      <c r="C37" s="647"/>
      <c r="D37" s="648"/>
      <c r="E37" s="297"/>
      <c r="F37" s="1002" t="s">
        <v>237</v>
      </c>
      <c r="G37" s="1002"/>
      <c r="H37" s="1002"/>
      <c r="I37" s="669">
        <v>57</v>
      </c>
      <c r="J37" s="297"/>
      <c r="K37" s="442"/>
      <c r="L37" s="46"/>
      <c r="M37" s="46"/>
      <c r="N37" s="45">
        <v>58</v>
      </c>
      <c r="O37" s="46">
        <v>56</v>
      </c>
      <c r="P37" s="46"/>
      <c r="Q37" s="46"/>
      <c r="R37" s="46"/>
      <c r="S37" s="46"/>
    </row>
    <row r="38" spans="2:19" ht="14.25" customHeight="1" x14ac:dyDescent="0.25">
      <c r="B38" s="653"/>
      <c r="C38" s="647" t="s">
        <v>696</v>
      </c>
      <c r="D38" s="648">
        <f>Mult_FullSur*Total_EP_OPRA_score1</f>
        <v>7747</v>
      </c>
      <c r="E38" s="297"/>
      <c r="F38" s="996" t="s">
        <v>697</v>
      </c>
      <c r="G38" s="997"/>
      <c r="H38" s="998"/>
      <c r="I38" s="669">
        <v>98</v>
      </c>
      <c r="J38" s="297"/>
      <c r="K38" s="442"/>
      <c r="L38" s="46"/>
      <c r="M38" s="46"/>
      <c r="N38" s="45">
        <v>99</v>
      </c>
      <c r="O38" s="46">
        <v>96</v>
      </c>
      <c r="P38" s="46"/>
      <c r="Q38" s="46"/>
      <c r="R38" s="46"/>
      <c r="S38" s="46"/>
    </row>
    <row r="39" spans="2:19" ht="14.25" customHeight="1" x14ac:dyDescent="0.2">
      <c r="B39" s="653"/>
      <c r="C39" s="645"/>
      <c r="D39" s="646"/>
      <c r="E39" s="297"/>
      <c r="F39" s="996" t="s">
        <v>696</v>
      </c>
      <c r="G39" s="997"/>
      <c r="H39" s="998"/>
      <c r="I39" s="675">
        <v>127</v>
      </c>
      <c r="J39" s="297"/>
      <c r="K39" s="442"/>
      <c r="L39" s="46"/>
      <c r="M39" s="46"/>
      <c r="N39" s="45">
        <v>127</v>
      </c>
      <c r="O39" s="46">
        <v>124</v>
      </c>
      <c r="P39" s="46"/>
      <c r="Q39" s="46"/>
      <c r="R39" s="46"/>
      <c r="S39" s="46"/>
    </row>
    <row r="40" spans="2:19" ht="15.75" x14ac:dyDescent="0.25">
      <c r="B40" s="653"/>
      <c r="C40" s="658" t="s">
        <v>735</v>
      </c>
      <c r="D40" s="657">
        <f>Mult_Closure*Total_EP_OPRA_score1</f>
        <v>0</v>
      </c>
      <c r="E40" s="297"/>
      <c r="F40" s="996" t="s">
        <v>736</v>
      </c>
      <c r="G40" s="997"/>
      <c r="H40" s="998"/>
      <c r="I40" s="670"/>
      <c r="J40" s="297"/>
      <c r="K40" s="442"/>
      <c r="L40" s="46"/>
      <c r="M40" s="46"/>
      <c r="N40" s="46"/>
      <c r="O40" s="46"/>
      <c r="P40" s="46"/>
      <c r="Q40" s="46"/>
      <c r="R40" s="46"/>
      <c r="S40" s="46"/>
    </row>
    <row r="41" spans="2:19" x14ac:dyDescent="0.2">
      <c r="B41" s="653"/>
      <c r="C41" s="676"/>
      <c r="D41" s="297"/>
      <c r="E41" s="297"/>
      <c r="F41" s="297"/>
      <c r="G41" s="297"/>
      <c r="H41" s="297"/>
      <c r="I41" s="297"/>
      <c r="J41" s="297"/>
      <c r="K41" s="442"/>
      <c r="L41" s="46"/>
      <c r="M41" s="46"/>
      <c r="N41" s="46"/>
      <c r="O41" s="46"/>
      <c r="P41" s="46"/>
      <c r="Q41" s="46"/>
      <c r="R41" s="46"/>
      <c r="S41" s="46"/>
    </row>
    <row r="42" spans="2:19" ht="13.5" thickBot="1" x14ac:dyDescent="0.25">
      <c r="B42" s="654"/>
      <c r="C42" s="677" t="s">
        <v>64</v>
      </c>
      <c r="D42" s="655"/>
      <c r="E42" s="655"/>
      <c r="F42" s="655"/>
      <c r="G42" s="655"/>
      <c r="H42" s="655"/>
      <c r="I42" s="655"/>
      <c r="J42" s="655"/>
      <c r="K42" s="656"/>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algorithmName="SHA-512" hashValue="Qw041J7YlDsaoXkRvvwiRxiCSk4oBNgQBBAPltrKtr5D2wROYZ3QDkHUhDgWVLQiG1RSlc4mXwMk8wWHWPkZzw==" saltValue="hFNU057s6R79/RCd9lOjZA=="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939</v>
      </c>
      <c r="D2" s="607"/>
      <c r="E2" s="607"/>
      <c r="F2" s="607"/>
      <c r="G2" s="608"/>
    </row>
    <row r="3" spans="2:7" x14ac:dyDescent="0.2">
      <c r="B3" s="595"/>
      <c r="C3" s="596"/>
      <c r="D3" s="596"/>
      <c r="E3" s="596"/>
      <c r="F3" s="596"/>
      <c r="G3" s="597"/>
    </row>
    <row r="4" spans="2:7" ht="26.25" customHeight="1" x14ac:dyDescent="0.2">
      <c r="B4" s="598"/>
      <c r="C4" s="610" t="s">
        <v>644</v>
      </c>
      <c r="D4" s="609" t="s">
        <v>938</v>
      </c>
      <c r="E4" s="610" t="s">
        <v>941</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945</v>
      </c>
      <c r="F10" s="616">
        <f>IF(F5&amp;F6&amp;F7&amp;F8 = "----","-",SUM(F5:F8))</f>
        <v>0</v>
      </c>
      <c r="G10" s="600"/>
    </row>
    <row r="11" spans="2:7" x14ac:dyDescent="0.2">
      <c r="B11" s="598"/>
      <c r="C11" s="599"/>
      <c r="D11" s="599"/>
      <c r="E11" s="599"/>
      <c r="F11" s="599"/>
      <c r="G11" s="600"/>
    </row>
    <row r="12" spans="2:7" x14ac:dyDescent="0.2">
      <c r="B12" s="598"/>
      <c r="C12" s="599"/>
      <c r="D12" s="632" t="s">
        <v>940</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7">
        <f>IF(F10="-",1,HLOOKUP(F12,Lookup!$C$5:$H$14,10,FALSE))</f>
        <v>0.95</v>
      </c>
      <c r="G14" s="600"/>
    </row>
    <row r="15" spans="2:7" ht="15" customHeight="1" thickBot="1" x14ac:dyDescent="0.25">
      <c r="B15" s="618" t="s">
        <v>942</v>
      </c>
      <c r="C15" s="603"/>
      <c r="D15" s="603"/>
      <c r="E15" s="603"/>
      <c r="F15" s="603"/>
      <c r="G15" s="604"/>
    </row>
    <row r="16" spans="2:7" ht="13.5" thickBot="1" x14ac:dyDescent="0.25"/>
    <row r="17" spans="2:4" x14ac:dyDescent="0.2">
      <c r="B17" s="623" t="s">
        <v>355</v>
      </c>
      <c r="C17" s="596"/>
      <c r="D17" s="597"/>
    </row>
    <row r="18" spans="2:4" x14ac:dyDescent="0.2">
      <c r="B18" s="598" t="s">
        <v>943</v>
      </c>
      <c r="C18" s="599"/>
      <c r="D18" s="624">
        <f>Total_EP_OPRA_score1</f>
        <v>61</v>
      </c>
    </row>
    <row r="19" spans="2:4" x14ac:dyDescent="0.2">
      <c r="B19" s="598" t="s">
        <v>944</v>
      </c>
      <c r="C19" s="599"/>
      <c r="D19" s="624">
        <f>D18*F14</f>
        <v>57.949999999999996</v>
      </c>
    </row>
    <row r="20" spans="2:4" ht="13.5" thickBot="1" x14ac:dyDescent="0.25">
      <c r="B20" s="602"/>
      <c r="C20" s="603"/>
      <c r="D20" s="604"/>
    </row>
    <row r="21" spans="2:4" ht="16.5" thickBot="1" x14ac:dyDescent="0.3">
      <c r="B21" s="620" t="s">
        <v>684</v>
      </c>
      <c r="C21" s="621"/>
      <c r="D21" s="622">
        <f>Mult_Subs*D19</f>
        <v>5795</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Tomlinson Dairies</v>
      </c>
      <c r="E6" s="429" t="s">
        <v>85</v>
      </c>
      <c r="F6" s="431" t="str">
        <f>CONCATENATE(C6,D6,E6)</f>
        <v>&lt;organisationName&gt;Tomlinson Dairies&lt;/organisationName&gt;</v>
      </c>
    </row>
    <row r="7" spans="1:6" x14ac:dyDescent="0.2">
      <c r="B7" s="429" t="s">
        <v>71</v>
      </c>
      <c r="C7" s="429" t="s">
        <v>78</v>
      </c>
      <c r="D7" s="430" t="str">
        <f>Introduction!I8</f>
        <v>PPN-00061</v>
      </c>
      <c r="E7" s="429" t="s">
        <v>79</v>
      </c>
      <c r="F7" s="431" t="str">
        <f t="shared" ref="F7:F18" si="0">CONCATENATE(C7,D7,E7)</f>
        <v>&lt;caseNumber&gt;PPN-00061&lt;/caseNumber&gt;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x14ac:dyDescent="0.2">
      <c r="B11" s="431" t="s">
        <v>14</v>
      </c>
      <c r="C11" s="431" t="s">
        <v>82</v>
      </c>
      <c r="D11" s="432" t="str">
        <f>'Listed Activities'!D8</f>
        <v>Milk Processing.8</v>
      </c>
      <c r="E11" s="431" t="s">
        <v>86</v>
      </c>
      <c r="F11" s="431" t="str">
        <f t="shared" si="0"/>
        <v>&lt;actDescript&gt;Milk Processing.8&lt;/actDescript&gt;</v>
      </c>
    </row>
    <row r="12" spans="1:6" s="431" customFormat="1" x14ac:dyDescent="0.2">
      <c r="B12" s="431" t="s">
        <v>15</v>
      </c>
      <c r="C12" s="431" t="s">
        <v>41</v>
      </c>
      <c r="D12" s="432">
        <f>'Listed Activities'!G8</f>
        <v>142</v>
      </c>
      <c r="E12" s="431" t="s">
        <v>42</v>
      </c>
      <c r="F12" s="431" t="str">
        <f t="shared" si="0"/>
        <v>&lt;actId&gt;142&lt;/actId&gt;</v>
      </c>
    </row>
    <row r="13" spans="1:6" s="431" customFormat="1" x14ac:dyDescent="0.2">
      <c r="B13" s="431" t="s">
        <v>21</v>
      </c>
      <c r="C13" s="431" t="s">
        <v>83</v>
      </c>
      <c r="D13" s="432" t="str">
        <f>UPPER('Listed Activities'!F8)</f>
        <v>B</v>
      </c>
      <c r="E13" s="431" t="s">
        <v>87</v>
      </c>
      <c r="F13" s="431" t="str">
        <f t="shared" si="0"/>
        <v>&lt;actComplexity&gt;B&lt;/actComplexity&gt;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x14ac:dyDescent="0.2">
      <c r="B16" s="429" t="s">
        <v>14</v>
      </c>
      <c r="C16" s="429" t="s">
        <v>82</v>
      </c>
      <c r="D16" s="430">
        <f>'Listed Activities'!D9</f>
        <v>0</v>
      </c>
      <c r="E16" s="429" t="s">
        <v>86</v>
      </c>
      <c r="F16" s="429" t="str">
        <f t="shared" si="0"/>
        <v>&lt;actDescript&gt;0&lt;/actDescript&gt;</v>
      </c>
    </row>
    <row r="17" spans="1:6" x14ac:dyDescent="0.2">
      <c r="B17" s="429" t="s">
        <v>15</v>
      </c>
      <c r="C17" s="429" t="s">
        <v>41</v>
      </c>
      <c r="D17" s="430">
        <f>'Listed Activities'!G9</f>
        <v>0</v>
      </c>
      <c r="E17" s="429" t="s">
        <v>42</v>
      </c>
      <c r="F17" s="429" t="str">
        <f t="shared" si="0"/>
        <v>&lt;actId&gt;0&lt;/actId&gt;</v>
      </c>
    </row>
    <row r="18" spans="1:6" x14ac:dyDescent="0.2">
      <c r="B18" s="429" t="s">
        <v>21</v>
      </c>
      <c r="C18" s="429" t="s">
        <v>83</v>
      </c>
      <c r="D18" s="430" t="str">
        <f>UPPER('Listed Activities'!F9)</f>
        <v/>
      </c>
      <c r="E18" s="429" t="s">
        <v>87</v>
      </c>
      <c r="F18" s="429" t="str">
        <f t="shared" si="0"/>
        <v>&lt;actComplexity&gt;&lt;/actComplexity&gt;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0</v>
      </c>
      <c r="E352" s="431" t="s">
        <v>242</v>
      </c>
      <c r="F352" s="431" t="str">
        <f>CONCATENATE(C352,D352,E352)</f>
        <v>&lt;number&gt;0&lt;/number&gt;</v>
      </c>
    </row>
    <row r="353" spans="2:6" s="431" customFormat="1" x14ac:dyDescent="0.2">
      <c r="C353" s="431" t="s">
        <v>194</v>
      </c>
      <c r="D353" s="432">
        <f>Calculation!G10</f>
        <v>0</v>
      </c>
      <c r="E353" s="431" t="s">
        <v>195</v>
      </c>
      <c r="F353" s="431" t="str">
        <f>CONCATENATE(C353,D353,E353)</f>
        <v>&lt;score&gt;0&lt;/score&gt;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1</v>
      </c>
      <c r="E356" s="429" t="s">
        <v>242</v>
      </c>
      <c r="F356" s="434" t="str">
        <f>CONCATENATE(C356,D356,E356)</f>
        <v>&lt;number&gt;1&lt;/number&gt;</v>
      </c>
    </row>
    <row r="357" spans="2:6" x14ac:dyDescent="0.2">
      <c r="C357" s="429" t="s">
        <v>194</v>
      </c>
      <c r="D357" s="430">
        <f>Calculation!G11</f>
        <v>15</v>
      </c>
      <c r="E357" s="429" t="s">
        <v>195</v>
      </c>
      <c r="F357" s="431" t="str">
        <f>CONCATENATE(C357,D357,E357)</f>
        <v>&lt;score&gt;15&lt;/score&gt;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0</v>
      </c>
      <c r="E360" s="429" t="s">
        <v>242</v>
      </c>
      <c r="F360" s="434" t="str">
        <f>CONCATENATE(C360,D360,E360)</f>
        <v>&lt;number&gt;0&lt;/number&gt;</v>
      </c>
    </row>
    <row r="361" spans="2:6" s="431" customFormat="1" x14ac:dyDescent="0.2">
      <c r="C361" s="431" t="s">
        <v>194</v>
      </c>
      <c r="D361" s="432">
        <f>Calculation!G12</f>
        <v>0</v>
      </c>
      <c r="E361" s="429" t="s">
        <v>195</v>
      </c>
      <c r="F361" s="431" t="str">
        <f>CONCATENATE(C361,D361,E361)</f>
        <v>&lt;score&gt;0&lt;/score&gt;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v>
      </c>
      <c r="E380" s="429" t="s">
        <v>244</v>
      </c>
      <c r="F380" s="434" t="str">
        <f>CONCATENATE(C380,D380,E380)</f>
        <v>&lt;band&gt;-&lt;/band&gt;</v>
      </c>
    </row>
    <row r="381" spans="2:6" x14ac:dyDescent="0.2">
      <c r="C381" s="429" t="s">
        <v>194</v>
      </c>
      <c r="D381" s="435">
        <f>Calculation!G19</f>
        <v>0</v>
      </c>
      <c r="E381" s="429" t="s">
        <v>195</v>
      </c>
      <c r="F381" s="431" t="str">
        <f>CONCATENATE(C381,D381,E381)</f>
        <v>&lt;score&gt;0&lt;/score&gt;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A</v>
      </c>
      <c r="E384" s="429" t="s">
        <v>244</v>
      </c>
      <c r="F384" s="434" t="str">
        <f>CONCATENATE(C384,D384,E384)</f>
        <v>&lt;band&gt;A&lt;/band&gt;</v>
      </c>
    </row>
    <row r="385" spans="2:6" x14ac:dyDescent="0.2">
      <c r="C385" s="429" t="s">
        <v>194</v>
      </c>
      <c r="D385" s="435">
        <f>Calculation!G20</f>
        <v>1</v>
      </c>
      <c r="E385" s="429" t="s">
        <v>195</v>
      </c>
      <c r="F385" s="431" t="str">
        <f>CONCATENATE(C385,D385,E385)</f>
        <v>&lt;score&gt;1&lt;/score&gt;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v>
      </c>
      <c r="E388" s="429" t="s">
        <v>244</v>
      </c>
      <c r="F388" s="434" t="str">
        <f>CONCATENATE(C388,D388,E388)</f>
        <v>&lt;band&gt;-&lt;/band&gt;</v>
      </c>
    </row>
    <row r="389" spans="2:6" x14ac:dyDescent="0.2">
      <c r="C389" s="429" t="s">
        <v>194</v>
      </c>
      <c r="D389" s="435">
        <f>Calculation!G21</f>
        <v>0</v>
      </c>
      <c r="E389" s="429" t="s">
        <v>195</v>
      </c>
      <c r="F389" s="431" t="str">
        <f>CONCATENATE(C389,D389,E389)</f>
        <v>&lt;score&gt;0&lt;/score&gt;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C</v>
      </c>
      <c r="E392" s="429" t="s">
        <v>244</v>
      </c>
      <c r="F392" s="434" t="str">
        <f>CONCATENATE(C392,D392,E392)</f>
        <v>&lt;band&gt;C&lt;/band&gt;</v>
      </c>
    </row>
    <row r="393" spans="2:6" x14ac:dyDescent="0.2">
      <c r="C393" s="429" t="s">
        <v>194</v>
      </c>
      <c r="D393" s="435">
        <f>Calculation!G23</f>
        <v>20</v>
      </c>
      <c r="E393" s="429" t="s">
        <v>195</v>
      </c>
      <c r="F393" s="431" t="str">
        <f>CONCATENATE(C393,D393,E393)</f>
        <v>&lt;score&gt;20&lt;/score&gt;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B</v>
      </c>
      <c r="E396" s="429" t="s">
        <v>244</v>
      </c>
      <c r="F396" s="434" t="str">
        <f>CONCATENATE(C396,D396,E396)</f>
        <v>&lt;band&gt;B&lt;/band&gt;</v>
      </c>
    </row>
    <row r="397" spans="2:6" x14ac:dyDescent="0.2">
      <c r="C397" s="429" t="s">
        <v>194</v>
      </c>
      <c r="D397" s="435">
        <f>Calculation!G24</f>
        <v>25</v>
      </c>
      <c r="E397" s="429" t="s">
        <v>195</v>
      </c>
      <c r="F397" s="431" t="str">
        <f>CONCATENATE(C397,D397,E397)</f>
        <v>&lt;score&gt;25&lt;/score&gt;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t="str">
        <f>'Op Perf'!J10</f>
        <v>December 2016 for all</v>
      </c>
      <c r="E406" s="431" t="s">
        <v>199</v>
      </c>
      <c r="F406" s="431" t="str">
        <f>CONCATENATE(C406,D406,E406)</f>
        <v>&lt;docRef&gt;December 2016 for all&lt;/docRef&gt;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Yes</v>
      </c>
      <c r="E445" s="429" t="s">
        <v>206</v>
      </c>
      <c r="F445" s="429" t="str">
        <f>CONCATENATE(C445,D445,E445)</f>
        <v>&lt;answer&gt;Yes&lt;/answer&gt;</v>
      </c>
    </row>
    <row r="446" spans="2:6" x14ac:dyDescent="0.2">
      <c r="C446" s="429" t="s">
        <v>194</v>
      </c>
      <c r="D446" s="430">
        <f>'Op Perf'!G17</f>
        <v>-2</v>
      </c>
      <c r="E446" s="429" t="s">
        <v>195</v>
      </c>
      <c r="F446" s="429" t="str">
        <f>CONCATENATE(C446,D446,E446)</f>
        <v>&lt;score&gt;-2&lt;/score&gt;</v>
      </c>
    </row>
    <row r="447" spans="2:6" x14ac:dyDescent="0.2">
      <c r="C447" s="429" t="s">
        <v>196</v>
      </c>
      <c r="D447" s="430" t="str">
        <f>'Op Perf'!H17</f>
        <v>Cream Spillage 2015</v>
      </c>
      <c r="E447" s="429" t="s">
        <v>197</v>
      </c>
      <c r="F447" s="429" t="str">
        <f>CONCATENATE(C447,D447,E447)</f>
        <v>&lt;post&gt;Cream Spillage 2015&lt;/post&gt;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Yes</v>
      </c>
      <c r="E539" s="431" t="s">
        <v>206</v>
      </c>
      <c r="F539" s="431" t="str">
        <f>CONCATENATE(C539,D539,E539)</f>
        <v>&lt;answer&gt;Yes&lt;/answer&gt;</v>
      </c>
    </row>
    <row r="540" spans="2:6" s="431" customFormat="1" x14ac:dyDescent="0.2">
      <c r="C540" s="431" t="s">
        <v>194</v>
      </c>
      <c r="D540" s="432">
        <f>'Op Perf'!G52</f>
        <v>1</v>
      </c>
      <c r="E540" s="431" t="s">
        <v>195</v>
      </c>
      <c r="F540" s="431" t="str">
        <f>CONCATENATE(C540,D540,E540)</f>
        <v>&lt;score&gt;1&lt;/score&gt;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t="str">
        <f>'Op Perf'!E53</f>
        <v>Yes</v>
      </c>
      <c r="E545" s="429" t="s">
        <v>206</v>
      </c>
      <c r="F545" s="429" t="str">
        <f>CONCATENATE(C545,D545,E545)</f>
        <v>&lt;answer&gt;Yes&lt;/answer&gt;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Yes</v>
      </c>
      <c r="E569" s="429" t="s">
        <v>206</v>
      </c>
      <c r="F569" s="429" t="str">
        <f>CONCATENATE(C569,D569,E569)</f>
        <v>&lt;answer&gt;Yes&lt;/answer&gt;</v>
      </c>
    </row>
    <row r="570" spans="2:6" x14ac:dyDescent="0.2">
      <c r="C570" s="429" t="s">
        <v>194</v>
      </c>
      <c r="D570" s="430">
        <f>'Op Perf'!G57</f>
        <v>-2</v>
      </c>
      <c r="E570" s="429" t="s">
        <v>195</v>
      </c>
      <c r="F570" s="429" t="str">
        <f>CONCATENATE(C570,D570,E570)</f>
        <v>&lt;score&gt;-2&lt;/score&gt;</v>
      </c>
    </row>
    <row r="571" spans="2:6" x14ac:dyDescent="0.2">
      <c r="C571" s="429" t="s">
        <v>196</v>
      </c>
      <c r="D571" s="430" t="str">
        <f>'Op Perf'!H57</f>
        <v>cream spillage 2015</v>
      </c>
      <c r="E571" s="429" t="s">
        <v>197</v>
      </c>
      <c r="F571" s="429" t="str">
        <f>CONCATENATE(C571,D571,E571)</f>
        <v>&lt;post&gt;cream spillage 2015&lt;/post&gt;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Yes</v>
      </c>
      <c r="E575" s="431" t="s">
        <v>206</v>
      </c>
      <c r="F575" s="431" t="str">
        <f>CONCATENATE(C575,D575,E575)</f>
        <v>&lt;answer&gt;Yes&lt;/answer&gt;</v>
      </c>
    </row>
    <row r="576" spans="2:6" s="431" customFormat="1" x14ac:dyDescent="0.2">
      <c r="C576" s="431" t="s">
        <v>194</v>
      </c>
      <c r="D576" s="432">
        <f>'Op Perf'!G58</f>
        <v>3</v>
      </c>
      <c r="E576" s="431" t="s">
        <v>195</v>
      </c>
      <c r="F576" s="431" t="str">
        <f>CONCATENATE(C576,D576,E576)</f>
        <v>&lt;score&gt;3&lt;/score&gt;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No</v>
      </c>
      <c r="E589" s="431" t="s">
        <v>206</v>
      </c>
      <c r="F589" s="431" t="str">
        <f>CONCATENATE(C589,D589,E589)</f>
        <v>&lt;answer&gt;No&lt;/answer&gt;</v>
      </c>
    </row>
    <row r="590" spans="2:6" s="431" customFormat="1" x14ac:dyDescent="0.2">
      <c r="C590" s="431" t="s">
        <v>194</v>
      </c>
      <c r="D590" s="432">
        <f>'Op Perf'!G65</f>
        <v>0</v>
      </c>
      <c r="E590" s="431" t="s">
        <v>195</v>
      </c>
      <c r="F590" s="431" t="str">
        <f>CONCATENATE(C590,D590,E590)</f>
        <v>&lt;score&gt;0&lt;/score&gt;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No</v>
      </c>
      <c r="E595" s="429" t="s">
        <v>206</v>
      </c>
      <c r="F595" s="429" t="str">
        <f>CONCATENATE(C595,D595,E595)</f>
        <v>&lt;answer&gt;No&lt;/answer&gt;</v>
      </c>
    </row>
    <row r="596" spans="2:6" x14ac:dyDescent="0.2">
      <c r="C596" s="429" t="s">
        <v>194</v>
      </c>
      <c r="D596" s="430">
        <f>'Op Perf'!G66</f>
        <v>0</v>
      </c>
      <c r="E596" s="429" t="s">
        <v>195</v>
      </c>
      <c r="F596" s="429" t="str">
        <f>CONCATENATE(C596,D596,E596)</f>
        <v>&lt;score&gt;0&lt;/score&gt;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Yes</v>
      </c>
      <c r="E601" s="431" t="s">
        <v>206</v>
      </c>
      <c r="F601" s="431" t="str">
        <f>CONCATENATE(C601,D601,E601)</f>
        <v>&lt;answer&gt;Yes&lt;/answer&gt;</v>
      </c>
    </row>
    <row r="602" spans="2:6" s="431" customFormat="1" x14ac:dyDescent="0.2">
      <c r="C602" s="431" t="s">
        <v>194</v>
      </c>
      <c r="D602" s="432">
        <f>'Op Perf'!G52</f>
        <v>1</v>
      </c>
      <c r="E602" s="431" t="s">
        <v>195</v>
      </c>
      <c r="F602" s="431" t="str">
        <f>CONCATENATE(C602,D602,E602)</f>
        <v>&lt;score&gt;1&lt;/score&gt;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t="str">
        <f>'Op Perf'!E53</f>
        <v>Yes</v>
      </c>
      <c r="E607" s="429" t="s">
        <v>206</v>
      </c>
      <c r="F607" s="429" t="str">
        <f>CONCATENATE(C607,D607,E607)</f>
        <v>&lt;answer&gt;Yes&lt;/answer&gt;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Yes</v>
      </c>
      <c r="E619" s="434" t="s">
        <v>206</v>
      </c>
      <c r="F619" s="434" t="str">
        <f>CONCATENATE(C619,D619,E619)</f>
        <v>&lt;answer&gt;Yes&lt;/answer&gt;</v>
      </c>
    </row>
    <row r="620" spans="2:6" s="434" customFormat="1" x14ac:dyDescent="0.2">
      <c r="C620" s="429" t="s">
        <v>194</v>
      </c>
      <c r="D620" s="433">
        <f>'Op Perf'!G74</f>
        <v>1</v>
      </c>
      <c r="E620" s="434" t="s">
        <v>195</v>
      </c>
      <c r="F620" s="434" t="str">
        <f>CONCATENATE(C620,D620,E620)</f>
        <v>&lt;score&gt;1&lt;/score&gt;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Yes</v>
      </c>
      <c r="E625" s="431" t="s">
        <v>206</v>
      </c>
      <c r="F625" s="431" t="str">
        <f>CONCATENATE(C625,D625,E625)</f>
        <v>&lt;answer&gt;Yes&lt;/answer&gt;</v>
      </c>
    </row>
    <row r="626" spans="2:6" s="431" customFormat="1" x14ac:dyDescent="0.2">
      <c r="C626" s="431" t="s">
        <v>194</v>
      </c>
      <c r="D626" s="432">
        <f>'Op Perf'!G75</f>
        <v>1</v>
      </c>
      <c r="E626" s="431" t="s">
        <v>195</v>
      </c>
      <c r="F626" s="431" t="str">
        <f>CONCATENATE(C626,D626,E626)</f>
        <v>&lt;score&gt;1&lt;/score&gt;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Yes</v>
      </c>
      <c r="E631" s="434" t="s">
        <v>206</v>
      </c>
      <c r="F631" s="434" t="str">
        <f>CONCATENATE(C631,D631,E631)</f>
        <v>&lt;answer&gt;Yes&lt;/answer&gt;</v>
      </c>
    </row>
    <row r="632" spans="2:6" s="434" customFormat="1" x14ac:dyDescent="0.2">
      <c r="C632" s="429" t="s">
        <v>194</v>
      </c>
      <c r="D632" s="433">
        <f>'Op Perf'!G76</f>
        <v>1</v>
      </c>
      <c r="E632" s="434" t="s">
        <v>195</v>
      </c>
      <c r="F632" s="434" t="str">
        <f>CONCATENATE(C632,D632,E632)</f>
        <v>&lt;score&gt;1&lt;/score&gt;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Yes</v>
      </c>
      <c r="E637" s="431" t="s">
        <v>206</v>
      </c>
      <c r="F637" s="431" t="str">
        <f>CONCATENATE(C637,D637,E637)</f>
        <v>&lt;answer&gt;Yes&lt;/answer&gt;</v>
      </c>
    </row>
    <row r="638" spans="2:6" s="431" customFormat="1" x14ac:dyDescent="0.2">
      <c r="C638" s="431" t="s">
        <v>194</v>
      </c>
      <c r="D638" s="432">
        <f>'Op Perf'!G77</f>
        <v>1</v>
      </c>
      <c r="E638" s="431" t="s">
        <v>195</v>
      </c>
      <c r="F638" s="431" t="str">
        <f>CONCATENATE(C638,D638,E638)</f>
        <v>&lt;score&gt;1&lt;/score&gt;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Yes</v>
      </c>
      <c r="E649" s="431" t="s">
        <v>206</v>
      </c>
      <c r="F649" s="431" t="str">
        <f>CONCATENATE(C649,D649,E649)</f>
        <v>&lt;answer&gt;Yes&lt;/answer&gt;</v>
      </c>
    </row>
    <row r="650" spans="2:6" s="431" customFormat="1" x14ac:dyDescent="0.2">
      <c r="C650" s="431" t="s">
        <v>194</v>
      </c>
      <c r="D650" s="432">
        <f>'Op Perf'!G79</f>
        <v>2</v>
      </c>
      <c r="E650" s="431" t="s">
        <v>195</v>
      </c>
      <c r="F650" s="431" t="str">
        <f>CONCATENATE(C650,D650,E650)</f>
        <v>&lt;score&gt;2&lt;/score&gt;</v>
      </c>
    </row>
    <row r="651" spans="2:6" s="431" customFormat="1" ht="25.5" x14ac:dyDescent="0.2">
      <c r="C651" s="431" t="s">
        <v>196</v>
      </c>
      <c r="D651" s="432" t="str">
        <f>'Op Perf'!H79</f>
        <v>Paul Downing &amp; Associates</v>
      </c>
      <c r="E651" s="431" t="s">
        <v>197</v>
      </c>
      <c r="F651" s="431" t="str">
        <f>CONCATENATE(C651,D651,E651)</f>
        <v>&lt;post&gt;Paul Downing &amp; Associates&lt;/post&gt;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Yes</v>
      </c>
      <c r="E655" s="434" t="s">
        <v>206</v>
      </c>
      <c r="F655" s="434" t="str">
        <f>CONCATENATE(C655,D655,E655)</f>
        <v>&lt;answer&gt;Yes&lt;/answer&gt;</v>
      </c>
    </row>
    <row r="656" spans="2:6" s="434" customFormat="1" x14ac:dyDescent="0.2">
      <c r="C656" s="429" t="s">
        <v>194</v>
      </c>
      <c r="D656" s="433">
        <f>'Op Perf'!G80</f>
        <v>1</v>
      </c>
      <c r="E656" s="434" t="s">
        <v>195</v>
      </c>
      <c r="F656" s="434" t="str">
        <f>CONCATENATE(C656,D656,E656)</f>
        <v>&lt;score&gt;1&lt;/score&gt;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1</v>
      </c>
      <c r="E709" s="434" t="s">
        <v>206</v>
      </c>
      <c r="F709" s="434" t="str">
        <f>CONCATENATE(C709,D709,E709)</f>
        <v>&lt;answer&gt;1&lt;/answer&gt;</v>
      </c>
    </row>
    <row r="710" spans="2:6" s="434" customFormat="1" x14ac:dyDescent="0.2">
      <c r="C710" s="434" t="s">
        <v>194</v>
      </c>
      <c r="D710" s="433" t="str">
        <f>'Op Perf'!G93</f>
        <v>Spent</v>
      </c>
      <c r="E710" s="434" t="s">
        <v>195</v>
      </c>
      <c r="F710" s="434" t="str">
        <f>CONCATENATE(C710,D710,E710)</f>
        <v>&lt;score&gt;Spent&lt;/score&gt;</v>
      </c>
    </row>
    <row r="711" spans="2:6" s="434" customFormat="1" x14ac:dyDescent="0.2">
      <c r="C711" s="434" t="s">
        <v>298</v>
      </c>
      <c r="D711" s="433"/>
      <c r="F711" s="434" t="str">
        <f>C711</f>
        <v>&lt;cautionDetails&gt;</v>
      </c>
    </row>
    <row r="712" spans="2:6" s="434" customFormat="1" x14ac:dyDescent="0.2">
      <c r="C712" s="434" t="s">
        <v>273</v>
      </c>
      <c r="D712" s="433" t="str">
        <f>'Op Perf'!H93</f>
        <v>Caution</v>
      </c>
      <c r="E712" s="434" t="s">
        <v>289</v>
      </c>
      <c r="F712" s="434" t="str">
        <f>CONCATENATE(C712,D712,E712)</f>
        <v>&lt;description&gt;Caution&lt;/description&gt;</v>
      </c>
    </row>
    <row r="713" spans="2:6" s="434" customFormat="1" x14ac:dyDescent="0.2">
      <c r="C713" s="434" t="s">
        <v>290</v>
      </c>
      <c r="D713" s="433">
        <f>'Op Perf'!I93</f>
        <v>42710</v>
      </c>
      <c r="E713" s="434" t="s">
        <v>292</v>
      </c>
      <c r="F713" s="434" t="str">
        <f>CONCATENATE(C713,D713,E713)</f>
        <v>&lt;dateIssued&gt;42710&lt;/dateIssued&gt;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61</v>
      </c>
      <c r="E813" s="429" t="s">
        <v>706</v>
      </c>
      <c r="F813" s="429" t="str">
        <f t="shared" ref="F813:F819" si="2">CONCATENATE(C813,D813,E813)</f>
        <v>&lt;OPRAChargingScore&gt;61&lt;/OPRAChargingScore&gt;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12566</v>
      </c>
      <c r="E815" s="429" t="s">
        <v>701</v>
      </c>
      <c r="F815" s="429" t="str">
        <f t="shared" si="2"/>
        <v>&lt;OPRAFee&gt;12566&lt;/OPRAFee&gt;</v>
      </c>
    </row>
    <row r="816" spans="2:6" ht="25.5" x14ac:dyDescent="0.2">
      <c r="B816" s="429" t="s">
        <v>27</v>
      </c>
      <c r="C816" s="429" t="s">
        <v>702</v>
      </c>
      <c r="D816" s="430">
        <f>Calculation!D30</f>
        <v>6100</v>
      </c>
      <c r="E816" s="429" t="s">
        <v>703</v>
      </c>
      <c r="F816" s="429" t="str">
        <f t="shared" si="2"/>
        <v>&lt;OPRAsubsistanceFee&gt;6100&lt;/OPRAsubsistanceFee&gt;</v>
      </c>
    </row>
    <row r="817" spans="2:6" ht="25.5" x14ac:dyDescent="0.2">
      <c r="B817" s="429" t="s">
        <v>1009</v>
      </c>
      <c r="C817" s="429" t="s">
        <v>1015</v>
      </c>
      <c r="D817" s="430">
        <f>'Other Activities'!M66</f>
        <v>0</v>
      </c>
      <c r="E817" s="429" t="s">
        <v>0</v>
      </c>
      <c r="F817" s="429" t="str">
        <f t="shared" si="2"/>
        <v>&lt;partA2AndBActivities&gt;0&lt;/partA2AndBActivities&gt;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4" t="s">
        <v>416</v>
      </c>
      <c r="B1" s="1014"/>
      <c r="C1" s="1014"/>
    </row>
    <row r="2" spans="1:3" s="578" customFormat="1" x14ac:dyDescent="0.2">
      <c r="A2" s="1014" t="s">
        <v>417</v>
      </c>
      <c r="B2" s="1014"/>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4" t="s">
        <v>418</v>
      </c>
      <c r="B9" s="1014"/>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989</v>
      </c>
      <c r="C14" s="577" t="s">
        <v>990</v>
      </c>
    </row>
    <row r="15" spans="1:3" x14ac:dyDescent="0.2">
      <c r="A15" s="1014" t="s">
        <v>964</v>
      </c>
      <c r="B15" s="1014"/>
    </row>
    <row r="16" spans="1:3" x14ac:dyDescent="0.2">
      <c r="A16" s="577">
        <v>12</v>
      </c>
      <c r="B16" s="577" t="s">
        <v>661</v>
      </c>
      <c r="C16" s="577" t="s">
        <v>662</v>
      </c>
    </row>
    <row r="17" spans="1:3" s="578" customFormat="1" x14ac:dyDescent="0.2">
      <c r="A17" s="1014" t="s">
        <v>965</v>
      </c>
      <c r="B17" s="1014"/>
    </row>
    <row r="18" spans="1:3" x14ac:dyDescent="0.2">
      <c r="A18" s="577">
        <v>13</v>
      </c>
      <c r="B18" s="577" t="s">
        <v>249</v>
      </c>
      <c r="C18" s="577" t="s">
        <v>250</v>
      </c>
    </row>
    <row r="19" spans="1:3" x14ac:dyDescent="0.2">
      <c r="A19" s="1014" t="s">
        <v>708</v>
      </c>
      <c r="B19" s="1014"/>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4" t="s">
        <v>718</v>
      </c>
      <c r="B25" s="1014"/>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3" t="s">
        <v>693</v>
      </c>
      <c r="B33" s="1013"/>
      <c r="C33" s="1013"/>
    </row>
    <row r="34" spans="1:3" x14ac:dyDescent="0.2">
      <c r="A34" s="577">
        <v>21</v>
      </c>
      <c r="B34" s="674">
        <v>38384</v>
      </c>
      <c r="C34" s="577" t="s">
        <v>694</v>
      </c>
    </row>
    <row r="36" spans="1:3" x14ac:dyDescent="0.2">
      <c r="A36" s="1013" t="s">
        <v>695</v>
      </c>
      <c r="B36" s="1013"/>
      <c r="C36" s="1013"/>
    </row>
    <row r="37" spans="1:3" x14ac:dyDescent="0.2">
      <c r="A37" s="577">
        <v>22</v>
      </c>
      <c r="B37" s="674">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5" t="s">
        <v>673</v>
      </c>
      <c r="D4" s="1015"/>
      <c r="E4" s="1015"/>
      <c r="F4" s="1015"/>
      <c r="G4" s="1015"/>
      <c r="H4" s="688"/>
      <c r="I4" s="689"/>
      <c r="J4" s="689"/>
      <c r="K4" s="689"/>
      <c r="L4" s="689"/>
      <c r="M4" s="690"/>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1">
        <v>110</v>
      </c>
      <c r="H6" s="694"/>
    </row>
    <row r="7" spans="2:13" x14ac:dyDescent="0.2">
      <c r="B7" t="s">
        <v>675</v>
      </c>
      <c r="C7" s="41">
        <v>3</v>
      </c>
      <c r="D7" s="41">
        <v>10</v>
      </c>
      <c r="E7" s="41">
        <v>20</v>
      </c>
      <c r="F7" s="41">
        <v>35</v>
      </c>
      <c r="G7" s="692">
        <v>50</v>
      </c>
      <c r="H7" s="695"/>
    </row>
    <row r="8" spans="2:13" x14ac:dyDescent="0.2">
      <c r="B8" t="s">
        <v>676</v>
      </c>
      <c r="C8" s="41">
        <v>3</v>
      </c>
      <c r="D8" s="41">
        <v>10</v>
      </c>
      <c r="E8" s="41">
        <v>20</v>
      </c>
      <c r="F8" s="41">
        <v>35</v>
      </c>
      <c r="G8" s="692">
        <v>50</v>
      </c>
      <c r="H8" s="695"/>
    </row>
    <row r="9" spans="2:13" x14ac:dyDescent="0.2">
      <c r="B9" t="s">
        <v>677</v>
      </c>
      <c r="C9" s="41">
        <v>3</v>
      </c>
      <c r="D9" s="41">
        <v>10</v>
      </c>
      <c r="E9" s="41">
        <v>20</v>
      </c>
      <c r="F9" s="41">
        <v>35</v>
      </c>
      <c r="G9" s="692">
        <v>50</v>
      </c>
      <c r="H9" s="695"/>
    </row>
    <row r="10" spans="2:13" x14ac:dyDescent="0.2">
      <c r="B10" t="s">
        <v>647</v>
      </c>
      <c r="C10" s="41">
        <v>3</v>
      </c>
      <c r="D10" s="41">
        <v>10</v>
      </c>
      <c r="E10" s="41">
        <v>20</v>
      </c>
      <c r="F10" s="41">
        <v>40</v>
      </c>
      <c r="G10" s="692">
        <v>60</v>
      </c>
      <c r="H10" s="695"/>
    </row>
    <row r="11" spans="2:13" ht="13.5" thickBot="1" x14ac:dyDescent="0.25">
      <c r="B11" s="10" t="s">
        <v>678</v>
      </c>
      <c r="C11" s="42">
        <v>10</v>
      </c>
      <c r="D11" s="42">
        <v>25</v>
      </c>
      <c r="E11" s="42">
        <v>40</v>
      </c>
      <c r="F11" s="42">
        <v>60</v>
      </c>
      <c r="G11" s="693">
        <v>75</v>
      </c>
      <c r="H11" s="695"/>
    </row>
    <row r="12" spans="2:13" x14ac:dyDescent="0.2">
      <c r="B12" t="s">
        <v>959</v>
      </c>
      <c r="C12" s="41">
        <v>1</v>
      </c>
      <c r="D12" s="41">
        <v>2</v>
      </c>
      <c r="E12" s="41">
        <v>3</v>
      </c>
      <c r="F12" s="41">
        <v>5</v>
      </c>
      <c r="G12" s="692">
        <v>10</v>
      </c>
      <c r="H12" s="695"/>
    </row>
    <row r="13" spans="2:13" ht="13.5" thickBot="1" x14ac:dyDescent="0.25">
      <c r="B13" s="10" t="s">
        <v>960</v>
      </c>
      <c r="C13" s="42">
        <v>1</v>
      </c>
      <c r="D13" s="42">
        <v>2</v>
      </c>
      <c r="E13" s="42">
        <v>3</v>
      </c>
      <c r="F13" s="42">
        <v>5</v>
      </c>
      <c r="G13" s="693">
        <v>10</v>
      </c>
      <c r="H13" s="696"/>
    </row>
    <row r="14" spans="2:13" x14ac:dyDescent="0.2">
      <c r="B14" t="s">
        <v>939</v>
      </c>
      <c r="C14" s="686">
        <v>0.95</v>
      </c>
      <c r="D14" s="686">
        <v>1</v>
      </c>
      <c r="E14" s="686">
        <v>1.1000000000000001</v>
      </c>
      <c r="F14" s="686">
        <v>1.25</v>
      </c>
      <c r="G14" s="686">
        <v>1.5</v>
      </c>
      <c r="H14" s="686">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Minera Dairy</Site_x0020_Name>
    <Internal_x002f_External xmlns="859f7ad6-93f6-4205-b62b-a17f28acbbac">Incoming document</Internal_x002f_External>
    <Document_x0020_Type xmlns="859f7ad6-93f6-4205-b62b-a17f28acbbac">Report</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2017-01-24T00:00:00+00:00</Document_x0020_Date>
    <Facility_x0020_Address xmlns="859f7ad6-93f6-4205-b62b-a17f28acbbac">Five Crosses Ind Est, Minera, Wrexham</Facility_x0020_Address>
    <Environment_x0020_Sub_x0020_Folder xmlns="859f7ad6-93f6-4205-b62b-a17f28acbbac">Licences applications</Environment_x0020_Sub_x0020_Folder>
    <Customer_x0020_Name xmlns="859f7ad6-93f6-4205-b62b-a17f28acbbac">Tomlinson Dairies</Customer_x0020_Name>
    <IconOverlay xmlns="http://schemas.microsoft.com/sharepoint/v4" xsi:nil="true"/>
    <Surrendered_x002f_Expired xmlns="859f7ad6-93f6-4205-b62b-a17f28acbbac" xsi:nil="true"/>
    <Post_x0020_code xmlns="859f7ad6-93f6-4205-b62b-a17f28acbbac">LL13 3RD</Post_x0020_code>
    <Surrendered_x002f_Expired_x0020_Date xmlns="859f7ad6-93f6-4205-b62b-a17f28acbbac" xsi:nil="true"/>
    <_dlc_DocId xmlns="9be56660-2c31-41ef-bc00-23e72f632f2a">REGU-408-16590</_dlc_DocId>
    <_dlc_DocIdUrl xmlns="9be56660-2c31-41ef-bc00-23e72f632f2a">
      <Url>https://cyfoethnaturiolcymru.sharepoint.com/teams/Regulatory/Permitting/_layouts/15/DocIdRedir.aspx?ID=REGU-408-16590</Url>
      <Description>REGU-408-16590</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168E69-37A9-448F-8BEA-A09E538C03D4}">
  <ds:schemaRefs>
    <ds:schemaRef ds:uri="http://schemas.microsoft.com/sharepoint/events"/>
  </ds:schemaRefs>
</ds:datastoreItem>
</file>

<file path=customXml/itemProps2.xml><?xml version="1.0" encoding="utf-8"?>
<ds:datastoreItem xmlns:ds="http://schemas.openxmlformats.org/officeDocument/2006/customXml" ds:itemID="{4EB403B7-35DF-4D92-955A-773946E1AAF6}">
  <ds:schemaRefs>
    <ds:schemaRef ds:uri="Microsoft.SharePoint.Taxonomy.ContentTypeSync"/>
  </ds:schemaRefs>
</ds:datastoreItem>
</file>

<file path=customXml/itemProps3.xml><?xml version="1.0" encoding="utf-8"?>
<ds:datastoreItem xmlns:ds="http://schemas.openxmlformats.org/officeDocument/2006/customXml" ds:itemID="{F273C557-F6AF-4750-A1A5-AF809CD4752D}"/>
</file>

<file path=customXml/itemProps4.xml><?xml version="1.0" encoding="utf-8"?>
<ds:datastoreItem xmlns:ds="http://schemas.openxmlformats.org/officeDocument/2006/customXml" ds:itemID="{18AB08E6-8BCD-4110-BDBF-ABB8B57A7501}">
  <ds:schemaRefs>
    <ds:schemaRef ds:uri="http://schemas.microsoft.com/office/2006/documentManagement/types"/>
    <ds:schemaRef ds:uri="http://www.w3.org/XML/1998/namespace"/>
    <ds:schemaRef ds:uri="http://purl.org/dc/dcmitype/"/>
    <ds:schemaRef ds:uri="http://purl.org/dc/terms/"/>
    <ds:schemaRef ds:uri="http://purl.org/dc/elements/1.1/"/>
    <ds:schemaRef ds:uri="6e121689-de5b-41b9-a751-bfeda7fa2b07"/>
    <ds:schemaRef ds:uri="9be56660-2c31-41ef-bc00-23e72f632f2a"/>
    <ds:schemaRef ds:uri="http://schemas.microsoft.com/office/infopath/2007/PartnerControls"/>
    <ds:schemaRef ds:uri="http://schemas.openxmlformats.org/package/2006/metadata/core-properties"/>
    <ds:schemaRef ds:uri="859f7ad6-93f6-4205-b62b-a17f28acbbac"/>
    <ds:schemaRef ds:uri="http://schemas.microsoft.com/office/2006/metadata/properties"/>
  </ds:schemaRefs>
</ds:datastoreItem>
</file>

<file path=customXml/itemProps5.xml><?xml version="1.0" encoding="utf-8"?>
<ds:datastoreItem xmlns:ds="http://schemas.openxmlformats.org/officeDocument/2006/customXml" ds:itemID="{13FB65E7-2F81-4AD0-A95C-5522FD75D1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Sean Moore/Neil Gillan</dc:creator>
  <dc:description>Version 3.1_x000d_
15 Feb 2006</dc:description>
  <cp:lastModifiedBy>Ashcroft, Kevin</cp:lastModifiedBy>
  <cp:lastPrinted>2011-02-25T13:39:44Z</cp:lastPrinted>
  <dcterms:created xsi:type="dcterms:W3CDTF">2002-01-22T16:49:20Z</dcterms:created>
  <dcterms:modified xsi:type="dcterms:W3CDTF">2017-02-15T16:38:03Z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0x01010067EB80C5FE939D4A9B3D8BA62129B7F50102008103382B54324B4D9E2A330338A8DF0F</vt:lpwstr>
  </property>
  <property fmtid="{D5CDD505-2E9C-101B-9397-08002B2CF9AE}" pid="8" name="_dlc_DocIdItemGuid">
    <vt:lpwstr>cf86cc64-4fb7-4e89-83c5-1c3c8c98505f</vt:lpwstr>
  </property>
  <property fmtid="{D5CDD505-2E9C-101B-9397-08002B2CF9AE}" pid="9" name="_docset_NoMedatataSyncRequired">
    <vt:lpwstr>False</vt:lpwstr>
  </property>
  <property fmtid="{D5CDD505-2E9C-101B-9397-08002B2CF9AE}" pid="10" name="_dlc_DocId">
    <vt:lpwstr>REGU-408-16590</vt:lpwstr>
  </property>
  <property fmtid="{D5CDD505-2E9C-101B-9397-08002B2CF9AE}" pid="11" name="_dlc_DocIdUrl">
    <vt:lpwstr>https://cyfoethnaturiolcymru.sharepoint.com/teams/Regulatory/Permitting/_layouts/15/DocIdRedir.aspx?ID=REGU-408-16590, REGU-408-16590</vt:lpwstr>
  </property>
</Properties>
</file>