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Owen Clee/PAN-018476/"/>
    </mc:Choice>
  </mc:AlternateContent>
  <xr:revisionPtr revIDLastSave="0" documentId="13_ncr:1_{D6CDED27-58A9-4FD1-BB93-7E91836361FD}" xr6:coauthVersionLast="47" xr6:coauthVersionMax="47" xr10:uidLastSave="{00000000-0000-0000-0000-000000000000}"/>
  <bookViews>
    <workbookView xWindow="-28920" yWindow="-120" windowWidth="29040" windowHeight="15840" tabRatio="870" xr2:uid="{00000000-000D-0000-FFFF-FFFF00000000}"/>
  </bookViews>
  <sheets>
    <sheet name="Bryngwyn" sheetId="1" r:id="rId1"/>
    <sheet name="Llechryd" sheetId="29" r:id="rId2"/>
    <sheet name="Hirwaun" sheetId="30" r:id="rId3"/>
    <sheet name="Capel Dewi" sheetId="21" r:id="rId4"/>
    <sheet name="Bontgoch" sheetId="26" r:id="rId5"/>
    <sheet name="Crai" sheetId="27" r:id="rId6"/>
    <sheet name="Elan Valley" sheetId="28" r:id="rId7"/>
    <sheet name="Strata Florida" sheetId="24" r:id="rId8"/>
    <sheet name="Llyswen" sheetId="23" r:id="rId9"/>
    <sheet name="Additions" sheetId="20" r:id="rId10"/>
    <sheet name="Ratios" sheetId="19"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9" l="1"/>
  <c r="L3" i="23"/>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2" i="30"/>
  <c r="Q22" i="30"/>
  <c r="N22" i="30"/>
  <c r="V20" i="30"/>
  <c r="U20" i="30"/>
  <c r="T20" i="30"/>
  <c r="S20" i="30"/>
  <c r="R20" i="30"/>
  <c r="Q20" i="30"/>
  <c r="P20" i="30"/>
  <c r="O20" i="30"/>
  <c r="Q18" i="30"/>
  <c r="J18" i="30"/>
  <c r="I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U18" i="29" s="1"/>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R22" i="29" s="1"/>
  <c r="D46" i="29"/>
  <c r="R18" i="29" s="1"/>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P18" i="29" s="1"/>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E18" i="29" s="1"/>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Q22" i="29"/>
  <c r="J22" i="29"/>
  <c r="V20" i="29"/>
  <c r="U20" i="29"/>
  <c r="T20" i="29"/>
  <c r="S20" i="29"/>
  <c r="R20" i="29"/>
  <c r="Q20" i="29"/>
  <c r="P20" i="29"/>
  <c r="O20"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C42" i="28"/>
  <c r="U41" i="28"/>
  <c r="T41" i="28"/>
  <c r="S41" i="28"/>
  <c r="R41" i="28"/>
  <c r="Q41" i="28"/>
  <c r="P41" i="28"/>
  <c r="O41" i="28"/>
  <c r="N41" i="28"/>
  <c r="M41" i="28"/>
  <c r="L41" i="28"/>
  <c r="K41" i="28"/>
  <c r="J41" i="28"/>
  <c r="I41" i="28"/>
  <c r="H41" i="28"/>
  <c r="G41" i="28"/>
  <c r="F41" i="28"/>
  <c r="E41" i="28"/>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M22" i="28"/>
  <c r="V20" i="28"/>
  <c r="U20" i="28"/>
  <c r="T20" i="28"/>
  <c r="S20" i="28"/>
  <c r="R20" i="28"/>
  <c r="Q20" i="28"/>
  <c r="P20" i="28"/>
  <c r="O20" i="28"/>
  <c r="V18" i="28"/>
  <c r="P18" i="28"/>
  <c r="N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20" i="27"/>
  <c r="S20" i="27"/>
  <c r="R20" i="27"/>
  <c r="Q20" i="27"/>
  <c r="P20" i="27"/>
  <c r="O20" i="27"/>
  <c r="O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K22" i="26" s="1"/>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O22" i="26"/>
  <c r="I22" i="26"/>
  <c r="V20" i="26"/>
  <c r="U20" i="26"/>
  <c r="T20" i="26"/>
  <c r="S20" i="26"/>
  <c r="R20" i="26"/>
  <c r="Q20" i="26"/>
  <c r="P20" i="26"/>
  <c r="O20" i="26"/>
  <c r="V18" i="26"/>
  <c r="S18" i="26"/>
  <c r="I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U22" i="24" s="1"/>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V20" i="24"/>
  <c r="U20" i="24"/>
  <c r="T20" i="24"/>
  <c r="S20" i="24"/>
  <c r="R20" i="24"/>
  <c r="Q20" i="24"/>
  <c r="P20" i="24"/>
  <c r="O20" i="24"/>
  <c r="N20" i="24"/>
  <c r="M20" i="24"/>
  <c r="L20" i="24"/>
  <c r="K20" i="24"/>
  <c r="J20" i="24"/>
  <c r="I20" i="24"/>
  <c r="H20" i="24"/>
  <c r="G20" i="24"/>
  <c r="F20" i="24"/>
  <c r="E20" i="24"/>
  <c r="D20" i="24"/>
  <c r="V18" i="24"/>
  <c r="P18" i="24"/>
  <c r="H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S18" i="23"/>
  <c r="Q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19" i="26" s="1"/>
  <c r="N20" i="26" s="1"/>
  <c r="N21" i="26"/>
  <c r="N23" i="26" s="1"/>
  <c r="N24" i="26" s="1"/>
  <c r="U59" i="26"/>
  <c r="V21" i="26"/>
  <c r="V17" i="26"/>
  <c r="V19" i="26" s="1"/>
  <c r="C8" i="20"/>
  <c r="D8" i="19"/>
  <c r="D22" i="19" s="1"/>
  <c r="K8" i="20"/>
  <c r="L8" i="19"/>
  <c r="L22" i="19" s="1"/>
  <c r="S8" i="20"/>
  <c r="T8" i="19"/>
  <c r="T22" i="19" s="1"/>
  <c r="C59" i="29"/>
  <c r="D21" i="29"/>
  <c r="D17" i="29"/>
  <c r="D19" i="29" s="1"/>
  <c r="D20" i="29" s="1"/>
  <c r="K59" i="29"/>
  <c r="L21" i="29"/>
  <c r="L17" i="29"/>
  <c r="L19" i="29" s="1"/>
  <c r="L20" i="29" s="1"/>
  <c r="S59" i="29"/>
  <c r="T21" i="29"/>
  <c r="T17" i="29"/>
  <c r="O4" i="20"/>
  <c r="P4" i="19"/>
  <c r="P18" i="19" s="1"/>
  <c r="G6" i="20"/>
  <c r="H6" i="19"/>
  <c r="H20" i="19" s="1"/>
  <c r="O6" i="20"/>
  <c r="P6" i="19"/>
  <c r="P20" i="19" s="1"/>
  <c r="G4" i="20"/>
  <c r="H4" i="19"/>
  <c r="H18" i="19" s="1"/>
  <c r="G12" i="19"/>
  <c r="G26" i="19" s="1"/>
  <c r="O12" i="19"/>
  <c r="O26" i="19" s="1"/>
  <c r="U63" i="24"/>
  <c r="F63" i="24"/>
  <c r="N63" i="24"/>
  <c r="D59" i="28"/>
  <c r="E17" i="28"/>
  <c r="E21" i="28"/>
  <c r="E23" i="28" s="1"/>
  <c r="E24" i="28" s="1"/>
  <c r="L59" i="28"/>
  <c r="M17" i="28"/>
  <c r="M19" i="28" s="1"/>
  <c r="M20" i="28" s="1"/>
  <c r="M21" i="28"/>
  <c r="T59" i="28"/>
  <c r="U17" i="28"/>
  <c r="U21" i="28"/>
  <c r="U23" i="28" s="1"/>
  <c r="U24" i="28" s="1"/>
  <c r="I4" i="20"/>
  <c r="J4" i="19"/>
  <c r="J18" i="19" s="1"/>
  <c r="I59" i="21"/>
  <c r="J17" i="21"/>
  <c r="J19" i="21" s="1"/>
  <c r="J20" i="21" s="1"/>
  <c r="J21" i="21"/>
  <c r="P12" i="19"/>
  <c r="P26" i="19" s="1"/>
  <c r="O21" i="23"/>
  <c r="O23" i="23" s="1"/>
  <c r="O24" i="23" s="1"/>
  <c r="O17" i="23"/>
  <c r="Q9" i="20"/>
  <c r="R9" i="19"/>
  <c r="R23" i="19" s="1"/>
  <c r="F5" i="20"/>
  <c r="G5" i="19"/>
  <c r="G19" i="19" s="1"/>
  <c r="N5" i="20"/>
  <c r="O5" i="19"/>
  <c r="O19" i="19" s="1"/>
  <c r="Q4" i="20"/>
  <c r="R4" i="19"/>
  <c r="R18" i="19" s="1"/>
  <c r="Q59" i="21"/>
  <c r="R21" i="21"/>
  <c r="R17" i="21"/>
  <c r="H12" i="19"/>
  <c r="H26" i="19" s="1"/>
  <c r="J4" i="20"/>
  <c r="K4" i="19"/>
  <c r="K18" i="19" s="1"/>
  <c r="U63" i="21"/>
  <c r="N63" i="21"/>
  <c r="F63" i="21"/>
  <c r="P59" i="21"/>
  <c r="Q21" i="21"/>
  <c r="Q23" i="21" s="1"/>
  <c r="Q24" i="21" s="1"/>
  <c r="Q17" i="21"/>
  <c r="I17" i="21"/>
  <c r="I21" i="21"/>
  <c r="D59" i="27"/>
  <c r="E17" i="27"/>
  <c r="E19" i="27" s="1"/>
  <c r="E20" i="27" s="1"/>
  <c r="L59" i="27"/>
  <c r="M17" i="27"/>
  <c r="M19" i="27" s="1"/>
  <c r="M20" i="27" s="1"/>
  <c r="T59" i="27"/>
  <c r="U17" i="27"/>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19" i="21" s="1"/>
  <c r="L20" i="21" s="1"/>
  <c r="L21" i="21"/>
  <c r="K59" i="23"/>
  <c r="L17" i="23"/>
  <c r="L19" i="23" s="1"/>
  <c r="L20" i="23" s="1"/>
  <c r="L21" i="23"/>
  <c r="M57" i="21"/>
  <c r="R59" i="21"/>
  <c r="S21" i="21"/>
  <c r="S23" i="21" s="1"/>
  <c r="S24" i="21" s="1"/>
  <c r="S17" i="21"/>
  <c r="J59" i="21"/>
  <c r="K21" i="21"/>
  <c r="K23" i="21" s="1"/>
  <c r="K24" i="21" s="1"/>
  <c r="K17" i="21"/>
  <c r="K19" i="21" s="1"/>
  <c r="K20" i="21" s="1"/>
  <c r="D59" i="23"/>
  <c r="E17" i="23"/>
  <c r="E21" i="23"/>
  <c r="L59" i="23"/>
  <c r="M17" i="23"/>
  <c r="M21" i="23"/>
  <c r="M23" i="23" s="1"/>
  <c r="M24" i="23" s="1"/>
  <c r="T59" i="23"/>
  <c r="U17" i="23"/>
  <c r="U19" i="23" s="1"/>
  <c r="U21" i="23"/>
  <c r="U23" i="23" s="1"/>
  <c r="U24" i="23" s="1"/>
  <c r="H21" i="24"/>
  <c r="H17" i="24"/>
  <c r="H19" i="24" s="1"/>
  <c r="P17" i="24"/>
  <c r="P21" i="24"/>
  <c r="C59" i="26"/>
  <c r="D21" i="26"/>
  <c r="D23" i="26" s="1"/>
  <c r="D24" i="26" s="1"/>
  <c r="D17" i="26"/>
  <c r="D19" i="26" s="1"/>
  <c r="D20" i="26" s="1"/>
  <c r="K59" i="26"/>
  <c r="L21" i="26"/>
  <c r="L23" i="26" s="1"/>
  <c r="L24" i="26" s="1"/>
  <c r="L17" i="26"/>
  <c r="L19" i="26" s="1"/>
  <c r="L20" i="26" s="1"/>
  <c r="S59" i="26"/>
  <c r="T21" i="26"/>
  <c r="T17" i="26"/>
  <c r="N63" i="26"/>
  <c r="J59" i="27"/>
  <c r="K17" i="27"/>
  <c r="K19" i="27" s="1"/>
  <c r="K20" i="27" s="1"/>
  <c r="R59" i="27"/>
  <c r="S17" i="27"/>
  <c r="S19" i="27" s="1"/>
  <c r="J59" i="28"/>
  <c r="K17" i="28"/>
  <c r="K19" i="28" s="1"/>
  <c r="K20" i="28" s="1"/>
  <c r="K21" i="28"/>
  <c r="R59" i="28"/>
  <c r="S17" i="28"/>
  <c r="S21" i="28"/>
  <c r="S23" i="28" s="1"/>
  <c r="S24"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23" i="23" s="1"/>
  <c r="F24" i="23" s="1"/>
  <c r="F17" i="23"/>
  <c r="F19" i="23" s="1"/>
  <c r="F20" i="23" s="1"/>
  <c r="M59" i="23"/>
  <c r="N21" i="23"/>
  <c r="N23" i="23" s="1"/>
  <c r="N24" i="23" s="1"/>
  <c r="N17" i="23"/>
  <c r="N19" i="23" s="1"/>
  <c r="N20" i="23" s="1"/>
  <c r="U59" i="23"/>
  <c r="V21" i="23"/>
  <c r="V23" i="23" s="1"/>
  <c r="V24" i="23" s="1"/>
  <c r="V17" i="23"/>
  <c r="I17" i="24"/>
  <c r="I19" i="24" s="1"/>
  <c r="I21" i="24"/>
  <c r="Q17" i="24"/>
  <c r="Q19" i="24" s="1"/>
  <c r="Q21" i="24"/>
  <c r="Q23" i="24" s="1"/>
  <c r="Q24" i="24" s="1"/>
  <c r="D59" i="26"/>
  <c r="E21" i="26"/>
  <c r="E17" i="26"/>
  <c r="E19" i="26" s="1"/>
  <c r="E20" i="26" s="1"/>
  <c r="L59" i="26"/>
  <c r="M21" i="26"/>
  <c r="M23" i="26" s="1"/>
  <c r="M24" i="26" s="1"/>
  <c r="M17" i="26"/>
  <c r="T59" i="26"/>
  <c r="U21" i="26"/>
  <c r="U23" i="26" s="1"/>
  <c r="U24" i="26" s="1"/>
  <c r="U17" i="26"/>
  <c r="U19" i="26" s="1"/>
  <c r="C59" i="27"/>
  <c r="D17" i="27"/>
  <c r="D19" i="27" s="1"/>
  <c r="D20" i="27" s="1"/>
  <c r="K59" i="27"/>
  <c r="L17" i="27"/>
  <c r="L19" i="27" s="1"/>
  <c r="L20" i="27" s="1"/>
  <c r="S59" i="27"/>
  <c r="T17" i="27"/>
  <c r="T19" i="27" s="1"/>
  <c r="C59" i="28"/>
  <c r="D21" i="28"/>
  <c r="D23" i="28" s="1"/>
  <c r="D24" i="28" s="1"/>
  <c r="D17" i="28"/>
  <c r="K59" i="28"/>
  <c r="L21" i="28"/>
  <c r="L17" i="28"/>
  <c r="L19" i="28" s="1"/>
  <c r="L20" i="28" s="1"/>
  <c r="S59" i="28"/>
  <c r="T21" i="28"/>
  <c r="T17" i="28"/>
  <c r="T19" i="28" s="1"/>
  <c r="J59" i="29"/>
  <c r="K17" i="29"/>
  <c r="K19" i="29" s="1"/>
  <c r="K20" i="29" s="1"/>
  <c r="K21" i="29"/>
  <c r="K23" i="29" s="1"/>
  <c r="K24" i="29" s="1"/>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23" i="21" s="1"/>
  <c r="H24" i="21" s="1"/>
  <c r="H17" i="21"/>
  <c r="H19" i="21" s="1"/>
  <c r="H20" i="21" s="1"/>
  <c r="H21" i="23"/>
  <c r="H23" i="23" s="1"/>
  <c r="H24" i="23" s="1"/>
  <c r="H17" i="23"/>
  <c r="P17" i="23"/>
  <c r="P19" i="23" s="1"/>
  <c r="P21" i="23"/>
  <c r="J59" i="24"/>
  <c r="K21" i="24"/>
  <c r="K23" i="24" s="1"/>
  <c r="K24" i="24" s="1"/>
  <c r="K17" i="24"/>
  <c r="K19" i="24" s="1"/>
  <c r="R59" i="24"/>
  <c r="S21" i="24"/>
  <c r="S23" i="24" s="1"/>
  <c r="S24" i="24" s="1"/>
  <c r="S17" i="24"/>
  <c r="G21" i="26"/>
  <c r="G23" i="26" s="1"/>
  <c r="G24" i="26" s="1"/>
  <c r="G17" i="26"/>
  <c r="O17" i="26"/>
  <c r="O21" i="26"/>
  <c r="E59" i="27"/>
  <c r="F17" i="27"/>
  <c r="F19" i="27" s="1"/>
  <c r="F20" i="27" s="1"/>
  <c r="M59" i="27"/>
  <c r="N17" i="27"/>
  <c r="N19" i="27" s="1"/>
  <c r="N20" i="27" s="1"/>
  <c r="U59" i="27"/>
  <c r="V17" i="27"/>
  <c r="E59" i="28"/>
  <c r="F17" i="28"/>
  <c r="F21" i="28"/>
  <c r="M59" i="28"/>
  <c r="N17" i="28"/>
  <c r="N19" i="28" s="1"/>
  <c r="N20" i="28" s="1"/>
  <c r="N21" i="28"/>
  <c r="N23" i="28" s="1"/>
  <c r="N24" i="28" s="1"/>
  <c r="U59" i="28"/>
  <c r="V17" i="28"/>
  <c r="V21" i="28"/>
  <c r="D59" i="29"/>
  <c r="E17" i="29"/>
  <c r="E19" i="29" s="1"/>
  <c r="E20" i="29" s="1"/>
  <c r="E21" i="29"/>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F59" i="21"/>
  <c r="G21" i="21"/>
  <c r="G17" i="21"/>
  <c r="H59" i="23"/>
  <c r="I21" i="23"/>
  <c r="I23" i="23" s="1"/>
  <c r="I24" i="23" s="1"/>
  <c r="I17" i="23"/>
  <c r="P59" i="23"/>
  <c r="Q17" i="23"/>
  <c r="Q21" i="23"/>
  <c r="Q23" i="23" s="1"/>
  <c r="Q24" i="23" s="1"/>
  <c r="C59" i="24"/>
  <c r="D17" i="24"/>
  <c r="D19" i="24" s="1"/>
  <c r="D21" i="24"/>
  <c r="D23" i="24" s="1"/>
  <c r="D24" i="24" s="1"/>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19" i="29" s="1"/>
  <c r="N20" i="29" s="1"/>
  <c r="N21" i="29"/>
  <c r="N23" i="29" s="1"/>
  <c r="N24" i="29" s="1"/>
  <c r="U59" i="29"/>
  <c r="V17" i="29"/>
  <c r="V21" i="29"/>
  <c r="V23" i="29" s="1"/>
  <c r="V24" i="29" s="1"/>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N23" i="21" s="1"/>
  <c r="N24" i="21" s="1"/>
  <c r="I59" i="23"/>
  <c r="J21" i="23"/>
  <c r="J23" i="23" s="1"/>
  <c r="J24" i="23" s="1"/>
  <c r="J17" i="23"/>
  <c r="J19" i="23" s="1"/>
  <c r="J20" i="23" s="1"/>
  <c r="Q59" i="23"/>
  <c r="R21" i="23"/>
  <c r="R17" i="23"/>
  <c r="D59" i="24"/>
  <c r="E17" i="24"/>
  <c r="E21" i="24"/>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T65" i="21" s="1"/>
  <c r="U17" i="21"/>
  <c r="U19" i="21" s="1"/>
  <c r="U21" i="21"/>
  <c r="U23" i="21" s="1"/>
  <c r="U24" i="21" s="1"/>
  <c r="M17" i="21"/>
  <c r="M19" i="21" s="1"/>
  <c r="M20" i="21" s="1"/>
  <c r="M21" i="21"/>
  <c r="E17" i="21"/>
  <c r="E19" i="21" s="1"/>
  <c r="E20" i="21" s="1"/>
  <c r="E21" i="21"/>
  <c r="E23" i="21" s="1"/>
  <c r="E24" i="21" s="1"/>
  <c r="J59" i="23"/>
  <c r="K17" i="23"/>
  <c r="K19" i="23" s="1"/>
  <c r="K20" i="23" s="1"/>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Q21" i="28"/>
  <c r="Q23" i="28" s="1"/>
  <c r="Q24"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D23" i="21" s="1"/>
  <c r="D24" i="21" s="1"/>
  <c r="C59" i="23"/>
  <c r="D17" i="23"/>
  <c r="D19" i="23" s="1"/>
  <c r="D20" i="23" s="1"/>
  <c r="D21" i="23"/>
  <c r="D23" i="23" s="1"/>
  <c r="D24" i="23" s="1"/>
  <c r="S59" i="23"/>
  <c r="T17" i="23"/>
  <c r="T21" i="23"/>
  <c r="G17" i="24"/>
  <c r="G19" i="24" s="1"/>
  <c r="G21" i="24"/>
  <c r="G23" i="24" s="1"/>
  <c r="G24" i="24" s="1"/>
  <c r="O17" i="24"/>
  <c r="O21" i="24"/>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C23" i="27" s="1"/>
  <c r="C24" i="27" s="1"/>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S58" i="21"/>
  <c r="S61" i="21" s="1"/>
  <c r="C58" i="21"/>
  <c r="C61" i="21" s="1"/>
  <c r="C64" i="21" s="1"/>
  <c r="K58" i="21"/>
  <c r="K61" i="21" s="1"/>
  <c r="K64" i="21" s="1"/>
  <c r="R19" i="24"/>
  <c r="I21" i="27"/>
  <c r="I23" i="27" s="1"/>
  <c r="I24" i="27" s="1"/>
  <c r="Q21" i="27"/>
  <c r="R58" i="21"/>
  <c r="R61" i="21" s="1"/>
  <c r="R64" i="21" s="1"/>
  <c r="R65" i="21" s="1"/>
  <c r="O57" i="21"/>
  <c r="A43" i="21"/>
  <c r="J58" i="21"/>
  <c r="J61" i="21" s="1"/>
  <c r="D58" i="29"/>
  <c r="D61" i="29" s="1"/>
  <c r="P23" i="26"/>
  <c r="P24" i="26" s="1"/>
  <c r="G21" i="27"/>
  <c r="G23" i="27" s="1"/>
  <c r="G24" i="27" s="1"/>
  <c r="O21" i="27"/>
  <c r="O23" i="27" s="1"/>
  <c r="O24" i="27" s="1"/>
  <c r="D58" i="30"/>
  <c r="D61" i="30" s="1"/>
  <c r="D64" i="30" s="1"/>
  <c r="L58" i="30"/>
  <c r="L61" i="30" s="1"/>
  <c r="L64" i="30" s="1"/>
  <c r="R58" i="23"/>
  <c r="R61" i="23" s="1"/>
  <c r="H21" i="27"/>
  <c r="H23" i="27" s="1"/>
  <c r="H24" i="27" s="1"/>
  <c r="P21" i="27"/>
  <c r="J58" i="26"/>
  <c r="J61" i="26" s="1"/>
  <c r="R19" i="23"/>
  <c r="J58" i="27"/>
  <c r="J61" i="27" s="1"/>
  <c r="R58" i="27"/>
  <c r="R61" i="27" s="1"/>
  <c r="R64" i="27" s="1"/>
  <c r="R65" i="27" s="1"/>
  <c r="R58" i="28"/>
  <c r="R61" i="28" s="1"/>
  <c r="R64" i="28" s="1"/>
  <c r="R65" i="28" s="1"/>
  <c r="F58" i="23"/>
  <c r="F61" i="23" s="1"/>
  <c r="N58" i="23"/>
  <c r="N61" i="23" s="1"/>
  <c r="L21" i="27"/>
  <c r="L23" i="27" s="1"/>
  <c r="L24" i="27" s="1"/>
  <c r="T21" i="27"/>
  <c r="H57" i="29"/>
  <c r="P58" i="21"/>
  <c r="P61" i="21" s="1"/>
  <c r="H58" i="21"/>
  <c r="H61" i="21" s="1"/>
  <c r="N59" i="23"/>
  <c r="R58" i="26"/>
  <c r="R61" i="26" s="1"/>
  <c r="R57" i="21"/>
  <c r="K58" i="29"/>
  <c r="K61" i="29" s="1"/>
  <c r="I58" i="23"/>
  <c r="I61" i="23" s="1"/>
  <c r="Q58" i="23"/>
  <c r="Q61" i="23" s="1"/>
  <c r="L58" i="29"/>
  <c r="L61" i="29" s="1"/>
  <c r="T58" i="29"/>
  <c r="T61" i="29" s="1"/>
  <c r="T64" i="29" s="1"/>
  <c r="I23" i="30"/>
  <c r="I24" i="30" s="1"/>
  <c r="Q23" i="30"/>
  <c r="Q24" i="30" s="1"/>
  <c r="U23" i="30"/>
  <c r="U24" i="30" s="1"/>
  <c r="J58" i="28"/>
  <c r="J61" i="28" s="1"/>
  <c r="J58" i="23"/>
  <c r="J61" i="23" s="1"/>
  <c r="J58" i="24"/>
  <c r="J61" i="24" s="1"/>
  <c r="R58" i="24"/>
  <c r="R61" i="24" s="1"/>
  <c r="F57" i="24"/>
  <c r="T58" i="30"/>
  <c r="T61" i="30" s="1"/>
  <c r="T64" i="30" s="1"/>
  <c r="T65" i="30" s="1"/>
  <c r="C58" i="23"/>
  <c r="C61" i="23" s="1"/>
  <c r="K58" i="23"/>
  <c r="K61" i="23" s="1"/>
  <c r="S58" i="23"/>
  <c r="S61" i="23" s="1"/>
  <c r="F58" i="26"/>
  <c r="F61" i="26" s="1"/>
  <c r="D58" i="27"/>
  <c r="D61" i="27" s="1"/>
  <c r="D64" i="27" s="1"/>
  <c r="L58" i="27"/>
  <c r="L61" i="27" s="1"/>
  <c r="T58" i="27"/>
  <c r="T61" i="27" s="1"/>
  <c r="T64" i="27" s="1"/>
  <c r="T65" i="27" s="1"/>
  <c r="J58" i="30"/>
  <c r="J61" i="30" s="1"/>
  <c r="R58" i="30"/>
  <c r="R61" i="30" s="1"/>
  <c r="R64" i="30" s="1"/>
  <c r="R65" i="30" s="1"/>
  <c r="P57" i="30"/>
  <c r="J57" i="21"/>
  <c r="H59" i="21"/>
  <c r="R21" i="27"/>
  <c r="R23" i="27" s="1"/>
  <c r="R24" i="27" s="1"/>
  <c r="E58" i="27"/>
  <c r="E61" i="27" s="1"/>
  <c r="M58" i="27"/>
  <c r="M61" i="27" s="1"/>
  <c r="U58" i="27"/>
  <c r="U61" i="27" s="1"/>
  <c r="I58" i="29"/>
  <c r="I61" i="29" s="1"/>
  <c r="I64" i="29" s="1"/>
  <c r="Q58" i="29"/>
  <c r="Q61" i="29" s="1"/>
  <c r="Q64" i="29"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S58" i="28"/>
  <c r="S61" i="28" s="1"/>
  <c r="J58" i="29"/>
  <c r="J61" i="29" s="1"/>
  <c r="R58" i="29"/>
  <c r="R61" i="29" s="1"/>
  <c r="R64" i="29" s="1"/>
  <c r="R65" i="29" s="1"/>
  <c r="P57" i="29"/>
  <c r="L23" i="30"/>
  <c r="L24" i="30" s="1"/>
  <c r="T23" i="30"/>
  <c r="T24" i="30" s="1"/>
  <c r="G58" i="30"/>
  <c r="G61" i="30" s="1"/>
  <c r="O58" i="30"/>
  <c r="O61" i="30" s="1"/>
  <c r="Q57" i="30"/>
  <c r="G58" i="27"/>
  <c r="G61" i="27" s="1"/>
  <c r="T58" i="28"/>
  <c r="T61" i="28" s="1"/>
  <c r="T64" i="28" s="1"/>
  <c r="T65" i="28" s="1"/>
  <c r="C58" i="29"/>
  <c r="C61" i="29" s="1"/>
  <c r="C64" i="29" s="1"/>
  <c r="H58" i="30"/>
  <c r="H61" i="30" s="1"/>
  <c r="H64" i="30" s="1"/>
  <c r="N59" i="30"/>
  <c r="Q57" i="21"/>
  <c r="B58" i="21"/>
  <c r="B61" i="21" s="1"/>
  <c r="D58" i="23"/>
  <c r="D61" i="23" s="1"/>
  <c r="L58" i="23"/>
  <c r="L61" i="23" s="1"/>
  <c r="L64"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Q65" i="30" s="1"/>
  <c r="P59" i="30"/>
  <c r="L58" i="24"/>
  <c r="L61" i="24" s="1"/>
  <c r="L64" i="24" s="1"/>
  <c r="L65" i="24" s="1"/>
  <c r="P58" i="26"/>
  <c r="P61" i="26" s="1"/>
  <c r="F59" i="26"/>
  <c r="O58" i="27"/>
  <c r="O61" i="27" s="1"/>
  <c r="A38" i="21"/>
  <c r="E58" i="23"/>
  <c r="E61" i="23" s="1"/>
  <c r="E64" i="23" s="1"/>
  <c r="M58" i="23"/>
  <c r="M61" i="23" s="1"/>
  <c r="U58" i="23"/>
  <c r="U61" i="23" s="1"/>
  <c r="U64" i="23" s="1"/>
  <c r="U65" i="23" s="1"/>
  <c r="V19" i="23"/>
  <c r="O23" i="24"/>
  <c r="O24" i="24" s="1"/>
  <c r="F58" i="24"/>
  <c r="F61" i="24" s="1"/>
  <c r="N58" i="24"/>
  <c r="N61" i="24" s="1"/>
  <c r="F59" i="24"/>
  <c r="I58" i="27"/>
  <c r="I61" i="27" s="1"/>
  <c r="I64" i="27" s="1"/>
  <c r="Q58" i="27"/>
  <c r="Q61"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L58" i="28"/>
  <c r="L61" i="28" s="1"/>
  <c r="S58" i="29"/>
  <c r="S61" i="29" s="1"/>
  <c r="S64" i="29" s="1"/>
  <c r="P19" i="21"/>
  <c r="F57" i="23"/>
  <c r="L23" i="24"/>
  <c r="L24" i="24" s="1"/>
  <c r="T23" i="24"/>
  <c r="T24" i="24" s="1"/>
  <c r="G58" i="24"/>
  <c r="G61" i="24" s="1"/>
  <c r="O58" i="24"/>
  <c r="O61" i="24" s="1"/>
  <c r="N59" i="24"/>
  <c r="C58" i="26"/>
  <c r="C61" i="26" s="1"/>
  <c r="C64" i="26" s="1"/>
  <c r="K58" i="26"/>
  <c r="K61" i="26" s="1"/>
  <c r="S58" i="26"/>
  <c r="S61" i="26" s="1"/>
  <c r="S64" i="26" s="1"/>
  <c r="S65" i="26" s="1"/>
  <c r="P23" i="27"/>
  <c r="P24" i="27" s="1"/>
  <c r="N57" i="27"/>
  <c r="H59" i="27"/>
  <c r="G58" i="28"/>
  <c r="G61" i="28" s="1"/>
  <c r="O58" i="28"/>
  <c r="O61" i="28" s="1"/>
  <c r="F57" i="28"/>
  <c r="F58" i="29"/>
  <c r="F61" i="29" s="1"/>
  <c r="N58" i="29"/>
  <c r="N61" i="29" s="1"/>
  <c r="H59" i="29"/>
  <c r="C58" i="30"/>
  <c r="C61" i="30" s="1"/>
  <c r="K58" i="30"/>
  <c r="K61" i="30" s="1"/>
  <c r="S58" i="30"/>
  <c r="S61" i="30" s="1"/>
  <c r="H57" i="30"/>
  <c r="D58" i="24"/>
  <c r="D61" i="24" s="1"/>
  <c r="D64" i="24" s="1"/>
  <c r="D65" i="24" s="1"/>
  <c r="D58" i="28"/>
  <c r="D61" i="28" s="1"/>
  <c r="D64" i="28" s="1"/>
  <c r="P58" i="30"/>
  <c r="P61" i="30" s="1"/>
  <c r="Q58" i="21"/>
  <c r="Q61" i="21" s="1"/>
  <c r="Q64" i="21" s="1"/>
  <c r="Q65" i="21" s="1"/>
  <c r="I58" i="21"/>
  <c r="I61" i="21" s="1"/>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S65" i="27" s="1"/>
  <c r="P57" i="27"/>
  <c r="N59" i="27"/>
  <c r="H58" i="28"/>
  <c r="H61" i="28" s="1"/>
  <c r="P58" i="28"/>
  <c r="P61" i="28" s="1"/>
  <c r="N57" i="28"/>
  <c r="D23" i="29"/>
  <c r="D24" i="29" s="1"/>
  <c r="L23" i="29"/>
  <c r="L24" i="29" s="1"/>
  <c r="T23" i="29"/>
  <c r="T24" i="29" s="1"/>
  <c r="G58" i="29"/>
  <c r="G61" i="29" s="1"/>
  <c r="O58" i="29"/>
  <c r="O61" i="29" s="1"/>
  <c r="P59" i="29"/>
  <c r="I57" i="30"/>
  <c r="G57" i="21"/>
  <c r="H58" i="23"/>
  <c r="H61" i="23" s="1"/>
  <c r="H64" i="23" s="1"/>
  <c r="P58" i="23"/>
  <c r="P61" i="23" s="1"/>
  <c r="P64" i="23" s="1"/>
  <c r="P65" i="23" s="1"/>
  <c r="I58" i="24"/>
  <c r="I61" i="24" s="1"/>
  <c r="Q58" i="24"/>
  <c r="Q61" i="24" s="1"/>
  <c r="Q64" i="24" s="1"/>
  <c r="Q65" i="24" s="1"/>
  <c r="E58" i="26"/>
  <c r="E61" i="26" s="1"/>
  <c r="M58" i="26"/>
  <c r="M61" i="26" s="1"/>
  <c r="U58" i="26"/>
  <c r="U61" i="26" s="1"/>
  <c r="N57" i="26"/>
  <c r="P59" i="27"/>
  <c r="I58" i="28"/>
  <c r="I61" i="28" s="1"/>
  <c r="I64" i="28" s="1"/>
  <c r="I65" i="28" s="1"/>
  <c r="Q58" i="28"/>
  <c r="Q61" i="28" s="1"/>
  <c r="Q64" i="28" s="1"/>
  <c r="P23" i="28"/>
  <c r="P24" i="28" s="1"/>
  <c r="H58" i="29"/>
  <c r="H61" i="29" s="1"/>
  <c r="P58" i="29"/>
  <c r="P61" i="29" s="1"/>
  <c r="E58" i="30"/>
  <c r="E61" i="30" s="1"/>
  <c r="E64" i="30" s="1"/>
  <c r="M58" i="30"/>
  <c r="M61" i="30" s="1"/>
  <c r="U58" i="30"/>
  <c r="U61" i="30" s="1"/>
  <c r="U64" i="30" s="1"/>
  <c r="N57" i="30"/>
  <c r="F59" i="30"/>
  <c r="B58" i="30"/>
  <c r="B61" i="30" s="1"/>
  <c r="B64" i="30" s="1"/>
  <c r="B58" i="24"/>
  <c r="B61" i="24" s="1"/>
  <c r="B64" i="24" s="1"/>
  <c r="B58" i="26"/>
  <c r="B61" i="26" s="1"/>
  <c r="B58" i="27"/>
  <c r="B61" i="27" s="1"/>
  <c r="B58" i="23"/>
  <c r="B61" i="23" s="1"/>
  <c r="B58" i="28"/>
  <c r="B61" i="28" s="1"/>
  <c r="B58" i="29"/>
  <c r="B61" i="29" s="1"/>
  <c r="D5" i="20"/>
  <c r="D6" i="20"/>
  <c r="D4" i="20"/>
  <c r="E9" i="20"/>
  <c r="D9" i="20"/>
  <c r="E11" i="20"/>
  <c r="D11" i="20"/>
  <c r="E8" i="20"/>
  <c r="D8" i="20"/>
  <c r="E10" i="20"/>
  <c r="D10" i="20"/>
  <c r="E7" i="20"/>
  <c r="D7" i="20"/>
  <c r="E6" i="20"/>
  <c r="E5" i="20"/>
  <c r="E4" i="20"/>
  <c r="O23" i="30"/>
  <c r="O24" i="30" s="1"/>
  <c r="G23" i="30"/>
  <c r="G24" i="30" s="1"/>
  <c r="R19" i="30"/>
  <c r="F63" i="30"/>
  <c r="N63" i="30"/>
  <c r="S19" i="30"/>
  <c r="S23" i="30"/>
  <c r="S24" i="30" s="1"/>
  <c r="A31" i="30"/>
  <c r="A33" i="30"/>
  <c r="A39" i="30"/>
  <c r="A41" i="30"/>
  <c r="A47" i="30"/>
  <c r="A49" i="30"/>
  <c r="G57" i="30"/>
  <c r="O57" i="30"/>
  <c r="G59" i="30"/>
  <c r="O59" i="30"/>
  <c r="G63" i="30"/>
  <c r="O63" i="30"/>
  <c r="P63" i="30"/>
  <c r="I63" i="30"/>
  <c r="Q63" i="30"/>
  <c r="T19" i="30"/>
  <c r="E19" i="30"/>
  <c r="E20" i="30" s="1"/>
  <c r="V19" i="30"/>
  <c r="F23" i="30"/>
  <c r="F24" i="30" s="1"/>
  <c r="B63" i="30"/>
  <c r="J63" i="30"/>
  <c r="R63" i="30"/>
  <c r="M19" i="30"/>
  <c r="M20" i="30" s="1"/>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J23" i="29"/>
  <c r="J24" i="29" s="1"/>
  <c r="F57" i="29"/>
  <c r="N57" i="29"/>
  <c r="F59" i="29"/>
  <c r="N59" i="29"/>
  <c r="F63" i="29"/>
  <c r="N63" i="29"/>
  <c r="H63" i="29"/>
  <c r="S19" i="29"/>
  <c r="S23" i="29"/>
  <c r="S24" i="29" s="1"/>
  <c r="A31" i="29"/>
  <c r="A33" i="29"/>
  <c r="A39" i="29"/>
  <c r="A41" i="29"/>
  <c r="A47" i="29"/>
  <c r="A49" i="29"/>
  <c r="G57" i="29"/>
  <c r="O57" i="29"/>
  <c r="G59" i="29"/>
  <c r="O59" i="29"/>
  <c r="G63" i="29"/>
  <c r="O63" i="29"/>
  <c r="M19" i="29"/>
  <c r="M20" i="29" s="1"/>
  <c r="U19" i="29"/>
  <c r="E23" i="29"/>
  <c r="E24" i="29" s="1"/>
  <c r="M23" i="29"/>
  <c r="M24" i="29" s="1"/>
  <c r="U23" i="29"/>
  <c r="U24" i="29" s="1"/>
  <c r="I57" i="29"/>
  <c r="Q57" i="29"/>
  <c r="I63" i="29"/>
  <c r="Q63" i="29"/>
  <c r="F19" i="29"/>
  <c r="F20" i="29" s="1"/>
  <c r="V19" i="29"/>
  <c r="F23" i="29"/>
  <c r="F24" i="29" s="1"/>
  <c r="B63" i="29"/>
  <c r="J63" i="29"/>
  <c r="R63" i="29"/>
  <c r="G19" i="29"/>
  <c r="G20" i="29" s="1"/>
  <c r="O19" i="29"/>
  <c r="A32" i="29"/>
  <c r="A34" i="29"/>
  <c r="A40" i="29"/>
  <c r="A42" i="29"/>
  <c r="A48" i="29"/>
  <c r="A50" i="29"/>
  <c r="C63" i="29"/>
  <c r="K63" i="29"/>
  <c r="S63" i="29"/>
  <c r="H19" i="29"/>
  <c r="H20" i="29" s="1"/>
  <c r="P19" i="29"/>
  <c r="D63" i="29"/>
  <c r="L63" i="29"/>
  <c r="T63" i="29"/>
  <c r="E63" i="29"/>
  <c r="M63" i="29"/>
  <c r="S19" i="28"/>
  <c r="K23" i="28"/>
  <c r="K24" i="28" s="1"/>
  <c r="A31" i="28"/>
  <c r="A33" i="28"/>
  <c r="A37" i="28"/>
  <c r="A39" i="28"/>
  <c r="A41" i="28"/>
  <c r="A45" i="28"/>
  <c r="A47" i="28"/>
  <c r="A49" i="28"/>
  <c r="G57" i="28"/>
  <c r="O57" i="28"/>
  <c r="G59" i="28"/>
  <c r="O59" i="28"/>
  <c r="G63" i="28"/>
  <c r="O63" i="28"/>
  <c r="D19" i="28"/>
  <c r="D20" i="28" s="1"/>
  <c r="L23" i="28"/>
  <c r="L24" i="28" s="1"/>
  <c r="T23" i="28"/>
  <c r="T24" i="28" s="1"/>
  <c r="H59" i="28"/>
  <c r="P59" i="28"/>
  <c r="H63" i="28"/>
  <c r="P63" i="28"/>
  <c r="E19" i="28"/>
  <c r="E20" i="28" s="1"/>
  <c r="U19" i="28"/>
  <c r="M23" i="28"/>
  <c r="M24" i="28" s="1"/>
  <c r="I57" i="28"/>
  <c r="Q57" i="28"/>
  <c r="I63" i="28"/>
  <c r="Q63" i="28"/>
  <c r="R19" i="28"/>
  <c r="F19" i="28"/>
  <c r="F20" i="28" s="1"/>
  <c r="V19" i="28"/>
  <c r="F23" i="28"/>
  <c r="F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H19" i="27"/>
  <c r="H20" i="27" s="1"/>
  <c r="D63" i="27"/>
  <c r="L63" i="27"/>
  <c r="T63" i="27"/>
  <c r="H63" i="27"/>
  <c r="Q19" i="27"/>
  <c r="E63" i="27"/>
  <c r="M63" i="27"/>
  <c r="U64" i="26"/>
  <c r="O23" i="26"/>
  <c r="O24" i="26" s="1"/>
  <c r="J23" i="26"/>
  <c r="J24" i="26" s="1"/>
  <c r="H64" i="26"/>
  <c r="H65" i="26" s="1"/>
  <c r="C19" i="26"/>
  <c r="C20" i="26" s="1"/>
  <c r="A31" i="26"/>
  <c r="A33" i="26"/>
  <c r="A37" i="26"/>
  <c r="A39" i="26"/>
  <c r="A41" i="26"/>
  <c r="A45" i="26"/>
  <c r="A47" i="26"/>
  <c r="A49" i="26"/>
  <c r="G57" i="26"/>
  <c r="O57" i="26"/>
  <c r="G59" i="26"/>
  <c r="O59" i="26"/>
  <c r="G63" i="26"/>
  <c r="O63" i="26"/>
  <c r="T19" i="26"/>
  <c r="T23" i="26"/>
  <c r="T24" i="26" s="1"/>
  <c r="H63" i="26"/>
  <c r="P63" i="26"/>
  <c r="M19" i="26"/>
  <c r="M20" i="26" s="1"/>
  <c r="E23" i="26"/>
  <c r="E24" i="26" s="1"/>
  <c r="I57" i="26"/>
  <c r="Q57" i="26"/>
  <c r="I59" i="26"/>
  <c r="I64" i="26" s="1"/>
  <c r="Q59" i="26"/>
  <c r="Q64" i="26" s="1"/>
  <c r="I63" i="26"/>
  <c r="Q63" i="26"/>
  <c r="V23" i="26"/>
  <c r="V24" i="26" s="1"/>
  <c r="B63" i="26"/>
  <c r="J63" i="26"/>
  <c r="R63" i="26"/>
  <c r="G19" i="26"/>
  <c r="G20" i="26" s="1"/>
  <c r="O19" i="26"/>
  <c r="A32" i="26"/>
  <c r="A34" i="26"/>
  <c r="A40" i="26"/>
  <c r="A42" i="26"/>
  <c r="A48" i="26"/>
  <c r="A50" i="26"/>
  <c r="C63" i="26"/>
  <c r="K63" i="26"/>
  <c r="S63" i="26"/>
  <c r="H19" i="26"/>
  <c r="H20" i="26" s="1"/>
  <c r="P19" i="26"/>
  <c r="D63" i="26"/>
  <c r="L63" i="26"/>
  <c r="J23" i="24"/>
  <c r="J24" i="24" s="1"/>
  <c r="H23" i="24"/>
  <c r="H24" i="24" s="1"/>
  <c r="P23" i="24"/>
  <c r="P24" i="24" s="1"/>
  <c r="S19" i="24"/>
  <c r="A31" i="24"/>
  <c r="A33" i="24"/>
  <c r="A37" i="24"/>
  <c r="A39" i="24"/>
  <c r="A41" i="24"/>
  <c r="A45" i="24"/>
  <c r="A47" i="24"/>
  <c r="A49" i="24"/>
  <c r="G57" i="24"/>
  <c r="O57" i="24"/>
  <c r="G59" i="24"/>
  <c r="O59" i="24"/>
  <c r="G63" i="24"/>
  <c r="O63" i="24"/>
  <c r="H59" i="24"/>
  <c r="P59" i="24"/>
  <c r="H63" i="24"/>
  <c r="P63" i="24"/>
  <c r="E19" i="24"/>
  <c r="U19" i="24"/>
  <c r="E23" i="24"/>
  <c r="E24" i="24" s="1"/>
  <c r="U23" i="24"/>
  <c r="U24" i="24" s="1"/>
  <c r="I57" i="24"/>
  <c r="Q57" i="24"/>
  <c r="I63" i="24"/>
  <c r="Q63" i="24"/>
  <c r="F19" i="24"/>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S23" i="23"/>
  <c r="S24" i="23" s="1"/>
  <c r="A31" i="23"/>
  <c r="A33" i="23"/>
  <c r="A37" i="23"/>
  <c r="A39" i="23"/>
  <c r="A41" i="23"/>
  <c r="A45" i="23"/>
  <c r="A47" i="23"/>
  <c r="A49" i="23"/>
  <c r="G57" i="23"/>
  <c r="O57" i="23"/>
  <c r="G59" i="23"/>
  <c r="O59" i="23"/>
  <c r="T19" i="23"/>
  <c r="L23" i="23"/>
  <c r="L24" i="23" s="1"/>
  <c r="T23" i="23"/>
  <c r="T24" i="23" s="1"/>
  <c r="E19" i="23"/>
  <c r="E20" i="23" s="1"/>
  <c r="M19" i="23"/>
  <c r="M20" i="23" s="1"/>
  <c r="E23" i="23"/>
  <c r="E24" i="23" s="1"/>
  <c r="I57" i="23"/>
  <c r="Q57" i="23"/>
  <c r="G19" i="23"/>
  <c r="G20" i="23" s="1"/>
  <c r="O19" i="23"/>
  <c r="A32" i="23"/>
  <c r="A34" i="23"/>
  <c r="A40" i="23"/>
  <c r="A42" i="23"/>
  <c r="A48" i="23"/>
  <c r="A50" i="23"/>
  <c r="H19" i="23"/>
  <c r="H20" i="23" s="1"/>
  <c r="I19" i="23"/>
  <c r="I20" i="23" s="1"/>
  <c r="Q19" i="23"/>
  <c r="P64" i="21"/>
  <c r="P65" i="21" s="1"/>
  <c r="L23" i="21"/>
  <c r="L24" i="21" s="1"/>
  <c r="F23" i="21"/>
  <c r="F24" i="21" s="1"/>
  <c r="A33" i="21"/>
  <c r="A37" i="21"/>
  <c r="A41" i="21"/>
  <c r="A45" i="21"/>
  <c r="A49" i="21"/>
  <c r="E58" i="21"/>
  <c r="E61" i="21" s="1"/>
  <c r="M58" i="21"/>
  <c r="M61" i="21" s="1"/>
  <c r="U58" i="21"/>
  <c r="U61" i="21" s="1"/>
  <c r="U64" i="21" s="1"/>
  <c r="S19" i="21"/>
  <c r="I23" i="21"/>
  <c r="I24" i="21" s="1"/>
  <c r="G23" i="21"/>
  <c r="G24" i="21" s="1"/>
  <c r="M23" i="21"/>
  <c r="M24" i="21" s="1"/>
  <c r="C57" i="21"/>
  <c r="K57" i="21"/>
  <c r="S57" i="21"/>
  <c r="G19" i="21"/>
  <c r="G20" i="21" s="1"/>
  <c r="Q19" i="21"/>
  <c r="J23" i="21"/>
  <c r="J24" i="21" s="1"/>
  <c r="R23" i="21"/>
  <c r="R24" i="21" s="1"/>
  <c r="I19" i="21"/>
  <c r="I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8" l="1"/>
  <c r="L65" i="26"/>
  <c r="Q65" i="26"/>
  <c r="K64" i="30"/>
  <c r="J64" i="27"/>
  <c r="J66" i="27" s="1"/>
  <c r="K64" i="28"/>
  <c r="K65" i="28" s="1"/>
  <c r="J64" i="28"/>
  <c r="J65" i="28" s="1"/>
  <c r="J64" i="30"/>
  <c r="J65" i="30" s="1"/>
  <c r="J64" i="23"/>
  <c r="J66" i="23" s="1"/>
  <c r="L65" i="21"/>
  <c r="Q65" i="29"/>
  <c r="T65" i="29"/>
  <c r="S65" i="29"/>
  <c r="C23" i="21"/>
  <c r="C24" i="21" s="1"/>
  <c r="C19" i="29"/>
  <c r="C20" i="29" s="1"/>
  <c r="I65" i="26"/>
  <c r="C65" i="26"/>
  <c r="H65" i="23"/>
  <c r="E65" i="23"/>
  <c r="L65" i="23"/>
  <c r="B65" i="24"/>
  <c r="D65" i="28"/>
  <c r="K65" i="27"/>
  <c r="I65" i="27"/>
  <c r="C65" i="27"/>
  <c r="D65" i="27"/>
  <c r="D65" i="21"/>
  <c r="K65" i="21"/>
  <c r="C65" i="21"/>
  <c r="L65" i="30"/>
  <c r="I65" i="30"/>
  <c r="D65" i="30"/>
  <c r="E65" i="30"/>
  <c r="H65" i="30"/>
  <c r="K65" i="30"/>
  <c r="B65" i="30"/>
  <c r="I65" i="29"/>
  <c r="C65" i="29"/>
  <c r="M64" i="26"/>
  <c r="M66" i="26" s="1"/>
  <c r="F64" i="26"/>
  <c r="F65" i="26" s="1"/>
  <c r="J64" i="24"/>
  <c r="J65" i="24" s="1"/>
  <c r="I64" i="23"/>
  <c r="I65" i="23" s="1"/>
  <c r="E64" i="27"/>
  <c r="E65" i="27" s="1"/>
  <c r="C64" i="30"/>
  <c r="C65" i="30" s="1"/>
  <c r="C64" i="23"/>
  <c r="C65" i="23" s="1"/>
  <c r="Q64" i="27"/>
  <c r="Q65" i="27" s="1"/>
  <c r="G64" i="30"/>
  <c r="G65" i="30" s="1"/>
  <c r="O64" i="21"/>
  <c r="O65" i="21" s="1"/>
  <c r="U66" i="21"/>
  <c r="U65" i="21"/>
  <c r="U66" i="26"/>
  <c r="U65" i="26"/>
  <c r="L64" i="28"/>
  <c r="L65" i="28" s="1"/>
  <c r="F66" i="26"/>
  <c r="U66" i="30"/>
  <c r="U65" i="30"/>
  <c r="N66" i="21"/>
  <c r="N65" i="21"/>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H64" i="21"/>
  <c r="H65" i="21" s="1"/>
  <c r="H64" i="28"/>
  <c r="G64" i="28"/>
  <c r="P64" i="26"/>
  <c r="P65" i="26" s="1"/>
  <c r="E64" i="28"/>
  <c r="N64" i="23"/>
  <c r="N65" i="23" s="1"/>
  <c r="J64" i="26"/>
  <c r="J65" i="26" s="1"/>
  <c r="B64" i="23"/>
  <c r="M64" i="27"/>
  <c r="H64" i="27"/>
  <c r="L64" i="29"/>
  <c r="L65" i="29" s="1"/>
  <c r="G64" i="24"/>
  <c r="H64" i="24"/>
  <c r="D64" i="23"/>
  <c r="D65" i="23" s="1"/>
  <c r="K64" i="24"/>
  <c r="K65" i="24" s="1"/>
  <c r="P64" i="24"/>
  <c r="P65" i="24" s="1"/>
  <c r="U64" i="29"/>
  <c r="O66" i="21"/>
  <c r="M64" i="30"/>
  <c r="K64" i="26"/>
  <c r="C64" i="28"/>
  <c r="C64" i="24"/>
  <c r="L64" i="27"/>
  <c r="R64" i="24"/>
  <c r="K64" i="29"/>
  <c r="J64" i="29"/>
  <c r="E64" i="29"/>
  <c r="M64" i="21"/>
  <c r="M65" i="21" s="1"/>
  <c r="P64" i="28"/>
  <c r="I64" i="21"/>
  <c r="U64" i="28"/>
  <c r="U64" i="24"/>
  <c r="F64" i="23"/>
  <c r="U64" i="27"/>
  <c r="S66" i="27"/>
  <c r="D66" i="30"/>
  <c r="Q66" i="30"/>
  <c r="B64" i="29"/>
  <c r="B64" i="28"/>
  <c r="B64" i="27"/>
  <c r="B64" i="26"/>
  <c r="B64" i="21"/>
  <c r="T66" i="29"/>
  <c r="O64" i="27"/>
  <c r="O64" i="28"/>
  <c r="N64" i="27"/>
  <c r="N64" i="30"/>
  <c r="L66" i="30"/>
  <c r="G64" i="26"/>
  <c r="G64" i="29"/>
  <c r="O64" i="26"/>
  <c r="T66" i="24"/>
  <c r="U66" i="23"/>
  <c r="P64" i="30"/>
  <c r="P66" i="23"/>
  <c r="T66" i="23"/>
  <c r="Q66" i="21"/>
  <c r="P66" i="21"/>
  <c r="K66" i="27"/>
  <c r="G64" i="23"/>
  <c r="Q66" i="24"/>
  <c r="R66" i="27"/>
  <c r="C66" i="27"/>
  <c r="H66" i="23"/>
  <c r="G64" i="27"/>
  <c r="F64" i="27"/>
  <c r="T66" i="27"/>
  <c r="T66" i="21"/>
  <c r="H66" i="30"/>
  <c r="E66" i="30"/>
  <c r="L66" i="21"/>
  <c r="S66" i="26"/>
  <c r="L66" i="26"/>
  <c r="T66" i="30"/>
  <c r="C66" i="29"/>
  <c r="R66" i="28"/>
  <c r="N64" i="26"/>
  <c r="O64" i="29"/>
  <c r="P64" i="29"/>
  <c r="S64" i="1"/>
  <c r="R66" i="26"/>
  <c r="D66" i="27"/>
  <c r="N64" i="29"/>
  <c r="R66" i="30"/>
  <c r="L66" i="23"/>
  <c r="R64" i="1"/>
  <c r="Q64" i="1"/>
  <c r="U64" i="1"/>
  <c r="P64" i="1"/>
  <c r="E66" i="27"/>
  <c r="Q66" i="29"/>
  <c r="F64" i="29"/>
  <c r="O64" i="23"/>
  <c r="O64" i="30"/>
  <c r="N64" i="24"/>
  <c r="B66" i="30"/>
  <c r="B66" i="24"/>
  <c r="K66" i="30"/>
  <c r="I66" i="30"/>
  <c r="R66" i="29"/>
  <c r="I66" i="29"/>
  <c r="S66" i="29"/>
  <c r="T66" i="28"/>
  <c r="D66" i="28"/>
  <c r="Q66" i="28"/>
  <c r="I66" i="28"/>
  <c r="S66" i="28"/>
  <c r="I66" i="27"/>
  <c r="P66" i="27"/>
  <c r="Q66" i="26"/>
  <c r="P66" i="26"/>
  <c r="C66" i="26"/>
  <c r="I66" i="26"/>
  <c r="H66" i="26"/>
  <c r="L66" i="24"/>
  <c r="P66" i="24"/>
  <c r="D66" i="24"/>
  <c r="K66" i="24"/>
  <c r="N66" i="23"/>
  <c r="E66" i="23"/>
  <c r="H66" i="21"/>
  <c r="K66" i="21"/>
  <c r="C66" i="21"/>
  <c r="D66" i="21"/>
  <c r="R66" i="21"/>
  <c r="N64" i="1"/>
  <c r="M64" i="1"/>
  <c r="T64" i="1"/>
  <c r="L64" i="1"/>
  <c r="J64" i="1"/>
  <c r="K64" i="1"/>
  <c r="O64" i="1"/>
  <c r="C64" i="1"/>
  <c r="I64" i="1"/>
  <c r="H64" i="1"/>
  <c r="G64" i="1"/>
  <c r="F64" i="1"/>
  <c r="E64" i="1"/>
  <c r="D64" i="1"/>
  <c r="B64" i="1"/>
  <c r="D63" i="1"/>
  <c r="L63" i="1"/>
  <c r="F63" i="1"/>
  <c r="R63" i="1"/>
  <c r="J63" i="1"/>
  <c r="Q63" i="1"/>
  <c r="I63" i="1"/>
  <c r="I65" i="1" s="1"/>
  <c r="C63" i="1"/>
  <c r="K63" i="1"/>
  <c r="P63" i="1"/>
  <c r="P65" i="1" s="1"/>
  <c r="H63" i="1"/>
  <c r="H65" i="1" s="1"/>
  <c r="T63" i="1"/>
  <c r="S63" i="1"/>
  <c r="O63" i="1"/>
  <c r="O65" i="1" s="1"/>
  <c r="G63" i="1"/>
  <c r="G65" i="1" s="1"/>
  <c r="N63" i="1"/>
  <c r="E63" i="1"/>
  <c r="B63" i="1"/>
  <c r="U63" i="1"/>
  <c r="U65" i="1" s="1"/>
  <c r="M63" i="1"/>
  <c r="J65" i="27" l="1"/>
  <c r="M65" i="26"/>
  <c r="J66" i="28"/>
  <c r="J65" i="23"/>
  <c r="K66" i="28"/>
  <c r="J66" i="30"/>
  <c r="J66" i="24"/>
  <c r="J66" i="26"/>
  <c r="M66" i="21"/>
  <c r="I66" i="23"/>
  <c r="C66" i="23"/>
  <c r="C66" i="30"/>
  <c r="L65" i="1"/>
  <c r="L66" i="28"/>
  <c r="I66" i="24"/>
  <c r="G66" i="30"/>
  <c r="F65" i="1"/>
  <c r="D66" i="26"/>
  <c r="D66" i="29"/>
  <c r="C65" i="1"/>
  <c r="B65" i="1"/>
  <c r="Q66" i="1"/>
  <c r="Q65" i="1"/>
  <c r="S65" i="1"/>
  <c r="J65" i="1"/>
  <c r="M66" i="28"/>
  <c r="M65" i="1"/>
  <c r="T66" i="1"/>
  <c r="T65" i="1"/>
  <c r="R65" i="1"/>
  <c r="D66" i="23"/>
  <c r="S66" i="24"/>
  <c r="L66" i="29"/>
  <c r="Q66" i="27"/>
  <c r="E65" i="1"/>
  <c r="K65" i="1"/>
  <c r="D65" i="1"/>
  <c r="S66" i="23"/>
  <c r="N65" i="1"/>
  <c r="M66" i="24"/>
  <c r="M66" i="29"/>
  <c r="N66" i="24"/>
  <c r="N65" i="24"/>
  <c r="G66" i="27"/>
  <c r="G65" i="27"/>
  <c r="O66" i="26"/>
  <c r="O65" i="26"/>
  <c r="O66" i="28"/>
  <c r="O65" i="28"/>
  <c r="P66" i="28"/>
  <c r="P65" i="28"/>
  <c r="C66" i="28"/>
  <c r="C65" i="28"/>
  <c r="H66" i="24"/>
  <c r="H65" i="24"/>
  <c r="E66" i="28"/>
  <c r="E65" i="28"/>
  <c r="F66" i="30"/>
  <c r="F65" i="30"/>
  <c r="N66" i="28"/>
  <c r="N65" i="28"/>
  <c r="E66" i="26"/>
  <c r="E65" i="26"/>
  <c r="R66" i="23"/>
  <c r="R65" i="23"/>
  <c r="O66" i="30"/>
  <c r="O65" i="30"/>
  <c r="O66" i="27"/>
  <c r="O65" i="27"/>
  <c r="K66" i="26"/>
  <c r="K65" i="26"/>
  <c r="G66" i="24"/>
  <c r="G65" i="24"/>
  <c r="Q66" i="23"/>
  <c r="Q65" i="23"/>
  <c r="F66" i="21"/>
  <c r="F65" i="21"/>
  <c r="T66" i="26"/>
  <c r="T65" i="26"/>
  <c r="M66" i="23"/>
  <c r="M65" i="23"/>
  <c r="O66" i="23"/>
  <c r="O65" i="23"/>
  <c r="G66" i="29"/>
  <c r="G65" i="29"/>
  <c r="E66" i="29"/>
  <c r="E65" i="29"/>
  <c r="M66" i="30"/>
  <c r="M65" i="30"/>
  <c r="G66" i="28"/>
  <c r="G65" i="28"/>
  <c r="S66" i="30"/>
  <c r="S65" i="30"/>
  <c r="E66" i="21"/>
  <c r="E65" i="21"/>
  <c r="F66" i="29"/>
  <c r="F65" i="29"/>
  <c r="P66" i="29"/>
  <c r="P65" i="29"/>
  <c r="G66" i="26"/>
  <c r="G65" i="26"/>
  <c r="B66" i="21"/>
  <c r="B65" i="21"/>
  <c r="U66" i="27"/>
  <c r="U65" i="27"/>
  <c r="J66" i="29"/>
  <c r="J65" i="29"/>
  <c r="H66" i="27"/>
  <c r="H65" i="27"/>
  <c r="H66" i="28"/>
  <c r="H65" i="28"/>
  <c r="H66" i="29"/>
  <c r="H65" i="29"/>
  <c r="S66" i="21"/>
  <c r="S65" i="21"/>
  <c r="O66" i="29"/>
  <c r="O65" i="29"/>
  <c r="B66" i="26"/>
  <c r="B65" i="26"/>
  <c r="F66" i="23"/>
  <c r="F65" i="23"/>
  <c r="K66" i="29"/>
  <c r="K65" i="29"/>
  <c r="U66" i="29"/>
  <c r="U65" i="29"/>
  <c r="M66" i="27"/>
  <c r="M65" i="27"/>
  <c r="G66" i="21"/>
  <c r="G65" i="21"/>
  <c r="N66" i="26"/>
  <c r="N65" i="26"/>
  <c r="F66" i="27"/>
  <c r="F65" i="27"/>
  <c r="P66" i="30"/>
  <c r="P65" i="30"/>
  <c r="B66" i="27"/>
  <c r="B65" i="27"/>
  <c r="U66" i="24"/>
  <c r="U65" i="24"/>
  <c r="R66" i="24"/>
  <c r="R65" i="24"/>
  <c r="B66" i="23"/>
  <c r="B65" i="23"/>
  <c r="E66" i="24"/>
  <c r="E65" i="24"/>
  <c r="F66" i="28"/>
  <c r="F65" i="28"/>
  <c r="O66" i="24"/>
  <c r="O65" i="24"/>
  <c r="G66" i="23"/>
  <c r="G65" i="23"/>
  <c r="N66" i="30"/>
  <c r="N65" i="30"/>
  <c r="B66" i="28"/>
  <c r="B65" i="28"/>
  <c r="U66" i="28"/>
  <c r="U65" i="28"/>
  <c r="L66" i="27"/>
  <c r="L65" i="27"/>
  <c r="F66" i="24"/>
  <c r="F65" i="24"/>
  <c r="N66" i="29"/>
  <c r="N65" i="29"/>
  <c r="N66" i="27"/>
  <c r="N65" i="27"/>
  <c r="B66" i="29"/>
  <c r="B65" i="29"/>
  <c r="I66" i="21"/>
  <c r="I65" i="21"/>
  <c r="C66" i="24"/>
  <c r="C65" i="24"/>
  <c r="K66" i="23"/>
  <c r="K65" i="23"/>
  <c r="J66" i="21"/>
  <c r="J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<sst xmlns="http://schemas.openxmlformats.org/spreadsheetml/2006/main" count="2033" uniqueCount="171">
  <si>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</si>
  <si>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</si>
  <si>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</si>
  <si>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</si>
  <si>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</si>
  <si>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</si>
  <si>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</si>
  <si>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</si>
  <si>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</si>
  <si>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</si>
  <si>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</si>
  <si>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</si>
  <si>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</si>
  <si>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</si>
  <si>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</si>
  <si>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</si>
  <si>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</si>
  <si>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</si>
  <si>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</si>
  <si>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</si>
  <si>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</si>
  <si>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</si>
  <si>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</si>
  <si>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</si>
  <si>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</si>
  <si>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</si>
  <si>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</si>
  <si>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</si>
  <si>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</si>
  <si>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</si>
  <si>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</si>
  <si>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</si>
  <si>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</si>
  <si>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</si>
  <si>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</si>
  <si>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</si>
  <si>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</si>
  <si>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</si>
  <si>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</si>
  <si>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</si>
  <si>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</si>
  <si>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</si>
  <si>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</si>
  <si>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</si>
  <si>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</si>
  <si>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</si>
  <si>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</si>
  <si>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</si>
  <si>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</si>
  <si>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</si>
  <si>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</si>
  <si>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</si>
  <si>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</si>
  <si>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</si>
  <si>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</si>
  <si>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</si>
  <si>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</si>
  <si>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</si>
  <si>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</si>
  <si>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</si>
  <si>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</si>
  <si>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</si>
  <si>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</si>
  <si>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</si>
  <si>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</si>
  <si>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</si>
  <si>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</si>
  <si>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</si>
  <si>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</si>
  <si>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</si>
  <si>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</si>
  <si>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</si>
  <si>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</si>
  <si>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</si>
  <si>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</si>
  <si>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</si>
  <si>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</si>
  <si>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</si>
  <si>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</si>
  <si>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</si>
  <si>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</si>
  <si>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</si>
  <si>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</si>
  <si>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</si>
  <si>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</si>
  <si>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</si>
  <si>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</si>
  <si>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</si>
  <si>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</si>
  <si>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</si>
  <si>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</si>
  <si>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</si>
  <si>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</si>
  <si>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</si>
  <si>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</si>
  <si>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</si>
  <si>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</si>
  <si>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</si>
  <si>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</si>
  <si>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</si>
  <si>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</si>
  <si>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</si>
  <si>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</si>
  <si>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</si>
  <si>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</si>
  <si>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</si>
  <si>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</si>
  <si>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</si>
  <si>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</si>
  <si>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</si>
  <si>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</si>
  <si>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</si>
  <si>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</si>
  <si>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</si>
  <si>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</si>
  <si>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</si>
  <si>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</si>
  <si>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</si>
  <si>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</si>
  <si>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</si>
  <si>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</si>
  <si>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</si>
  <si>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</si>
  <si>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</si>
  <si>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</si>
  <si>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</si>
  <si>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</si>
  <si>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</si>
  <si>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</si>
  <si>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</si>
  <si>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</si>
  <si>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</si>
  <si>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</si>
  <si>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</si>
  <si>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</si>
  <si>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</si>
  <si>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</si>
  <si>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</si>
  <si>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</si>
  <si>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</si>
  <si>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</si>
  <si>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</si>
  <si>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</si>
  <si>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</si>
  <si>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</si>
  <si>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</si>
  <si>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</si>
  <si>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</si>
  <si>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</si>
  <si>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</si>
  <si>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</si>
  <si>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</si>
  <si>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</si>
  <si>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</si>
  <si>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</si>
  <si>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</si>
  <si>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</si>
  <si>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</si>
  <si>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</si>
  <si>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</si>
  <si>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PAN-018476</t>
  </si>
  <si>
    <t>EPR/GP3792SK</t>
  </si>
  <si>
    <t>Mr Ian Holden</t>
  </si>
  <si>
    <t>Tyncwm, Llansawel, SA19 7PQ</t>
  </si>
  <si>
    <t>Owen Clee</t>
  </si>
  <si>
    <t>19 09 02</t>
  </si>
  <si>
    <t xml:space="preserve">Potable water treatment
sludge
</t>
  </si>
  <si>
    <t>Potable water treatment
sludge</t>
  </si>
  <si>
    <t xml:space="preserve">Moderate </t>
  </si>
  <si>
    <t xml:space="preserve">1 (Bwlch) </t>
  </si>
  <si>
    <t>1 (Ystrad)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</si>
</sst>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378">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360F44E4-7249-415F-8D5E-41D249F9A162}" name="Crop" dataDxfId="341"/>
    <tableColumn id="2" xr3:uid="{55E07717-B4EC-4E8A-B9A9-34F3CF85E32D}" name="P Offtake" dataDxfId="340"/>
    <tableColumn id="3" xr3:uid="{7B25FA52-8104-4FE3-AED4-B53CBFDF89B2}" name="K Offtake" dataDxfId="339"/>
    <tableColumn id="4" xr3:uid="{0DBAE461-2D09-43C8-9342-3980D552AE4D}" name="Order" dataDxfId="338"/>
    <tableColumn id="5" xr3:uid="{52CACE7B-0CBA-46FC-9F24-02CBD6100239}" name="Lime pH requirement" dataDxfId="337"/>
    <tableColumn id="6" xr3:uid="{F1432630-9B16-4266-8147-CE754A715307}" name="Column1" dataDxfId="33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C4B2E6E9-5990-417D-9E04-7933BDF1FC69}" name="Crop" dataDxfId="299"/>
    <tableColumn id="2" xr3:uid="{E74EF8D0-6C68-49B8-AE52-40C276CA5FC9}" name="P Offtake" dataDxfId="298"/>
    <tableColumn id="3" xr3:uid="{9E0A7857-36E3-482D-B4B2-65B90760417F}" name="K Offtake" dataDxfId="297"/>
    <tableColumn id="4" xr3:uid="{A78867D2-7566-4070-AF99-15EE4CEB1699}" name="Order" dataDxfId="296"/>
    <tableColumn id="5" xr3:uid="{240FD5FA-5659-468E-8544-C93086800EC9}" name="Lime pH requirement" dataDxfId="295"/>
    <tableColumn id="6" xr3:uid="{D5C8E9C3-9076-473B-AE62-DA32692BAABC}" name="Column1" dataDxfId="294"/>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973D7FFB-D248-4199-9B2E-B3C6CC09D382}" name="Crop" dataDxfId="257"/>
    <tableColumn id="2" xr3:uid="{7F2A3986-EC86-4CF9-BD10-791170BA6682}" name="P Offtake" dataDxfId="256"/>
    <tableColumn id="3" xr3:uid="{D6129C35-9DC6-42E5-AE3F-EA3A083168E6}" name="K Offtake" dataDxfId="255"/>
    <tableColumn id="4" xr3:uid="{C1CC42B5-564A-4DE7-B817-B7D686FE9A11}" name="Order" dataDxfId="254"/>
    <tableColumn id="5" xr3:uid="{620F3ABD-564C-411A-8DEA-CE1A34F9FC36}" name="Lime pH requirement" dataDxfId="253"/>
    <tableColumn id="6" xr3:uid="{76C9BC4F-4FF3-4AFB-8E7B-16DC0CC3E97C}" name="Column1" dataDxfId="25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7E96A84B-948F-445F-BD6E-30CC8E6E6DD1}" name="Crop" dataDxfId="215"/>
    <tableColumn id="2" xr3:uid="{12657DDB-F680-47DE-ABB1-8675D5F91E41}" name="P Offtake" dataDxfId="214"/>
    <tableColumn id="3" xr3:uid="{DEB99109-D325-4F98-8A71-E70C03433437}" name="K Offtake" dataDxfId="213"/>
    <tableColumn id="4" xr3:uid="{E96A561F-7E7F-4FB3-97AA-0B35D8C8E93A}" name="Order" dataDxfId="212"/>
    <tableColumn id="5" xr3:uid="{181DD475-0A71-4C52-AF1A-8BFF46F5A827}" name="Lime pH requirement" dataDxfId="211"/>
    <tableColumn id="6" xr3:uid="{AC3FA7E8-D76B-43A3-B715-04446DFF63C6}" name="Column1" dataDxfId="210"/>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06008BA1-A1E9-4286-B67A-352533C06A26}" name="Crop" dataDxfId="131"/>
    <tableColumn id="2" xr3:uid="{2AEB5EEB-C9D1-41DC-913E-953A33D1A4AF}" name="P Offtake" dataDxfId="130"/>
    <tableColumn id="3" xr3:uid="{8FA16A0B-1017-4CEE-862E-0A8CBD8EB3D3}" name="K Offtake" dataDxfId="129"/>
    <tableColumn id="4" xr3:uid="{E7A3B8CD-4036-47F4-B818-C3F22E80C749}" name="Order" dataDxfId="128"/>
    <tableColumn id="5" xr3:uid="{8F3EBD84-7904-4559-9B5C-63088B792C98}" name="Lime pH requirement" dataDxfId="127"/>
    <tableColumn id="6" xr3:uid="{A21DD95A-C955-4510-9114-E3F1CB645370}" name="Column1" dataDxfId="126"/>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11579FCC-3D9F-49AD-888D-5D79B801F6AE}" name="Crop" dataDxfId="89"/>
    <tableColumn id="2" xr3:uid="{05C08116-56D5-4CC6-A649-B06AF891B931}" name="P Offtake" dataDxfId="88"/>
    <tableColumn id="3" xr3:uid="{59CDE959-192B-4757-9203-A0F691CF0F96}" name="K Offtake" dataDxfId="87"/>
    <tableColumn id="4" xr3:uid="{9FB8E4F7-B91F-4CE0-AF39-D4895D0ECF2F}" name="Order" dataDxfId="86"/>
    <tableColumn id="5" xr3:uid="{688FF2A4-D7C6-4425-A915-A9ADD700A9EE}" name="Lime pH requirement" dataDxfId="85"/>
    <tableColumn id="6" xr3:uid="{05FC5CFF-3D81-4B5F-87C7-2364076F2714}" name="Column1" dataDxfId="8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tabSelected="1" zoomScale="70" zoomScaleNormal="70" workbookViewId="0">
      <selection activeCell="N2" sqref="N2"/>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8" t="s">
        <v>41</v>
      </c>
      <c r="B1" s="128"/>
      <c r="C1" s="122" t="s">
        <v>160</v>
      </c>
      <c r="D1" s="123"/>
      <c r="E1" s="92" t="s">
        <v>45</v>
      </c>
      <c r="F1" s="95">
        <v>32.07</v>
      </c>
      <c r="G1" s="124" t="s">
        <v>43</v>
      </c>
      <c r="H1" s="125"/>
      <c r="I1" s="95">
        <v>5.28</v>
      </c>
      <c r="J1" s="128" t="s">
        <v>153</v>
      </c>
      <c r="K1" s="128"/>
      <c r="L1" s="95">
        <v>25</v>
      </c>
      <c r="AB1" s="18"/>
      <c r="AC1" s="18"/>
      <c r="AD1" s="29" t="s">
        <v>126</v>
      </c>
      <c r="AE1" s="17"/>
      <c r="AF1" s="17"/>
      <c r="AG1" s="18"/>
      <c r="AH1" s="18"/>
      <c r="AI1" s="39" t="s">
        <v>79</v>
      </c>
      <c r="AJ1" s="40" t="s">
        <v>94</v>
      </c>
      <c r="AK1" s="41" t="s">
        <v>95</v>
      </c>
      <c r="AL1" s="42" t="s">
        <v>125</v>
      </c>
      <c r="AM1" s="42" t="s">
        <v>131</v>
      </c>
      <c r="AN1" s="42" t="s">
        <v>111</v>
      </c>
    </row>
    <row r="2" spans="1:40" ht="13" x14ac:dyDescent="0.3">
      <c r="A2" s="128" t="s">
        <v>87</v>
      </c>
      <c r="B2" s="128"/>
      <c r="C2" s="120" t="s">
        <v>161</v>
      </c>
      <c r="D2" s="121"/>
      <c r="E2" s="92" t="s">
        <v>109</v>
      </c>
      <c r="F2" s="95" t="s">
        <v>165</v>
      </c>
      <c r="G2" s="126" t="s">
        <v>110</v>
      </c>
      <c r="H2" s="127"/>
      <c r="I2" s="95">
        <v>54</v>
      </c>
      <c r="J2" s="128" t="s">
        <v>158</v>
      </c>
      <c r="K2" s="128"/>
      <c r="L2" s="95">
        <v>0.02</v>
      </c>
      <c r="AB2" s="29" t="s">
        <v>56</v>
      </c>
      <c r="AC2" s="17"/>
      <c r="AD2" s="29" t="s">
        <v>70</v>
      </c>
      <c r="AE2" s="17"/>
      <c r="AF2" s="17"/>
      <c r="AG2" s="43" t="s">
        <v>76</v>
      </c>
      <c r="AH2" s="18"/>
      <c r="AI2" s="44" t="s">
        <v>126</v>
      </c>
      <c r="AJ2" s="45">
        <v>0</v>
      </c>
      <c r="AK2" s="46">
        <v>0</v>
      </c>
      <c r="AL2" s="10">
        <v>0</v>
      </c>
      <c r="AM2" s="11">
        <v>0</v>
      </c>
      <c r="AN2" s="11">
        <v>0</v>
      </c>
    </row>
    <row r="3" spans="1:40" ht="13" x14ac:dyDescent="0.25">
      <c r="A3" s="124" t="s">
        <v>42</v>
      </c>
      <c r="B3" s="125"/>
      <c r="C3" s="120" t="s">
        <v>162</v>
      </c>
      <c r="D3" s="121"/>
      <c r="E3" s="92" t="s">
        <v>108</v>
      </c>
      <c r="F3" s="30" t="s">
        <v>77</v>
      </c>
      <c r="G3" s="128" t="s">
        <v>159</v>
      </c>
      <c r="H3" s="128"/>
      <c r="I3" s="95"/>
      <c r="J3" s="124" t="s">
        <v>154</v>
      </c>
      <c r="K3" s="125"/>
      <c r="L3" s="95">
        <f>(L1/(L2*10000))*100</f>
        <v>12.5</v>
      </c>
      <c r="AB3" s="29" t="s">
        <v>57</v>
      </c>
      <c r="AC3" s="17"/>
      <c r="AD3" s="29" t="s">
        <v>71</v>
      </c>
      <c r="AE3" s="17"/>
      <c r="AF3" s="17"/>
      <c r="AG3" s="43" t="s">
        <v>77</v>
      </c>
      <c r="AH3" s="18"/>
      <c r="AI3" s="47" t="s">
        <v>113</v>
      </c>
      <c r="AJ3" s="48">
        <v>1.7</v>
      </c>
      <c r="AK3" s="49">
        <v>6</v>
      </c>
      <c r="AL3" s="50">
        <v>1</v>
      </c>
      <c r="AM3" s="11">
        <v>6.2</v>
      </c>
      <c r="AN3" s="11" t="s">
        <v>112</v>
      </c>
    </row>
    <row r="4" spans="1:40" ht="37.5" x14ac:dyDescent="0.25">
      <c r="A4" s="128" t="s">
        <v>0</v>
      </c>
      <c r="B4" s="128"/>
      <c r="C4" s="129" t="s">
        <v>163</v>
      </c>
      <c r="D4" s="123"/>
      <c r="E4" s="93" t="s">
        <v>1</v>
      </c>
      <c r="F4" s="118" t="s">
        <v>166</v>
      </c>
      <c r="G4" s="128"/>
      <c r="H4" s="128"/>
      <c r="I4" s="95"/>
      <c r="J4" s="124"/>
      <c r="K4" s="125"/>
      <c r="L4" s="95"/>
      <c r="AB4" s="29" t="s">
        <v>52</v>
      </c>
      <c r="AC4" s="17"/>
      <c r="AD4" s="51" t="s">
        <v>72</v>
      </c>
      <c r="AE4" s="17"/>
      <c r="AF4" s="17"/>
      <c r="AG4" s="43" t="s">
        <v>78</v>
      </c>
      <c r="AH4" s="18"/>
      <c r="AI4" s="52" t="s">
        <v>124</v>
      </c>
      <c r="AJ4" s="53">
        <v>7</v>
      </c>
      <c r="AK4" s="54">
        <v>10.5</v>
      </c>
      <c r="AL4" s="11">
        <v>2</v>
      </c>
      <c r="AM4" s="11">
        <v>6.7</v>
      </c>
      <c r="AN4" s="11" t="s">
        <v>135</v>
      </c>
    </row>
    <row r="5" spans="1:40" ht="13" x14ac:dyDescent="0.25">
      <c r="A5" s="128" t="s">
        <v>47</v>
      </c>
      <c r="B5" s="128"/>
      <c r="C5" s="130" t="s">
        <v>164</v>
      </c>
      <c r="D5" s="130"/>
      <c r="E5" s="93"/>
      <c r="F5" s="94"/>
      <c r="G5" s="128"/>
      <c r="H5" s="128"/>
      <c r="I5" s="95"/>
      <c r="J5" s="124"/>
      <c r="K5" s="125"/>
      <c r="L5" s="95"/>
      <c r="AB5" s="29" t="s">
        <v>53</v>
      </c>
      <c r="AC5" s="17"/>
      <c r="AD5" s="51" t="s">
        <v>73</v>
      </c>
      <c r="AE5" s="17"/>
      <c r="AF5" s="17"/>
      <c r="AG5" s="43" t="s">
        <v>104</v>
      </c>
      <c r="AH5" s="18"/>
      <c r="AI5" s="52" t="s">
        <v>123</v>
      </c>
      <c r="AJ5" s="53">
        <v>6.5</v>
      </c>
      <c r="AK5" s="54">
        <v>5.5</v>
      </c>
      <c r="AL5" s="11">
        <v>3</v>
      </c>
      <c r="AM5" s="11">
        <v>6.7</v>
      </c>
      <c r="AN5" s="11" t="s">
        <v>135</v>
      </c>
    </row>
    <row r="6" spans="1:40"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0"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row>
    <row r="8" spans="1:40" ht="13" x14ac:dyDescent="0.25">
      <c r="A8" s="128" t="s">
        <v>2</v>
      </c>
      <c r="B8" s="128"/>
      <c r="C8" s="15" t="s">
        <v>170</v>
      </c>
      <c r="D8" s="15">
        <v>2</v>
      </c>
      <c r="E8" s="15">
        <v>3</v>
      </c>
      <c r="F8" s="15">
        <v>4</v>
      </c>
      <c r="G8" s="15">
        <v>5</v>
      </c>
      <c r="H8" s="15">
        <v>6</v>
      </c>
      <c r="I8" s="15">
        <v>7</v>
      </c>
      <c r="J8" s="15" t="s">
        <v>169</v>
      </c>
      <c r="K8" s="15">
        <v>20</v>
      </c>
      <c r="L8" s="15"/>
      <c r="M8" s="15"/>
      <c r="N8" s="15"/>
      <c r="O8" s="15"/>
      <c r="P8" s="15"/>
      <c r="Q8" s="15"/>
      <c r="R8" s="15"/>
      <c r="S8" s="15"/>
      <c r="T8" s="15"/>
      <c r="U8" s="15"/>
      <c r="V8" s="15"/>
      <c r="AB8" s="60"/>
      <c r="AC8" s="60"/>
      <c r="AD8" s="18"/>
      <c r="AE8" s="17" t="s">
        <v>139</v>
      </c>
      <c r="AF8" s="17"/>
      <c r="AG8" s="18"/>
      <c r="AH8" s="18"/>
      <c r="AI8" s="52" t="s">
        <v>105</v>
      </c>
      <c r="AJ8" s="61">
        <v>1.4</v>
      </c>
      <c r="AK8" s="54">
        <v>4.4000000000000004</v>
      </c>
      <c r="AL8" s="11">
        <v>6</v>
      </c>
      <c r="AM8" s="11">
        <v>6.7</v>
      </c>
      <c r="AN8" s="11" t="s">
        <v>135</v>
      </c>
    </row>
    <row r="9" spans="1:40" ht="13" x14ac:dyDescent="0.25">
      <c r="A9" s="128" t="s">
        <v>3</v>
      </c>
      <c r="B9" s="128"/>
      <c r="C9" s="15" t="s">
        <v>168</v>
      </c>
      <c r="D9" s="15" t="s">
        <v>168</v>
      </c>
      <c r="E9" s="15" t="s">
        <v>168</v>
      </c>
      <c r="F9" s="15" t="s">
        <v>168</v>
      </c>
      <c r="G9" s="15" t="s">
        <v>168</v>
      </c>
      <c r="H9" s="15" t="s">
        <v>168</v>
      </c>
      <c r="I9" s="15" t="s">
        <v>168</v>
      </c>
      <c r="J9" s="15" t="s">
        <v>168</v>
      </c>
      <c r="K9" s="15" t="s">
        <v>168</v>
      </c>
      <c r="L9" s="15"/>
      <c r="M9" s="15"/>
      <c r="N9" s="15"/>
      <c r="O9" s="15"/>
      <c r="P9" s="15"/>
      <c r="Q9" s="15"/>
      <c r="R9" s="15"/>
      <c r="S9" s="15"/>
      <c r="T9" s="15"/>
      <c r="U9" s="15"/>
      <c r="V9" s="15"/>
      <c r="AB9" s="17"/>
      <c r="AC9" s="17"/>
      <c r="AD9" s="29" t="s">
        <v>137</v>
      </c>
      <c r="AE9" s="29">
        <v>4.5</v>
      </c>
      <c r="AF9" s="17"/>
      <c r="AG9" s="18"/>
      <c r="AH9" s="18"/>
      <c r="AI9" s="62" t="s">
        <v>103</v>
      </c>
      <c r="AJ9" s="63">
        <v>0.7</v>
      </c>
      <c r="AK9" s="64">
        <v>4</v>
      </c>
      <c r="AL9" s="28">
        <v>7</v>
      </c>
      <c r="AM9" s="11">
        <v>6.7</v>
      </c>
      <c r="AN9" s="11" t="s">
        <v>135</v>
      </c>
    </row>
    <row r="10" spans="1:40" ht="13" x14ac:dyDescent="0.25">
      <c r="A10" s="128" t="s">
        <v>4</v>
      </c>
      <c r="B10" s="128"/>
      <c r="C10" s="15">
        <v>6</v>
      </c>
      <c r="D10" s="15">
        <v>5.9</v>
      </c>
      <c r="E10" s="15">
        <v>5.8</v>
      </c>
      <c r="F10" s="15">
        <v>5.8</v>
      </c>
      <c r="G10" s="15">
        <v>5.8</v>
      </c>
      <c r="H10" s="15">
        <v>5.8</v>
      </c>
      <c r="I10" s="15">
        <v>5.8</v>
      </c>
      <c r="J10" s="15">
        <v>5.9</v>
      </c>
      <c r="K10" s="15">
        <v>5.3</v>
      </c>
      <c r="L10" s="15"/>
      <c r="M10" s="15"/>
      <c r="N10" s="15"/>
      <c r="O10" s="15"/>
      <c r="P10" s="15"/>
      <c r="Q10" s="15"/>
      <c r="R10" s="15"/>
      <c r="S10" s="15"/>
      <c r="T10" s="15"/>
      <c r="U10" s="15"/>
      <c r="V10" s="15"/>
      <c r="AB10" s="17"/>
      <c r="AC10" s="17"/>
      <c r="AD10" s="29" t="s">
        <v>140</v>
      </c>
      <c r="AE10" s="29">
        <v>5</v>
      </c>
      <c r="AF10" s="17"/>
      <c r="AG10" s="18"/>
      <c r="AH10" s="18"/>
      <c r="AI10" s="52" t="s">
        <v>97</v>
      </c>
      <c r="AJ10" s="53">
        <v>9</v>
      </c>
      <c r="AK10" s="54">
        <v>16.5</v>
      </c>
      <c r="AL10" s="11">
        <v>8</v>
      </c>
      <c r="AM10" s="11">
        <v>6.7</v>
      </c>
      <c r="AN10" s="11" t="s">
        <v>135</v>
      </c>
    </row>
    <row r="11" spans="1:40" ht="13" x14ac:dyDescent="0.25">
      <c r="A11" s="128" t="s">
        <v>5</v>
      </c>
      <c r="B11" s="128"/>
      <c r="C11" s="15">
        <v>2</v>
      </c>
      <c r="D11" s="15">
        <v>2</v>
      </c>
      <c r="E11" s="15">
        <v>3</v>
      </c>
      <c r="F11" s="15">
        <v>3</v>
      </c>
      <c r="G11" s="15">
        <v>2</v>
      </c>
      <c r="H11" s="15">
        <v>2</v>
      </c>
      <c r="I11" s="15">
        <v>3</v>
      </c>
      <c r="J11" s="15">
        <v>1</v>
      </c>
      <c r="K11" s="15">
        <v>2</v>
      </c>
      <c r="L11" s="15"/>
      <c r="M11" s="15"/>
      <c r="N11" s="15"/>
      <c r="O11" s="15"/>
      <c r="P11" s="15"/>
      <c r="Q11" s="15"/>
      <c r="R11" s="15"/>
      <c r="S11" s="15"/>
      <c r="T11" s="15"/>
      <c r="U11" s="15"/>
      <c r="V11" s="15"/>
      <c r="AB11" s="17"/>
      <c r="AC11" s="17"/>
      <c r="AD11" s="51" t="s">
        <v>141</v>
      </c>
      <c r="AE11" s="29">
        <v>6</v>
      </c>
      <c r="AF11" s="17"/>
      <c r="AG11" s="18"/>
      <c r="AH11" s="18"/>
      <c r="AI11" s="52" t="s">
        <v>122</v>
      </c>
      <c r="AJ11" s="53">
        <v>15</v>
      </c>
      <c r="AK11" s="54">
        <v>17.5</v>
      </c>
      <c r="AL11" s="11">
        <v>9</v>
      </c>
      <c r="AM11" s="11">
        <v>7</v>
      </c>
      <c r="AN11" s="11" t="s">
        <v>135</v>
      </c>
    </row>
    <row r="12" spans="1:40" ht="13" x14ac:dyDescent="0.25">
      <c r="A12" s="128" t="s">
        <v>6</v>
      </c>
      <c r="B12" s="128"/>
      <c r="C12" s="15">
        <v>2</v>
      </c>
      <c r="D12" s="15">
        <v>2</v>
      </c>
      <c r="E12" s="15">
        <v>2</v>
      </c>
      <c r="F12" s="15">
        <v>2</v>
      </c>
      <c r="G12" s="15">
        <v>2</v>
      </c>
      <c r="H12" s="15">
        <v>2</v>
      </c>
      <c r="I12" s="15">
        <v>2</v>
      </c>
      <c r="J12" s="15">
        <v>2</v>
      </c>
      <c r="K12" s="15">
        <v>1</v>
      </c>
      <c r="L12" s="15"/>
      <c r="M12" s="15"/>
      <c r="N12" s="15"/>
      <c r="O12" s="15"/>
      <c r="P12" s="15"/>
      <c r="Q12" s="15"/>
      <c r="R12" s="15"/>
      <c r="S12" s="15"/>
      <c r="T12" s="15"/>
      <c r="U12" s="15"/>
      <c r="V12" s="15"/>
      <c r="AB12" s="17"/>
      <c r="AC12" s="17"/>
      <c r="AD12" s="51" t="s">
        <v>142</v>
      </c>
      <c r="AE12" s="29">
        <v>7.5</v>
      </c>
      <c r="AF12" s="17"/>
      <c r="AG12" s="18"/>
      <c r="AH12" s="18"/>
      <c r="AI12" s="52" t="s">
        <v>121</v>
      </c>
      <c r="AJ12" s="53">
        <v>14</v>
      </c>
      <c r="AK12" s="54">
        <v>11</v>
      </c>
      <c r="AL12" s="11">
        <v>10</v>
      </c>
      <c r="AM12" s="11">
        <v>7</v>
      </c>
      <c r="AN12" s="11" t="s">
        <v>135</v>
      </c>
    </row>
    <row r="13" spans="1:40" ht="13" x14ac:dyDescent="0.25">
      <c r="A13" s="128" t="s">
        <v>7</v>
      </c>
      <c r="B13" s="128"/>
      <c r="C13" s="15">
        <v>3</v>
      </c>
      <c r="D13" s="15">
        <v>3</v>
      </c>
      <c r="E13" s="15">
        <v>3</v>
      </c>
      <c r="F13" s="15">
        <v>3</v>
      </c>
      <c r="G13" s="15">
        <v>3</v>
      </c>
      <c r="H13" s="15">
        <v>2</v>
      </c>
      <c r="I13" s="15">
        <v>3</v>
      </c>
      <c r="J13" s="15">
        <v>2</v>
      </c>
      <c r="K13" s="15">
        <v>3</v>
      </c>
      <c r="L13" s="15"/>
      <c r="M13" s="15"/>
      <c r="N13" s="15"/>
      <c r="O13" s="15"/>
      <c r="P13" s="15"/>
      <c r="Q13" s="15"/>
      <c r="R13" s="15"/>
      <c r="S13" s="15"/>
      <c r="T13" s="15"/>
      <c r="U13" s="15"/>
      <c r="V13" s="15"/>
      <c r="AB13" s="17"/>
      <c r="AC13" s="17"/>
      <c r="AD13" s="51" t="s">
        <v>143</v>
      </c>
      <c r="AE13" s="29">
        <v>12</v>
      </c>
      <c r="AF13" s="17"/>
      <c r="AG13" s="18"/>
      <c r="AH13" s="18"/>
      <c r="AI13" s="52" t="s">
        <v>120</v>
      </c>
      <c r="AJ13" s="53">
        <v>1.9</v>
      </c>
      <c r="AK13" s="54">
        <v>7.5</v>
      </c>
      <c r="AL13" s="11">
        <v>11</v>
      </c>
      <c r="AM13" s="11">
        <v>6.7</v>
      </c>
      <c r="AN13" s="11" t="s">
        <v>135</v>
      </c>
    </row>
    <row r="14" spans="1:40" ht="13" x14ac:dyDescent="0.25">
      <c r="A14" s="138" t="s">
        <v>8</v>
      </c>
      <c r="B14" s="138"/>
      <c r="C14" s="99" t="s">
        <v>113</v>
      </c>
      <c r="D14" s="99" t="s">
        <v>113</v>
      </c>
      <c r="E14" s="99" t="s">
        <v>113</v>
      </c>
      <c r="F14" s="99" t="s">
        <v>113</v>
      </c>
      <c r="G14" s="99" t="s">
        <v>113</v>
      </c>
      <c r="H14" s="99" t="s">
        <v>113</v>
      </c>
      <c r="I14" s="99" t="s">
        <v>113</v>
      </c>
      <c r="J14" s="99" t="s">
        <v>113</v>
      </c>
      <c r="K14" s="99" t="s">
        <v>113</v>
      </c>
      <c r="L14" s="99"/>
      <c r="M14" s="99"/>
      <c r="N14" s="99"/>
      <c r="O14" s="99"/>
      <c r="P14" s="99"/>
      <c r="Q14" s="99"/>
      <c r="R14" s="99"/>
      <c r="S14" s="99"/>
      <c r="T14" s="99"/>
      <c r="U14" s="99"/>
      <c r="V14" s="99"/>
      <c r="AD14" s="29" t="s">
        <v>138</v>
      </c>
      <c r="AE14" s="29">
        <v>6</v>
      </c>
      <c r="AI14" s="52" t="s">
        <v>119</v>
      </c>
      <c r="AJ14" s="53">
        <v>0.8</v>
      </c>
      <c r="AK14" s="54">
        <v>1.7</v>
      </c>
      <c r="AL14" s="11">
        <v>12</v>
      </c>
      <c r="AM14" s="11">
        <v>6.7</v>
      </c>
      <c r="AN14" s="11" t="s">
        <v>135</v>
      </c>
    </row>
    <row r="15" spans="1:40" ht="13" x14ac:dyDescent="0.25">
      <c r="A15" s="137" t="s">
        <v>9</v>
      </c>
      <c r="B15" s="137"/>
      <c r="C15" s="15">
        <v>38</v>
      </c>
      <c r="D15" s="15">
        <v>38</v>
      </c>
      <c r="E15" s="15">
        <v>38</v>
      </c>
      <c r="F15" s="15">
        <v>38</v>
      </c>
      <c r="G15" s="15">
        <v>38</v>
      </c>
      <c r="H15" s="15">
        <v>38</v>
      </c>
      <c r="I15" s="15">
        <v>38</v>
      </c>
      <c r="J15" s="15">
        <v>38</v>
      </c>
      <c r="K15" s="15">
        <v>38</v>
      </c>
      <c r="L15" s="15"/>
      <c r="M15" s="15"/>
      <c r="N15" s="15"/>
      <c r="O15" s="15"/>
      <c r="P15" s="15"/>
      <c r="Q15" s="15"/>
      <c r="R15" s="15"/>
      <c r="S15" s="15"/>
      <c r="T15" s="15"/>
      <c r="U15" s="15"/>
      <c r="V15" s="15"/>
      <c r="AD15" s="29" t="s">
        <v>144</v>
      </c>
      <c r="AE15" s="29">
        <v>7</v>
      </c>
      <c r="AI15" s="52" t="s">
        <v>101</v>
      </c>
      <c r="AJ15" s="61">
        <v>1.8</v>
      </c>
      <c r="AK15" s="54">
        <v>5.4</v>
      </c>
      <c r="AL15" s="11">
        <v>13</v>
      </c>
      <c r="AM15" s="11">
        <v>6.7</v>
      </c>
      <c r="AN15" s="11" t="s">
        <v>135</v>
      </c>
    </row>
    <row r="16" spans="1:40" ht="13.5" thickBot="1" x14ac:dyDescent="0.3">
      <c r="A16" s="139" t="s">
        <v>44</v>
      </c>
      <c r="B16" s="139"/>
      <c r="C16" s="100" t="s">
        <v>72</v>
      </c>
      <c r="D16" s="100" t="s">
        <v>72</v>
      </c>
      <c r="E16" s="100" t="s">
        <v>72</v>
      </c>
      <c r="F16" s="100" t="s">
        <v>72</v>
      </c>
      <c r="G16" s="100" t="s">
        <v>72</v>
      </c>
      <c r="H16" s="100" t="s">
        <v>72</v>
      </c>
      <c r="I16" s="100" t="s">
        <v>72</v>
      </c>
      <c r="J16" s="100" t="s">
        <v>72</v>
      </c>
      <c r="K16" s="100" t="s">
        <v>72</v>
      </c>
      <c r="L16" s="100"/>
      <c r="M16" s="100"/>
      <c r="N16" s="100"/>
      <c r="O16" s="100"/>
      <c r="P16" s="100"/>
      <c r="Q16" s="100"/>
      <c r="R16" s="100"/>
      <c r="S16" s="100"/>
      <c r="T16" s="100"/>
      <c r="U16" s="100"/>
      <c r="V16" s="100"/>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20.504449999999999</v>
      </c>
      <c r="D18" s="16">
        <f>$D32</f>
        <v>20.504449999999999</v>
      </c>
      <c r="E18" s="16">
        <f>$D33</f>
        <v>20.504449999999999</v>
      </c>
      <c r="F18" s="16">
        <f>$D34</f>
        <v>20.504449999999999</v>
      </c>
      <c r="G18" s="16">
        <f>$D35</f>
        <v>20.504449999999999</v>
      </c>
      <c r="H18" s="16">
        <f>$D36</f>
        <v>20.504449999999999</v>
      </c>
      <c r="I18" s="16">
        <f>$D37</f>
        <v>20.504449999999999</v>
      </c>
      <c r="J18" s="16">
        <f>$D38</f>
        <v>20.504449999999999</v>
      </c>
      <c r="K18" s="16">
        <f>$D39</f>
        <v>20.504449999999999</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-44.095549999999996</v>
      </c>
      <c r="D19" s="16">
        <f t="shared" ref="D19:V19" si="1">D18-D17</f>
        <v>-44.095549999999996</v>
      </c>
      <c r="E19" s="16">
        <f t="shared" si="1"/>
        <v>-44.095549999999996</v>
      </c>
      <c r="F19" s="16">
        <f t="shared" si="1"/>
        <v>-44.095549999999996</v>
      </c>
      <c r="G19" s="16">
        <f t="shared" si="1"/>
        <v>-44.095549999999996</v>
      </c>
      <c r="H19" s="16">
        <f t="shared" si="1"/>
        <v>-44.095549999999996</v>
      </c>
      <c r="I19" s="16">
        <f t="shared" si="1"/>
        <v>-44.095549999999996</v>
      </c>
      <c r="J19" s="16">
        <f t="shared" si="1"/>
        <v>-44.095549999999996</v>
      </c>
      <c r="K19" s="16">
        <f t="shared" si="1"/>
        <v>-44.095549999999996</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3.0125000000000002</v>
      </c>
      <c r="D22" s="16">
        <f>$E32</f>
        <v>3.0125000000000002</v>
      </c>
      <c r="E22" s="16">
        <f>$E33</f>
        <v>3.0125000000000002</v>
      </c>
      <c r="F22" s="16">
        <f>$E34</f>
        <v>3.0125000000000002</v>
      </c>
      <c r="G22" s="16">
        <f>$E35</f>
        <v>3.0125000000000002</v>
      </c>
      <c r="H22" s="16">
        <f>$E36</f>
        <v>3.0125000000000002</v>
      </c>
      <c r="I22" s="16">
        <f>$E37</f>
        <v>3.0125000000000002</v>
      </c>
      <c r="J22" s="16">
        <f>$E38</f>
        <v>3.0125000000000002</v>
      </c>
      <c r="K22" s="16">
        <f>$E39</f>
        <v>3.0125000000000002</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-224.98750000000001</v>
      </c>
      <c r="D23" s="16">
        <f t="shared" ref="D23:V23" si="3">D22-D21</f>
        <v>-224.98750000000001</v>
      </c>
      <c r="E23" s="16">
        <f t="shared" si="3"/>
        <v>-224.98750000000001</v>
      </c>
      <c r="F23" s="16">
        <f t="shared" si="3"/>
        <v>-224.98750000000001</v>
      </c>
      <c r="G23" s="16">
        <f t="shared" si="3"/>
        <v>-224.98750000000001</v>
      </c>
      <c r="H23" s="16">
        <f t="shared" si="3"/>
        <v>-224.98750000000001</v>
      </c>
      <c r="I23" s="16">
        <f t="shared" si="3"/>
        <v>-224.98750000000001</v>
      </c>
      <c r="J23" s="16">
        <f t="shared" si="3"/>
        <v>-224.98750000000001</v>
      </c>
      <c r="K23" s="16">
        <f t="shared" si="3"/>
        <v>-224.98750000000001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56</v>
      </c>
      <c r="D27" s="106" t="s">
        <v>54</v>
      </c>
      <c r="E27" s="106" t="s">
        <v>54</v>
      </c>
      <c r="F27" s="106" t="s">
        <v>54</v>
      </c>
      <c r="G27" s="106" t="s">
        <v>54</v>
      </c>
      <c r="H27" s="106" t="s">
        <v>54</v>
      </c>
      <c r="I27" s="106" t="s">
        <v>54</v>
      </c>
      <c r="J27" s="106" t="s">
        <v>54</v>
      </c>
      <c r="K27" s="106" t="s">
        <v>54</v>
      </c>
      <c r="L27" s="106" t="s">
        <v>54</v>
      </c>
      <c r="M27" s="106" t="s">
        <v>54</v>
      </c>
      <c r="N27" s="106" t="s">
        <v>54</v>
      </c>
      <c r="O27" s="106" t="s">
        <v>54</v>
      </c>
      <c r="P27" s="106" t="s">
        <v>54</v>
      </c>
      <c r="Q27" s="106" t="s">
        <v>54</v>
      </c>
      <c r="R27" s="106" t="s">
        <v>54</v>
      </c>
      <c r="S27" s="106" t="s">
        <v>54</v>
      </c>
      <c r="T27" s="106" t="s">
        <v>54</v>
      </c>
      <c r="U27" s="106" t="s">
        <v>54</v>
      </c>
    </row>
    <row r="28" spans="1:40" s="56" customFormat="1" x14ac:dyDescent="0.35">
      <c r="A28" s="107"/>
      <c r="B28" s="23">
        <v>2.73</v>
      </c>
      <c r="C28" s="15">
        <v>0.02</v>
      </c>
      <c r="D28" s="15">
        <v>35.799999999999997</v>
      </c>
      <c r="E28" s="15">
        <v>10</v>
      </c>
      <c r="F28" s="15">
        <v>10</v>
      </c>
      <c r="G28" s="15">
        <v>0.74</v>
      </c>
      <c r="H28" s="15">
        <v>3.37</v>
      </c>
      <c r="I28" s="15">
        <v>0.5</v>
      </c>
      <c r="J28" s="15">
        <v>1.6E-2</v>
      </c>
      <c r="K28" s="15">
        <v>0.05</v>
      </c>
      <c r="L28" s="15">
        <v>0.77200000000000002</v>
      </c>
      <c r="M28" s="15">
        <v>0.91500000000000004</v>
      </c>
      <c r="N28" s="15">
        <v>47</v>
      </c>
      <c r="O28" s="15">
        <v>10681</v>
      </c>
      <c r="P28" s="15"/>
      <c r="Q28" s="15">
        <v>82.6</v>
      </c>
      <c r="R28" s="15"/>
      <c r="S28" s="15">
        <v>0.5</v>
      </c>
      <c r="T28" s="15">
        <v>5.6000000000000001E-2</v>
      </c>
      <c r="U28" s="15">
        <v>10</v>
      </c>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50</v>
      </c>
      <c r="D31" s="76">
        <f>(IF(D$27="%w/w SAR",((D$28*10)*$B31),IF(D$27="%w/w DM",(((D$28*10)*($B$28/100))*$B31),IF(D$27="kg/t SAR",(D$28*$B31),IF(D$27="kg/t DM",((D$28*($B$28/100))*$B31),IF(D$27="mg/kg SAR",((D$28*0.001)*$B31),IF(D$27="mg/kg DM",(((D$28*0.001)*($B$28/100))*$B31),"0")))))))*2.291</f>
        <v>20.504449999999999</v>
      </c>
      <c r="E31" s="76">
        <f>(IF(E$27="%w/w SAR",((E$28*10)*$B31),IF(E$27="%w/w DM",(((E$28*10)*($B$28/100))*$B31),IF(E$27="kg/t SAR",(E$28*$B31),IF(E$27="kg/t DM",((E$28*($B$28/100))*$B31),IF(E$27="mg/kg SAR",((E$28*0.001)*$B31),IF(E$27="mg/kg DM",(((E$28*0.001)*($B$28/100))*$B31),"0")))))))*1.205</f>
        <v>3.0125000000000002</v>
      </c>
      <c r="F31" s="76">
        <f>(IF(F$27="%w/w SAR",((F$28*10)*$B31),IF(F$27="%w/w DM",(((F$28*10)*($B$28/100))*$B31),IF(F$27="kg/t SAR",(F$28*$B31),IF(F$27="kg/t DM",((F$28*($B$28/100))*$B31),IF(F$27="mg/kg SAR",((F$28*0.001)*$B31),IF(F$27="mg/kg DM",(((F$28*0.001)*($B$28/100))*$B31),"0")))))))*1.658</f>
        <v>4.1449999999999996</v>
      </c>
      <c r="G31" s="76">
        <f t="shared" ref="G31:P31" si="5">IF(G$27="%w/w SAR",((G$28*10)*$B31),IF(G$27="%w/w DM",(((G$28*10)*($B$28/100))*$B31),IF(G$27="kg/t SAR",(G$28*$B31),IF(G$27="kg/t DM",((G$28*($B$28/100))*$B31),IF(G$27="mg/kg SAR",((G$28*0.001)*$B31),IF(G$27="mg/kg DM",(((G$28*0.001)*($B$28/100))*$B31),0))))))</f>
        <v>0.185</v>
      </c>
      <c r="H31" s="76">
        <f t="shared" si="5"/>
        <v>0.84250000000000003</v>
      </c>
      <c r="I31" s="76">
        <f t="shared" si="5"/>
        <v>0.125</v>
      </c>
      <c r="J31" s="76">
        <f t="shared" si="5"/>
        <v>4.0000000000000001E-3</v>
      </c>
      <c r="K31" s="76">
        <f t="shared" si="5"/>
        <v>1.2500000000000001E-2</v>
      </c>
      <c r="L31" s="76">
        <f t="shared" si="5"/>
        <v>0.193</v>
      </c>
      <c r="M31" s="76">
        <f t="shared" si="5"/>
        <v>0.22875000000000001</v>
      </c>
      <c r="N31" s="76">
        <f t="shared" si="5"/>
        <v>11.75</v>
      </c>
      <c r="O31" s="76">
        <f t="shared" si="5"/>
        <v>2670.2500000000005</v>
      </c>
      <c r="P31" s="76">
        <f t="shared" si="5"/>
        <v>0</v>
      </c>
      <c r="Q31" s="76">
        <f>(IF(Q$27="%w/w SAR",((Q$28*10)*$B31),IF(Q$27="%w/w DM",(((Q$28*10)*($B$28/100))*$B31),IF(Q$27="kg/t SAR",(Q$28*$B31),IF(Q$27="kg/t DM",((Q$28*($B$28/100))*$B31),IF(Q$27="mg/kg SAR",((Q$28*0.001)*$B31),IF(Q$27="mg/kg DM",(((Q$28*0.001)*($B$28/100))*$B31),0)))))))*2.5</f>
        <v>51.625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0.125</v>
      </c>
      <c r="T31" s="76">
        <f>IF(T$27="%w/w SAR",((T$28*10)*$B31),IF(T$27="%w/w DM",(((T$28*10)*($B$28/100))*$B31),IF(T$27="kg/t SAR",(T$28*$B31),IF(T$27="kg/t DM",((T$28*($B$28/100))*$B31),IF(T$27="mg/kg SAR",((T$28*0.001)*$B31),IF(T$27="mg/kg DM",(((T$28*0.001)*($B$28/100))*$B31),0))))))</f>
        <v>1.4E-2</v>
      </c>
      <c r="U31" s="76">
        <f>IF(U$27="%w/w SAR",((U$28*10)*$B31),IF(U$27="%w/w DM",(((U$28*10)*($B$28/100))*$B31),IF(U$27="kg/t SAR",(U$28*$B31),IF(U$27="kg/t DM",((U$28*($B$28/100))*$B31),IF(U$27="mg/kg SAR",((U$28*0.001)*$B31),IF(U$27="mg/kg DM",(((U$28*0.001)*($B$28/100))*$B31),0))))))</f>
        <v>2.5</v>
      </c>
      <c r="AB31" s="58"/>
      <c r="AC31" s="58"/>
      <c r="AD31" s="58"/>
      <c r="AE31" s="58"/>
      <c r="AF31" s="58"/>
      <c r="AG31" s="58"/>
      <c r="AH31" s="58"/>
      <c r="AI31" s="58"/>
    </row>
    <row r="32" spans="1:40" s="71" customFormat="1" ht="13" x14ac:dyDescent="0.35">
      <c r="A32" s="13">
        <f>D8</f>
        <v>2</v>
      </c>
      <c r="B32" s="15">
        <v>250</v>
      </c>
      <c r="C32" s="76">
        <f t="shared" ref="C32:C50" si="6">IF(C$27="%w/w SAR",((C$28*10)*$B32),IF(C$27="%w/w DM",(((C$28*10)*($B$28/100))*$B32),IF(C$27="kg/t SAR",(C$28*$B32),IF(C$27="kg/t DM",((C$28*($B$28/100))*$B32),IF(C$27="mg/kg SAR",((C$28*0.001)*$B32),IF(C$27="mg/kg DM",(((C$28*0.001)*($B$28/100))*$B32),0))))))</f>
        <v>50</v>
      </c>
      <c r="D32" s="76">
        <f t="shared" ref="D32:D50" si="7">(IF(D$27="%w/w SAR",((D$28*10)*$B32),IF(D$27="%w/w DM",(((D$28*10)*($B$28/100))*$B32),IF(D$27="kg/t SAR",(D$28*$B32),IF(D$27="kg/t DM",((D$28*($B$28/100))*$B32),IF(D$27="mg/kg SAR",((D$28*0.001)*$B32),IF(D$27="mg/kg DM",(((D$28*0.001)*($B$28/100))*$B32),"0")))))))*2.291</f>
        <v>20.504449999999999</v>
      </c>
      <c r="E32" s="76">
        <f t="shared" ref="E32:E50" si="8">(IF(E$27="%w/w SAR",((E$28*10)*$B32),IF(E$27="%w/w DM",(((E$28*10)*($B$28/100))*$B32),IF(E$27="kg/t SAR",(E$28*$B32),IF(E$27="kg/t DM",((E$28*($B$28/100))*$B32),IF(E$27="mg/kg SAR",((E$28*0.001)*$B32),IF(E$27="mg/kg DM",(((E$28*0.001)*($B$28/100))*$B32),"0")))))))*1.205</f>
        <v>3.0125000000000002</v>
      </c>
      <c r="F32" s="76">
        <f t="shared" ref="F32:F50" si="9">(IF(F$27="%w/w SAR",((F$28*10)*$B32),IF(F$27="%w/w DM",(((F$28*10)*($B$28/100))*$B32),IF(F$27="kg/t SAR",(F$28*$B32),IF(F$27="kg/t DM",((F$28*($B$28/100))*$B32),IF(F$27="mg/kg SAR",((F$28*0.001)*$B32),IF(F$27="mg/kg DM",(((F$28*0.001)*($B$28/100))*$B32),"0")))))))*1.658</f>
        <v>4.1449999999999996</v>
      </c>
      <c r="G32" s="76">
        <f t="shared" ref="G32:P50" si="10">IF(G$27="%w/w SAR",((G$28*10)*$B32),IF(G$27="%w/w DM",(((G$28*10)*($B$28/100))*$B32),IF(G$27="kg/t SAR",(G$28*$B32),IF(G$27="kg/t DM",((G$28*($B$28/100))*$B32),IF(G$27="mg/kg SAR",((G$28*0.001)*$B32),IF(G$27="mg/kg DM",(((G$28*0.001)*($B$28/100))*$B32),0))))))</f>
        <v>0.185</v>
      </c>
      <c r="H32" s="76">
        <f t="shared" si="10"/>
        <v>0.84250000000000003</v>
      </c>
      <c r="I32" s="76">
        <f t="shared" si="10"/>
        <v>0.125</v>
      </c>
      <c r="J32" s="76">
        <f t="shared" si="10"/>
        <v>4.0000000000000001E-3</v>
      </c>
      <c r="K32" s="76">
        <f t="shared" si="10"/>
        <v>1.2500000000000001E-2</v>
      </c>
      <c r="L32" s="76">
        <f t="shared" si="10"/>
        <v>0.193</v>
      </c>
      <c r="M32" s="76">
        <f t="shared" si="10"/>
        <v>0.22875000000000001</v>
      </c>
      <c r="N32" s="76">
        <f t="shared" si="10"/>
        <v>11.75</v>
      </c>
      <c r="O32" s="76">
        <f t="shared" si="10"/>
        <v>2670.2500000000005</v>
      </c>
      <c r="P32" s="76">
        <f t="shared" si="10"/>
        <v>0</v>
      </c>
      <c r="Q32" s="76">
        <f t="shared" ref="Q32:Q50" si="11">(IF(Q$27="%w/w SAR",((Q$28*10)*$B32),IF(Q$27="%w/w DM",(((Q$28*10)*($B$28/100))*$B32),IF(Q$27="kg/t SAR",(Q$28*$B32),IF(Q$27="kg/t DM",((Q$28*($B$28/100))*$B32),IF(Q$27="mg/kg SAR",((Q$28*0.001)*$B32),IF(Q$27="mg/kg DM",(((Q$28*0.001)*($B$28/100))*$B32),0)))))))*2.5</f>
        <v>51.625</v>
      </c>
      <c r="R32" s="76">
        <f t="shared" ref="R32:U50" si="12">IF(R$27="%w/w SAR",((R$28*10)*$B32),IF(R$27="%w/w DM",(((R$28*10)*($B$28/100))*$B32),IF(R$27="kg/t SAR",(R$28*$B32),IF(R$27="kg/t DM",((R$28*($B$28/100))*$B32),IF(R$27="mg/kg SAR",((R$28*0.001)*$B32),IF(R$27="mg/kg DM",(((R$28*0.001)*($B$28/100))*$B32),0))))))</f>
        <v>0</v>
      </c>
      <c r="S32" s="76">
        <f t="shared" si="12"/>
        <v>0.125</v>
      </c>
      <c r="T32" s="76">
        <f t="shared" si="12"/>
        <v>1.4E-2</v>
      </c>
      <c r="U32" s="76">
        <f t="shared" si="12"/>
        <v>2.5</v>
      </c>
      <c r="AB32" s="58"/>
      <c r="AC32" s="58"/>
      <c r="AD32" s="58"/>
      <c r="AE32" s="58"/>
      <c r="AF32" s="58"/>
      <c r="AG32" s="58"/>
      <c r="AH32" s="58"/>
      <c r="AI32" s="58"/>
    </row>
    <row r="33" spans="1:35" s="71" customFormat="1" ht="13" x14ac:dyDescent="0.35">
      <c r="A33" s="13">
        <f>E8</f>
        <v>3</v>
      </c>
      <c r="B33" s="15">
        <v>250</v>
      </c>
      <c r="C33" s="76">
        <f t="shared" si="6"/>
        <v>50</v>
      </c>
      <c r="D33" s="76">
        <f t="shared" si="7"/>
        <v>20.504449999999999</v>
      </c>
      <c r="E33" s="76">
        <f t="shared" si="8"/>
        <v>3.0125000000000002</v>
      </c>
      <c r="F33" s="76">
        <f t="shared" si="9"/>
        <v>4.1449999999999996</v>
      </c>
      <c r="G33" s="76">
        <f t="shared" si="10"/>
        <v>0.185</v>
      </c>
      <c r="H33" s="76">
        <f t="shared" si="10"/>
        <v>0.84250000000000003</v>
      </c>
      <c r="I33" s="76">
        <f t="shared" si="10"/>
        <v>0.125</v>
      </c>
      <c r="J33" s="76">
        <f t="shared" si="10"/>
        <v>4.0000000000000001E-3</v>
      </c>
      <c r="K33" s="76">
        <f t="shared" si="10"/>
        <v>1.2500000000000001E-2</v>
      </c>
      <c r="L33" s="76">
        <f t="shared" si="10"/>
        <v>0.193</v>
      </c>
      <c r="M33" s="76">
        <f t="shared" si="10"/>
        <v>0.22875000000000001</v>
      </c>
      <c r="N33" s="76">
        <f t="shared" si="10"/>
        <v>11.75</v>
      </c>
      <c r="O33" s="76">
        <f t="shared" si="10"/>
        <v>2670.2500000000005</v>
      </c>
      <c r="P33" s="76">
        <f t="shared" si="10"/>
        <v>0</v>
      </c>
      <c r="Q33" s="76">
        <f t="shared" si="11"/>
        <v>51.625</v>
      </c>
      <c r="R33" s="76">
        <f t="shared" si="12"/>
        <v>0</v>
      </c>
      <c r="S33" s="76">
        <f t="shared" si="12"/>
        <v>0.125</v>
      </c>
      <c r="T33" s="76">
        <f t="shared" si="12"/>
        <v>1.4E-2</v>
      </c>
      <c r="U33" s="76">
        <f t="shared" si="12"/>
        <v>2.5</v>
      </c>
      <c r="AB33" s="58"/>
      <c r="AC33" s="58"/>
      <c r="AD33" s="58"/>
      <c r="AE33" s="58"/>
      <c r="AF33" s="58"/>
      <c r="AG33" s="58"/>
      <c r="AH33" s="58"/>
      <c r="AI33" s="58"/>
    </row>
    <row r="34" spans="1:35" s="71" customFormat="1" ht="13" x14ac:dyDescent="0.35">
      <c r="A34" s="13">
        <f>F8</f>
        <v>4</v>
      </c>
      <c r="B34" s="15">
        <v>250</v>
      </c>
      <c r="C34" s="76">
        <f t="shared" si="6"/>
        <v>50</v>
      </c>
      <c r="D34" s="76">
        <f t="shared" si="7"/>
        <v>20.504449999999999</v>
      </c>
      <c r="E34" s="76">
        <f t="shared" si="8"/>
        <v>3.0125000000000002</v>
      </c>
      <c r="F34" s="76">
        <f t="shared" si="9"/>
        <v>4.1449999999999996</v>
      </c>
      <c r="G34" s="76">
        <f t="shared" si="10"/>
        <v>0.185</v>
      </c>
      <c r="H34" s="76">
        <f t="shared" si="10"/>
        <v>0.84250000000000003</v>
      </c>
      <c r="I34" s="76">
        <f t="shared" si="10"/>
        <v>0.125</v>
      </c>
      <c r="J34" s="76">
        <f t="shared" si="10"/>
        <v>4.0000000000000001E-3</v>
      </c>
      <c r="K34" s="76">
        <f t="shared" si="10"/>
        <v>1.2500000000000001E-2</v>
      </c>
      <c r="L34" s="76">
        <f t="shared" si="10"/>
        <v>0.193</v>
      </c>
      <c r="M34" s="76">
        <f t="shared" si="10"/>
        <v>0.22875000000000001</v>
      </c>
      <c r="N34" s="76">
        <f t="shared" si="10"/>
        <v>11.75</v>
      </c>
      <c r="O34" s="76">
        <f t="shared" si="10"/>
        <v>2670.2500000000005</v>
      </c>
      <c r="P34" s="76">
        <f t="shared" si="10"/>
        <v>0</v>
      </c>
      <c r="Q34" s="76">
        <f t="shared" si="11"/>
        <v>51.625</v>
      </c>
      <c r="R34" s="76">
        <f t="shared" si="12"/>
        <v>0</v>
      </c>
      <c r="S34" s="76">
        <f t="shared" si="12"/>
        <v>0.125</v>
      </c>
      <c r="T34" s="76">
        <f t="shared" si="12"/>
        <v>1.4E-2</v>
      </c>
      <c r="U34" s="76">
        <f t="shared" si="12"/>
        <v>2.5</v>
      </c>
      <c r="AB34" s="58"/>
      <c r="AC34" s="58"/>
      <c r="AD34" s="58"/>
      <c r="AE34" s="58"/>
      <c r="AF34" s="58"/>
      <c r="AG34" s="58"/>
      <c r="AH34" s="58"/>
      <c r="AI34" s="58"/>
    </row>
    <row r="35" spans="1:35" s="71" customFormat="1" ht="13" x14ac:dyDescent="0.35">
      <c r="A35" s="13">
        <f>G8</f>
        <v>5</v>
      </c>
      <c r="B35" s="15">
        <v>250</v>
      </c>
      <c r="C35" s="76">
        <f t="shared" si="6"/>
        <v>50</v>
      </c>
      <c r="D35" s="76">
        <f t="shared" si="7"/>
        <v>20.504449999999999</v>
      </c>
      <c r="E35" s="76">
        <f t="shared" si="8"/>
        <v>3.0125000000000002</v>
      </c>
      <c r="F35" s="76">
        <f t="shared" si="9"/>
        <v>4.1449999999999996</v>
      </c>
      <c r="G35" s="76">
        <f t="shared" si="10"/>
        <v>0.185</v>
      </c>
      <c r="H35" s="76">
        <f t="shared" si="10"/>
        <v>0.84250000000000003</v>
      </c>
      <c r="I35" s="76">
        <f t="shared" si="10"/>
        <v>0.125</v>
      </c>
      <c r="J35" s="76">
        <f t="shared" si="10"/>
        <v>4.0000000000000001E-3</v>
      </c>
      <c r="K35" s="76">
        <f t="shared" si="10"/>
        <v>1.2500000000000001E-2</v>
      </c>
      <c r="L35" s="76">
        <f t="shared" si="10"/>
        <v>0.193</v>
      </c>
      <c r="M35" s="76">
        <f t="shared" si="10"/>
        <v>0.22875000000000001</v>
      </c>
      <c r="N35" s="76">
        <f t="shared" si="10"/>
        <v>11.75</v>
      </c>
      <c r="O35" s="76">
        <f t="shared" si="10"/>
        <v>2670.2500000000005</v>
      </c>
      <c r="P35" s="76">
        <f t="shared" si="10"/>
        <v>0</v>
      </c>
      <c r="Q35" s="76">
        <f t="shared" si="11"/>
        <v>51.625</v>
      </c>
      <c r="R35" s="76">
        <f t="shared" si="12"/>
        <v>0</v>
      </c>
      <c r="S35" s="76">
        <f t="shared" si="12"/>
        <v>0.125</v>
      </c>
      <c r="T35" s="76">
        <f t="shared" si="12"/>
        <v>1.4E-2</v>
      </c>
      <c r="U35" s="76">
        <f t="shared" si="12"/>
        <v>2.5</v>
      </c>
      <c r="AB35" s="58"/>
      <c r="AC35" s="58"/>
      <c r="AD35" s="58"/>
      <c r="AE35" s="58"/>
      <c r="AF35" s="58"/>
      <c r="AG35" s="58"/>
      <c r="AH35" s="58"/>
      <c r="AI35" s="58"/>
    </row>
    <row r="36" spans="1:35" s="71" customFormat="1" ht="13" x14ac:dyDescent="0.35">
      <c r="A36" s="13">
        <f>H8</f>
        <v>6</v>
      </c>
      <c r="B36" s="15">
        <v>250</v>
      </c>
      <c r="C36" s="76">
        <f t="shared" si="6"/>
        <v>50</v>
      </c>
      <c r="D36" s="76">
        <f t="shared" si="7"/>
        <v>20.504449999999999</v>
      </c>
      <c r="E36" s="76">
        <f t="shared" si="8"/>
        <v>3.0125000000000002</v>
      </c>
      <c r="F36" s="76">
        <f t="shared" si="9"/>
        <v>4.1449999999999996</v>
      </c>
      <c r="G36" s="76">
        <f t="shared" si="10"/>
        <v>0.185</v>
      </c>
      <c r="H36" s="76">
        <f t="shared" si="10"/>
        <v>0.84250000000000003</v>
      </c>
      <c r="I36" s="76">
        <f t="shared" si="10"/>
        <v>0.125</v>
      </c>
      <c r="J36" s="76">
        <f t="shared" si="10"/>
        <v>4.0000000000000001E-3</v>
      </c>
      <c r="K36" s="76">
        <f t="shared" si="10"/>
        <v>1.2500000000000001E-2</v>
      </c>
      <c r="L36" s="76">
        <f t="shared" si="10"/>
        <v>0.193</v>
      </c>
      <c r="M36" s="76">
        <f t="shared" si="10"/>
        <v>0.22875000000000001</v>
      </c>
      <c r="N36" s="76">
        <f t="shared" si="10"/>
        <v>11.75</v>
      </c>
      <c r="O36" s="76">
        <f t="shared" si="10"/>
        <v>2670.2500000000005</v>
      </c>
      <c r="P36" s="76">
        <f t="shared" si="10"/>
        <v>0</v>
      </c>
      <c r="Q36" s="76">
        <f t="shared" si="11"/>
        <v>51.625</v>
      </c>
      <c r="R36" s="76">
        <f t="shared" si="12"/>
        <v>0</v>
      </c>
      <c r="S36" s="76">
        <f t="shared" si="12"/>
        <v>0.125</v>
      </c>
      <c r="T36" s="76">
        <f t="shared" si="12"/>
        <v>1.4E-2</v>
      </c>
      <c r="U36" s="76">
        <f t="shared" si="12"/>
        <v>2.5</v>
      </c>
      <c r="AB36" s="58"/>
      <c r="AC36" s="58"/>
      <c r="AD36" s="58"/>
      <c r="AE36" s="58"/>
      <c r="AF36" s="58"/>
      <c r="AG36" s="58"/>
      <c r="AH36" s="58"/>
      <c r="AI36" s="58"/>
    </row>
    <row r="37" spans="1:35" s="71" customFormat="1" ht="13" x14ac:dyDescent="0.35">
      <c r="A37" s="13">
        <f>I8</f>
        <v>7</v>
      </c>
      <c r="B37" s="15">
        <v>250</v>
      </c>
      <c r="C37" s="76">
        <f t="shared" si="6"/>
        <v>50</v>
      </c>
      <c r="D37" s="76">
        <f t="shared" si="7"/>
        <v>20.504449999999999</v>
      </c>
      <c r="E37" s="76">
        <f t="shared" si="8"/>
        <v>3.0125000000000002</v>
      </c>
      <c r="F37" s="76">
        <f t="shared" si="9"/>
        <v>4.1449999999999996</v>
      </c>
      <c r="G37" s="76">
        <f t="shared" si="10"/>
        <v>0.185</v>
      </c>
      <c r="H37" s="76">
        <f t="shared" si="10"/>
        <v>0.84250000000000003</v>
      </c>
      <c r="I37" s="76">
        <f t="shared" si="10"/>
        <v>0.125</v>
      </c>
      <c r="J37" s="76">
        <f t="shared" si="10"/>
        <v>4.0000000000000001E-3</v>
      </c>
      <c r="K37" s="76">
        <f t="shared" si="10"/>
        <v>1.2500000000000001E-2</v>
      </c>
      <c r="L37" s="76">
        <f t="shared" si="10"/>
        <v>0.193</v>
      </c>
      <c r="M37" s="76">
        <f t="shared" si="10"/>
        <v>0.22875000000000001</v>
      </c>
      <c r="N37" s="76">
        <f t="shared" si="10"/>
        <v>11.75</v>
      </c>
      <c r="O37" s="76">
        <f t="shared" si="10"/>
        <v>2670.2500000000005</v>
      </c>
      <c r="P37" s="76">
        <f t="shared" si="10"/>
        <v>0</v>
      </c>
      <c r="Q37" s="76">
        <f t="shared" si="11"/>
        <v>51.625</v>
      </c>
      <c r="R37" s="76">
        <f t="shared" si="12"/>
        <v>0</v>
      </c>
      <c r="S37" s="76">
        <f t="shared" si="12"/>
        <v>0.125</v>
      </c>
      <c r="T37" s="76">
        <f t="shared" si="12"/>
        <v>1.4E-2</v>
      </c>
      <c r="U37" s="76">
        <f t="shared" si="12"/>
        <v>2.5</v>
      </c>
      <c r="AB37" s="58"/>
      <c r="AC37" s="58"/>
      <c r="AD37" s="58"/>
      <c r="AE37" s="58"/>
      <c r="AF37" s="58"/>
      <c r="AG37" s="58"/>
      <c r="AH37" s="58"/>
      <c r="AI37" s="58"/>
    </row>
    <row r="38" spans="1:35" s="71" customFormat="1" ht="13" x14ac:dyDescent="0.35">
      <c r="A38" s="13" t="str">
        <f>J8</f>
        <v xml:space="preserve">1 (Bwlch) </v>
      </c>
      <c r="B38" s="15">
        <v>250</v>
      </c>
      <c r="C38" s="76">
        <f t="shared" si="6"/>
        <v>50</v>
      </c>
      <c r="D38" s="76">
        <f t="shared" si="7"/>
        <v>20.504449999999999</v>
      </c>
      <c r="E38" s="76">
        <f t="shared" si="8"/>
        <v>3.0125000000000002</v>
      </c>
      <c r="F38" s="76">
        <f t="shared" si="9"/>
        <v>4.1449999999999996</v>
      </c>
      <c r="G38" s="76">
        <f t="shared" si="10"/>
        <v>0.185</v>
      </c>
      <c r="H38" s="76">
        <f t="shared" si="10"/>
        <v>0.84250000000000003</v>
      </c>
      <c r="I38" s="76">
        <f t="shared" si="10"/>
        <v>0.125</v>
      </c>
      <c r="J38" s="76">
        <f t="shared" si="10"/>
        <v>4.0000000000000001E-3</v>
      </c>
      <c r="K38" s="76">
        <f t="shared" si="10"/>
        <v>1.2500000000000001E-2</v>
      </c>
      <c r="L38" s="76">
        <f t="shared" si="10"/>
        <v>0.193</v>
      </c>
      <c r="M38" s="76">
        <f t="shared" si="10"/>
        <v>0.22875000000000001</v>
      </c>
      <c r="N38" s="76">
        <f t="shared" si="10"/>
        <v>11.75</v>
      </c>
      <c r="O38" s="76">
        <f t="shared" si="10"/>
        <v>2670.2500000000005</v>
      </c>
      <c r="P38" s="76">
        <f t="shared" si="10"/>
        <v>0</v>
      </c>
      <c r="Q38" s="76">
        <f t="shared" si="11"/>
        <v>51.625</v>
      </c>
      <c r="R38" s="76">
        <f t="shared" si="12"/>
        <v>0</v>
      </c>
      <c r="S38" s="76">
        <f t="shared" si="12"/>
        <v>0.125</v>
      </c>
      <c r="T38" s="76">
        <f t="shared" si="12"/>
        <v>1.4E-2</v>
      </c>
      <c r="U38" s="76">
        <f t="shared" si="12"/>
        <v>2.5</v>
      </c>
      <c r="AB38" s="58"/>
      <c r="AC38" s="58"/>
      <c r="AD38" s="58"/>
      <c r="AE38" s="58"/>
      <c r="AF38" s="58"/>
      <c r="AG38" s="58"/>
      <c r="AH38" s="58"/>
      <c r="AI38" s="58"/>
    </row>
    <row r="39" spans="1:35" s="71" customFormat="1" ht="13" x14ac:dyDescent="0.35">
      <c r="A39" s="13">
        <f>K8</f>
        <v>20</v>
      </c>
      <c r="B39" s="15">
        <v>250</v>
      </c>
      <c r="C39" s="76">
        <f t="shared" si="6"/>
        <v>50</v>
      </c>
      <c r="D39" s="76">
        <f t="shared" si="7"/>
        <v>20.504449999999999</v>
      </c>
      <c r="E39" s="76">
        <f t="shared" si="8"/>
        <v>3.0125000000000002</v>
      </c>
      <c r="F39" s="76">
        <f t="shared" si="9"/>
        <v>4.1449999999999996</v>
      </c>
      <c r="G39" s="76">
        <f t="shared" si="10"/>
        <v>0.185</v>
      </c>
      <c r="H39" s="76">
        <f t="shared" si="10"/>
        <v>0.84250000000000003</v>
      </c>
      <c r="I39" s="76">
        <f t="shared" si="10"/>
        <v>0.125</v>
      </c>
      <c r="J39" s="76">
        <f t="shared" si="10"/>
        <v>4.0000000000000001E-3</v>
      </c>
      <c r="K39" s="76">
        <f t="shared" si="10"/>
        <v>1.2500000000000001E-2</v>
      </c>
      <c r="L39" s="76">
        <f t="shared" si="10"/>
        <v>0.193</v>
      </c>
      <c r="M39" s="76">
        <f t="shared" si="10"/>
        <v>0.22875000000000001</v>
      </c>
      <c r="N39" s="76">
        <f t="shared" si="10"/>
        <v>11.75</v>
      </c>
      <c r="O39" s="76">
        <f t="shared" si="10"/>
        <v>2670.2500000000005</v>
      </c>
      <c r="P39" s="76">
        <f t="shared" si="10"/>
        <v>0</v>
      </c>
      <c r="Q39" s="76">
        <f t="shared" si="11"/>
        <v>51.625</v>
      </c>
      <c r="R39" s="76">
        <f t="shared" si="12"/>
        <v>0</v>
      </c>
      <c r="S39" s="76">
        <f t="shared" si="12"/>
        <v>0.125</v>
      </c>
      <c r="T39" s="76">
        <f t="shared" si="12"/>
        <v>1.4E-2</v>
      </c>
      <c r="U39" s="76">
        <f t="shared" si="12"/>
        <v>2.5</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10"/>
        <v>0</v>
      </c>
      <c r="H40" s="76">
        <f t="shared" si="10"/>
        <v>0</v>
      </c>
      <c r="I40" s="76">
        <f t="shared" si="10"/>
        <v>0</v>
      </c>
      <c r="J40" s="76">
        <f t="shared" si="10"/>
        <v>0</v>
      </c>
      <c r="K40" s="76">
        <f t="shared" si="10"/>
        <v>0</v>
      </c>
      <c r="L40" s="76">
        <f t="shared" si="10"/>
        <v>0</v>
      </c>
      <c r="M40" s="76">
        <f t="shared" si="10"/>
        <v>0</v>
      </c>
      <c r="N40" s="76">
        <f t="shared" si="10"/>
        <v>0</v>
      </c>
      <c r="O40" s="76">
        <f t="shared" si="10"/>
        <v>0</v>
      </c>
      <c r="P40" s="76">
        <f t="shared" si="10"/>
        <v>0</v>
      </c>
      <c r="Q40" s="76">
        <f t="shared" si="11"/>
        <v>0</v>
      </c>
      <c r="R40" s="76">
        <f t="shared" si="12"/>
        <v>0</v>
      </c>
      <c r="S40" s="76">
        <f t="shared" si="12"/>
        <v>0</v>
      </c>
      <c r="T40" s="76">
        <f t="shared" si="12"/>
        <v>0</v>
      </c>
      <c r="U40" s="76">
        <f t="shared" si="12"/>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10"/>
        <v>0</v>
      </c>
      <c r="H41" s="76">
        <f t="shared" si="10"/>
        <v>0</v>
      </c>
      <c r="I41" s="76">
        <f t="shared" si="10"/>
        <v>0</v>
      </c>
      <c r="J41" s="76">
        <f t="shared" si="10"/>
        <v>0</v>
      </c>
      <c r="K41" s="76">
        <f t="shared" si="10"/>
        <v>0</v>
      </c>
      <c r="L41" s="76">
        <f t="shared" si="10"/>
        <v>0</v>
      </c>
      <c r="M41" s="76">
        <f t="shared" si="10"/>
        <v>0</v>
      </c>
      <c r="N41" s="76">
        <f t="shared" si="10"/>
        <v>0</v>
      </c>
      <c r="O41" s="76">
        <f t="shared" si="10"/>
        <v>0</v>
      </c>
      <c r="P41" s="76">
        <f t="shared" si="10"/>
        <v>0</v>
      </c>
      <c r="Q41" s="76">
        <f t="shared" si="11"/>
        <v>0</v>
      </c>
      <c r="R41" s="76">
        <f t="shared" si="12"/>
        <v>0</v>
      </c>
      <c r="S41" s="76">
        <f t="shared" si="12"/>
        <v>0</v>
      </c>
      <c r="T41" s="76">
        <f t="shared" si="12"/>
        <v>0</v>
      </c>
      <c r="U41" s="76">
        <f t="shared" si="12"/>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10"/>
        <v>0</v>
      </c>
      <c r="H42" s="76">
        <f t="shared" si="10"/>
        <v>0</v>
      </c>
      <c r="I42" s="76">
        <f t="shared" si="10"/>
        <v>0</v>
      </c>
      <c r="J42" s="76">
        <f t="shared" si="10"/>
        <v>0</v>
      </c>
      <c r="K42" s="76">
        <f t="shared" si="10"/>
        <v>0</v>
      </c>
      <c r="L42" s="76">
        <f t="shared" si="10"/>
        <v>0</v>
      </c>
      <c r="M42" s="76">
        <f t="shared" si="10"/>
        <v>0</v>
      </c>
      <c r="N42" s="76">
        <f t="shared" si="10"/>
        <v>0</v>
      </c>
      <c r="O42" s="76">
        <f t="shared" si="10"/>
        <v>0</v>
      </c>
      <c r="P42" s="76">
        <f t="shared" si="10"/>
        <v>0</v>
      </c>
      <c r="Q42" s="76">
        <f t="shared" si="11"/>
        <v>0</v>
      </c>
      <c r="R42" s="76">
        <f t="shared" si="12"/>
        <v>0</v>
      </c>
      <c r="S42" s="76">
        <f t="shared" si="12"/>
        <v>0</v>
      </c>
      <c r="T42" s="76">
        <f t="shared" si="12"/>
        <v>0</v>
      </c>
      <c r="U42" s="76">
        <f t="shared" si="12"/>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10"/>
        <v>0</v>
      </c>
      <c r="H43" s="76">
        <f t="shared" si="10"/>
        <v>0</v>
      </c>
      <c r="I43" s="76">
        <f t="shared" si="10"/>
        <v>0</v>
      </c>
      <c r="J43" s="76">
        <f t="shared" si="10"/>
        <v>0</v>
      </c>
      <c r="K43" s="76">
        <f t="shared" si="10"/>
        <v>0</v>
      </c>
      <c r="L43" s="76">
        <f t="shared" si="10"/>
        <v>0</v>
      </c>
      <c r="M43" s="76">
        <f t="shared" si="10"/>
        <v>0</v>
      </c>
      <c r="N43" s="76">
        <f t="shared" si="10"/>
        <v>0</v>
      </c>
      <c r="O43" s="76">
        <f t="shared" si="10"/>
        <v>0</v>
      </c>
      <c r="P43" s="76">
        <f t="shared" si="10"/>
        <v>0</v>
      </c>
      <c r="Q43" s="76">
        <f t="shared" si="11"/>
        <v>0</v>
      </c>
      <c r="R43" s="76">
        <f t="shared" si="12"/>
        <v>0</v>
      </c>
      <c r="S43" s="76">
        <f t="shared" si="12"/>
        <v>0</v>
      </c>
      <c r="T43" s="76">
        <f t="shared" si="12"/>
        <v>0</v>
      </c>
      <c r="U43" s="76">
        <f t="shared" si="12"/>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10"/>
        <v>0</v>
      </c>
      <c r="H44" s="76">
        <f t="shared" si="10"/>
        <v>0</v>
      </c>
      <c r="I44" s="76">
        <f t="shared" si="10"/>
        <v>0</v>
      </c>
      <c r="J44" s="76">
        <f t="shared" si="10"/>
        <v>0</v>
      </c>
      <c r="K44" s="76">
        <f t="shared" si="10"/>
        <v>0</v>
      </c>
      <c r="L44" s="76">
        <f t="shared" si="10"/>
        <v>0</v>
      </c>
      <c r="M44" s="76">
        <f t="shared" si="10"/>
        <v>0</v>
      </c>
      <c r="N44" s="76">
        <f t="shared" si="10"/>
        <v>0</v>
      </c>
      <c r="O44" s="76">
        <f t="shared" si="10"/>
        <v>0</v>
      </c>
      <c r="P44" s="76">
        <f t="shared" si="10"/>
        <v>0</v>
      </c>
      <c r="Q44" s="76">
        <f t="shared" si="11"/>
        <v>0</v>
      </c>
      <c r="R44" s="76">
        <f t="shared" si="12"/>
        <v>0</v>
      </c>
      <c r="S44" s="76">
        <f t="shared" si="12"/>
        <v>0</v>
      </c>
      <c r="T44" s="76">
        <f t="shared" si="12"/>
        <v>0</v>
      </c>
      <c r="U44" s="76">
        <f t="shared" si="12"/>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10"/>
        <v>0</v>
      </c>
      <c r="H45" s="76">
        <f t="shared" si="10"/>
        <v>0</v>
      </c>
      <c r="I45" s="76">
        <f t="shared" si="10"/>
        <v>0</v>
      </c>
      <c r="J45" s="76">
        <f t="shared" si="10"/>
        <v>0</v>
      </c>
      <c r="K45" s="76">
        <f t="shared" si="10"/>
        <v>0</v>
      </c>
      <c r="L45" s="76">
        <f t="shared" si="10"/>
        <v>0</v>
      </c>
      <c r="M45" s="76">
        <f t="shared" si="10"/>
        <v>0</v>
      </c>
      <c r="N45" s="76">
        <f t="shared" si="10"/>
        <v>0</v>
      </c>
      <c r="O45" s="76">
        <f t="shared" si="10"/>
        <v>0</v>
      </c>
      <c r="P45" s="76">
        <f t="shared" si="10"/>
        <v>0</v>
      </c>
      <c r="Q45" s="76">
        <f t="shared" si="11"/>
        <v>0</v>
      </c>
      <c r="R45" s="76">
        <f t="shared" si="12"/>
        <v>0</v>
      </c>
      <c r="S45" s="76">
        <f t="shared" si="12"/>
        <v>0</v>
      </c>
      <c r="T45" s="76">
        <f t="shared" si="12"/>
        <v>0</v>
      </c>
      <c r="U45" s="76">
        <f t="shared" si="12"/>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10"/>
        <v>0</v>
      </c>
      <c r="H46" s="76">
        <f t="shared" si="10"/>
        <v>0</v>
      </c>
      <c r="I46" s="76">
        <f t="shared" si="10"/>
        <v>0</v>
      </c>
      <c r="J46" s="76">
        <f t="shared" si="10"/>
        <v>0</v>
      </c>
      <c r="K46" s="76">
        <f t="shared" si="10"/>
        <v>0</v>
      </c>
      <c r="L46" s="76">
        <f t="shared" si="10"/>
        <v>0</v>
      </c>
      <c r="M46" s="76">
        <f t="shared" si="10"/>
        <v>0</v>
      </c>
      <c r="N46" s="76">
        <f t="shared" si="10"/>
        <v>0</v>
      </c>
      <c r="O46" s="76">
        <f t="shared" si="10"/>
        <v>0</v>
      </c>
      <c r="P46" s="76">
        <f t="shared" si="10"/>
        <v>0</v>
      </c>
      <c r="Q46" s="76">
        <f t="shared" si="11"/>
        <v>0</v>
      </c>
      <c r="R46" s="76">
        <f t="shared" si="12"/>
        <v>0</v>
      </c>
      <c r="S46" s="76">
        <f t="shared" si="12"/>
        <v>0</v>
      </c>
      <c r="T46" s="76">
        <f t="shared" si="12"/>
        <v>0</v>
      </c>
      <c r="U46" s="76">
        <f t="shared" si="12"/>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si="10"/>
        <v>0</v>
      </c>
      <c r="H47" s="76">
        <f t="shared" si="10"/>
        <v>0</v>
      </c>
      <c r="I47" s="76">
        <f t="shared" si="10"/>
        <v>0</v>
      </c>
      <c r="J47" s="76">
        <f t="shared" si="10"/>
        <v>0</v>
      </c>
      <c r="K47" s="76">
        <f t="shared" si="10"/>
        <v>0</v>
      </c>
      <c r="L47" s="76">
        <f t="shared" si="10"/>
        <v>0</v>
      </c>
      <c r="M47" s="76">
        <f t="shared" si="10"/>
        <v>0</v>
      </c>
      <c r="N47" s="76">
        <f t="shared" si="10"/>
        <v>0</v>
      </c>
      <c r="O47" s="76">
        <f t="shared" si="10"/>
        <v>0</v>
      </c>
      <c r="P47" s="76">
        <f t="shared" si="10"/>
        <v>0</v>
      </c>
      <c r="Q47" s="76">
        <f t="shared" si="11"/>
        <v>0</v>
      </c>
      <c r="R47" s="76">
        <f t="shared" si="12"/>
        <v>0</v>
      </c>
      <c r="S47" s="76">
        <f t="shared" si="12"/>
        <v>0</v>
      </c>
      <c r="T47" s="76">
        <f t="shared" si="12"/>
        <v>0</v>
      </c>
      <c r="U47" s="76">
        <f t="shared" si="12"/>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0"/>
        <v>0</v>
      </c>
      <c r="H48" s="76">
        <f t="shared" si="10"/>
        <v>0</v>
      </c>
      <c r="I48" s="76">
        <f t="shared" si="10"/>
        <v>0</v>
      </c>
      <c r="J48" s="76">
        <f t="shared" si="10"/>
        <v>0</v>
      </c>
      <c r="K48" s="76">
        <f t="shared" si="10"/>
        <v>0</v>
      </c>
      <c r="L48" s="76">
        <f t="shared" si="10"/>
        <v>0</v>
      </c>
      <c r="M48" s="76">
        <f t="shared" si="10"/>
        <v>0</v>
      </c>
      <c r="N48" s="76">
        <f t="shared" si="10"/>
        <v>0</v>
      </c>
      <c r="O48" s="76">
        <f t="shared" si="10"/>
        <v>0</v>
      </c>
      <c r="P48" s="76">
        <f t="shared" si="10"/>
        <v>0</v>
      </c>
      <c r="Q48" s="76">
        <f t="shared" si="11"/>
        <v>0</v>
      </c>
      <c r="R48" s="76">
        <f t="shared" si="12"/>
        <v>0</v>
      </c>
      <c r="S48" s="76">
        <f t="shared" si="12"/>
        <v>0</v>
      </c>
      <c r="T48" s="76">
        <f t="shared" si="12"/>
        <v>0</v>
      </c>
      <c r="U48" s="76">
        <f t="shared" si="12"/>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0"/>
        <v>0</v>
      </c>
      <c r="H49" s="76">
        <f t="shared" si="10"/>
        <v>0</v>
      </c>
      <c r="I49" s="76">
        <f t="shared" si="10"/>
        <v>0</v>
      </c>
      <c r="J49" s="76">
        <f t="shared" si="10"/>
        <v>0</v>
      </c>
      <c r="K49" s="76">
        <f t="shared" si="10"/>
        <v>0</v>
      </c>
      <c r="L49" s="76">
        <f t="shared" si="10"/>
        <v>0</v>
      </c>
      <c r="M49" s="76">
        <f t="shared" si="10"/>
        <v>0</v>
      </c>
      <c r="N49" s="76">
        <f t="shared" si="10"/>
        <v>0</v>
      </c>
      <c r="O49" s="76">
        <f t="shared" si="10"/>
        <v>0</v>
      </c>
      <c r="P49" s="76">
        <f t="shared" si="10"/>
        <v>0</v>
      </c>
      <c r="Q49" s="76">
        <f t="shared" si="11"/>
        <v>0</v>
      </c>
      <c r="R49" s="76">
        <f t="shared" si="12"/>
        <v>0</v>
      </c>
      <c r="S49" s="76">
        <f t="shared" si="12"/>
        <v>0</v>
      </c>
      <c r="T49" s="76">
        <f t="shared" si="12"/>
        <v>0</v>
      </c>
      <c r="U49" s="76">
        <f t="shared" si="12"/>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0"/>
        <v>0</v>
      </c>
      <c r="H50" s="97">
        <f t="shared" si="10"/>
        <v>0</v>
      </c>
      <c r="I50" s="97">
        <f t="shared" si="10"/>
        <v>0</v>
      </c>
      <c r="J50" s="97">
        <f t="shared" si="10"/>
        <v>0</v>
      </c>
      <c r="K50" s="97">
        <f t="shared" si="10"/>
        <v>0</v>
      </c>
      <c r="L50" s="97">
        <f t="shared" si="10"/>
        <v>0</v>
      </c>
      <c r="M50" s="97">
        <f t="shared" si="10"/>
        <v>0</v>
      </c>
      <c r="N50" s="97">
        <f t="shared" si="10"/>
        <v>0</v>
      </c>
      <c r="O50" s="97">
        <f t="shared" si="10"/>
        <v>0</v>
      </c>
      <c r="P50" s="97">
        <f t="shared" si="10"/>
        <v>0</v>
      </c>
      <c r="Q50" s="97">
        <f t="shared" si="11"/>
        <v>0</v>
      </c>
      <c r="R50" s="97">
        <f t="shared" si="12"/>
        <v>0</v>
      </c>
      <c r="S50" s="97">
        <f t="shared" si="12"/>
        <v>0</v>
      </c>
      <c r="T50" s="97">
        <f t="shared" si="12"/>
        <v>0</v>
      </c>
      <c r="U50" s="97">
        <f t="shared" si="12"/>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v>2.73</v>
      </c>
      <c r="C55" s="115">
        <v>1</v>
      </c>
      <c r="D55" s="116">
        <f>(B55/100)*C55</f>
        <v>2.7300000000000001E-2</v>
      </c>
      <c r="E55" s="116">
        <f>G55</f>
        <v>5.4600000000000003E-2</v>
      </c>
      <c r="F55" s="115">
        <v>2</v>
      </c>
      <c r="G55" s="116">
        <f>(B55/100)*F55</f>
        <v>5.4600000000000003E-2</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K8</f>
        <v>20</v>
      </c>
      <c r="K57" s="8">
        <f>L8</f>
        <v>0</v>
      </c>
      <c r="L57" s="8">
        <f>M8</f>
        <v>0</v>
      </c>
      <c r="M57" s="8">
        <f>N8</f>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str">
        <f>J16&amp;" I "&amp;(VLOOKUP(J14,Table24[],6,FALSE))</f>
        <v>Medium/Clay I Grass</v>
      </c>
      <c r="J58" s="13" t="str">
        <f>K16&amp;" I "&amp;(VLOOKUP(K14,Table24[],6,FALSE))</f>
        <v>Medium/Clay I Grass</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0" t="s">
        <v>132</v>
      </c>
      <c r="B59" s="75">
        <f>VLOOKUP(C$14,Table24[],5,FALSE)</f>
        <v>6.2</v>
      </c>
      <c r="C59" s="75">
        <f>VLOOKUP(D$14,Table24[],5,FALSE)</f>
        <v>6.2</v>
      </c>
      <c r="D59" s="75">
        <f>VLOOKUP(E$14,Table24[],5,FALSE)</f>
        <v>6.2</v>
      </c>
      <c r="E59" s="75">
        <f>VLOOKUP(F$14,Table24[],5,FALSE)</f>
        <v>6.2</v>
      </c>
      <c r="F59" s="75">
        <f>VLOOKUP(G$14,Table24[],5,FALSE)</f>
        <v>6.2</v>
      </c>
      <c r="G59" s="75">
        <f>VLOOKUP(H$14,Table24[],5,FALSE)</f>
        <v>6.2</v>
      </c>
      <c r="H59" s="75">
        <f>VLOOKUP(I$14,Table24[],5,FALSE)</f>
        <v>6.2</v>
      </c>
      <c r="I59" s="75">
        <f>VLOOKUP(J$14,Table24[],5,FALSE)</f>
        <v>6.2</v>
      </c>
      <c r="J59" s="75">
        <f>VLOOKUP(K$14,Table24[],5,FALSE)</f>
        <v>6.2</v>
      </c>
      <c r="K59" s="75" t="e">
        <f>VLOOKUP(L$14,Table24[],5,FALSE)</f>
        <v>#N/A</v>
      </c>
      <c r="L59" s="75" t="e">
        <f>VLOOKUP(M$14,Table24[],5,FALSE)</f>
        <v>#N/A</v>
      </c>
      <c r="M59" s="75" t="e">
        <f>VLOOKUP(N$14,Table24[],5,FALSE)</f>
        <v>#N/A</v>
      </c>
      <c r="N59" s="75" t="e">
        <f>VLOOKUP(O$14,Table24[],5,FALSE)</f>
        <v>#N/A</v>
      </c>
      <c r="O59" s="75" t="e">
        <f>VLOOKUP(P$14,Table24[],5,FALSE)</f>
        <v>#N/A</v>
      </c>
      <c r="P59" s="75" t="e">
        <f>VLOOKUP(Q$14,Table24[],5,FALSE)</f>
        <v>#N/A</v>
      </c>
      <c r="Q59" s="75" t="e">
        <f>VLOOKUP(R$14,Table24[],5,FALSE)</f>
        <v>#N/A</v>
      </c>
      <c r="R59" s="75" t="e">
        <f>VLOOKUP(S$14,Table24[],5,FALSE)</f>
        <v>#N/A</v>
      </c>
      <c r="S59" s="75" t="e">
        <f>VLOOKUP(T$14,Table24[],5,FALSE)</f>
        <v>#N/A</v>
      </c>
      <c r="T59" s="75" t="e">
        <f>VLOOKUP(U$14,Table24[],5,FALSE)</f>
        <v>#N/A</v>
      </c>
      <c r="U59" s="75" t="e">
        <f>VLOOKUP(V$14,Table24[],5,FALSE)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250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0.13650000000000001</v>
      </c>
      <c r="C63" s="76">
        <f t="shared" ref="C63:U63" si="16">$E55*(C62/100)</f>
        <v>0.13650000000000001</v>
      </c>
      <c r="D63" s="76">
        <f t="shared" si="16"/>
        <v>0.13650000000000001</v>
      </c>
      <c r="E63" s="76">
        <f t="shared" si="16"/>
        <v>0.13650000000000001</v>
      </c>
      <c r="F63" s="76">
        <f>$E55*(F62/100)</f>
        <v>0.13650000000000001</v>
      </c>
      <c r="G63" s="76">
        <f t="shared" si="16"/>
        <v>0.13650000000000001</v>
      </c>
      <c r="H63" s="76">
        <f t="shared" si="16"/>
        <v>0.13650000000000001</v>
      </c>
      <c r="I63" s="76">
        <f t="shared" si="16"/>
        <v>0.13650000000000001</v>
      </c>
      <c r="J63" s="76">
        <f t="shared" si="16"/>
        <v>0.13650000000000001</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-1.063500000000001</v>
      </c>
      <c r="C65" s="76">
        <f t="shared" ref="C65:U65" si="18">C63-C64</f>
        <v>-1.6634999999999989</v>
      </c>
      <c r="D65" s="76">
        <f t="shared" si="18"/>
        <v>-2.2635000000000023</v>
      </c>
      <c r="E65" s="76">
        <f t="shared" si="18"/>
        <v>-2.2635000000000023</v>
      </c>
      <c r="F65" s="76">
        <f t="shared" si="18"/>
        <v>-2.2635000000000023</v>
      </c>
      <c r="G65" s="76">
        <f t="shared" si="18"/>
        <v>-2.2635000000000023</v>
      </c>
      <c r="H65" s="76">
        <f t="shared" si="18"/>
        <v>-2.2635000000000023</v>
      </c>
      <c r="I65" s="76">
        <f t="shared" si="18"/>
        <v>-1.6634999999999989</v>
      </c>
      <c r="J65" s="76">
        <f t="shared" si="18"/>
        <v>-5.2635000000000023</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377" priority="43" operator="equal">
      <formula>"DECREASE"</formula>
    </cfRule>
    <cfRule type="cellIs" dxfId="376" priority="44" operator="equal">
      <formula>"INCREASE"</formula>
    </cfRule>
  </conditionalFormatting>
  <conditionalFormatting sqref="B62:U66 B31:B50">
    <cfRule type="cellIs" dxfId="375" priority="42" operator="greaterThan">
      <formula>$B$51</formula>
    </cfRule>
  </conditionalFormatting>
  <conditionalFormatting sqref="C31:C50">
    <cfRule type="cellIs" dxfId="374" priority="41" operator="greaterThan">
      <formula>$C$51</formula>
    </cfRule>
  </conditionalFormatting>
  <conditionalFormatting sqref="C18:V18">
    <cfRule type="cellIs" dxfId="373" priority="37" operator="equal">
      <formula>0</formula>
    </cfRule>
  </conditionalFormatting>
  <conditionalFormatting sqref="C17:V17">
    <cfRule type="cellIs" dxfId="372" priority="35" operator="equal">
      <formula>0</formula>
    </cfRule>
  </conditionalFormatting>
  <conditionalFormatting sqref="C19:V19">
    <cfRule type="cellIs" dxfId="371" priority="34"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7" operator="greaterThan">
      <formula>$K$51</formula>
    </cfRule>
  </conditionalFormatting>
  <conditionalFormatting sqref="L31:L50">
    <cfRule type="cellIs" dxfId="366" priority="26" operator="greaterThan">
      <formula>$L$51</formula>
    </cfRule>
  </conditionalFormatting>
  <conditionalFormatting sqref="M31:M50">
    <cfRule type="cellIs" dxfId="365" priority="25" operator="greaterThan">
      <formula>$M$51</formula>
    </cfRule>
  </conditionalFormatting>
  <conditionalFormatting sqref="P31:P50">
    <cfRule type="cellIs" dxfId="364" priority="24" operator="greaterThan">
      <formula>$P$51</formula>
    </cfRule>
  </conditionalFormatting>
  <conditionalFormatting sqref="R31:R50">
    <cfRule type="cellIs" dxfId="363" priority="23" operator="greaterThan">
      <formula>$R$51</formula>
    </cfRule>
  </conditionalFormatting>
  <conditionalFormatting sqref="S31:S50">
    <cfRule type="cellIs" dxfId="362" priority="22" operator="greaterThan">
      <formula>$S$51</formula>
    </cfRule>
  </conditionalFormatting>
  <conditionalFormatting sqref="T31:T50">
    <cfRule type="cellIs" dxfId="361" priority="21" operator="greaterThan">
      <formula>$T$51</formula>
    </cfRule>
  </conditionalFormatting>
  <conditionalFormatting sqref="U31:U50">
    <cfRule type="cellIs" dxfId="360" priority="20" operator="greaterThan">
      <formula>$U$51</formula>
    </cfRule>
  </conditionalFormatting>
  <conditionalFormatting sqref="C22:V22">
    <cfRule type="cellIs" dxfId="359" priority="18" operator="equal">
      <formula>0</formula>
    </cfRule>
  </conditionalFormatting>
  <conditionalFormatting sqref="C24:V24">
    <cfRule type="cellIs" dxfId="358" priority="16" operator="equal">
      <formula>"DECREASE"</formula>
    </cfRule>
    <cfRule type="cellIs" dxfId="357" priority="17" operator="equal">
      <formula>"INCREASE"</formula>
    </cfRule>
  </conditionalFormatting>
  <conditionalFormatting sqref="C23:V23">
    <cfRule type="cellIs" dxfId="356" priority="15" operator="equal">
      <formula>0</formula>
    </cfRule>
  </conditionalFormatting>
  <conditionalFormatting sqref="I1">
    <cfRule type="cellIs" dxfId="355" priority="11" operator="between">
      <formula>0.1</formula>
      <formula>5</formula>
    </cfRule>
  </conditionalFormatting>
  <conditionalFormatting sqref="I2">
    <cfRule type="cellIs" dxfId="354" priority="10" operator="greaterThan">
      <formula>5000.1</formula>
    </cfRule>
  </conditionalFormatting>
  <conditionalFormatting sqref="I3">
    <cfRule type="cellIs" dxfId="353" priority="9" operator="greaterThan">
      <formula>40000.01</formula>
    </cfRule>
  </conditionalFormatting>
  <conditionalFormatting sqref="C21:V21">
    <cfRule type="cellIs" dxfId="352" priority="8" operator="equal">
      <formula>0</formula>
    </cfRule>
  </conditionalFormatting>
  <conditionalFormatting sqref="B66:U66">
    <cfRule type="cellIs" dxfId="351" priority="4" operator="equal">
      <formula>"UNDER"</formula>
    </cfRule>
    <cfRule type="cellIs" dxfId="350" priority="5" operator="equal">
      <formula>"OVER"</formula>
    </cfRule>
  </conditionalFormatting>
  <conditionalFormatting sqref="J31:J50">
    <cfRule type="cellIs" dxfId="349" priority="3" operator="greaterThan">
      <formula>$J$51</formula>
    </cfRule>
  </conditionalFormatting>
  <conditionalFormatting sqref="L3">
    <cfRule type="cellIs" dxfId="348" priority="1" operator="lessThan">
      <formula>30</formula>
    </cfRule>
    <cfRule type="cellIs" dxfId="347"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4" zoomScale="90" zoomScaleNormal="90" workbookViewId="0">
      <selection activeCell="D39" sqref="D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7</v>
      </c>
      <c r="J1" s="128" t="s">
        <v>153</v>
      </c>
      <c r="K1" s="128"/>
      <c r="L1" s="96">
        <v>27.4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0.75900000000000001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0.36100131752305664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37.358535150000002</v>
      </c>
      <c r="D18" s="16">
        <f>$D32</f>
        <v>37.358535150000002</v>
      </c>
      <c r="E18" s="16">
        <f>$D33</f>
        <v>37.358535150000002</v>
      </c>
      <c r="F18" s="16">
        <f>$D34</f>
        <v>37.358535150000002</v>
      </c>
      <c r="G18" s="16">
        <f>$D35</f>
        <v>37.358535150000002</v>
      </c>
      <c r="H18" s="16">
        <f>$D36</f>
        <v>37.358535150000002</v>
      </c>
      <c r="I18" s="16">
        <f>$D37</f>
        <v>37.358535150000002</v>
      </c>
      <c r="J18" s="16">
        <f>$D38</f>
        <v>100.94753115</v>
      </c>
      <c r="K18" s="16">
        <f>$D39</f>
        <v>19.871561249999999</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-27.241464849999993</v>
      </c>
      <c r="D19" s="16">
        <f t="shared" ref="D19:V19" si="1">D18-D17</f>
        <v>-27.241464849999993</v>
      </c>
      <c r="E19" s="16">
        <f t="shared" si="1"/>
        <v>-27.241464849999993</v>
      </c>
      <c r="F19" s="16">
        <f t="shared" si="1"/>
        <v>-27.241464849999993</v>
      </c>
      <c r="G19" s="16">
        <f t="shared" si="1"/>
        <v>-27.241464849999993</v>
      </c>
      <c r="H19" s="16">
        <f t="shared" si="1"/>
        <v>-27.241464849999993</v>
      </c>
      <c r="I19" s="16">
        <f t="shared" si="1"/>
        <v>-27.241464849999993</v>
      </c>
      <c r="J19" s="16">
        <f t="shared" si="1"/>
        <v>36.347531150000009</v>
      </c>
      <c r="K19" s="16">
        <f t="shared" si="1"/>
        <v>-44.728438749999995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INCREASE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14.555195000000001</v>
      </c>
      <c r="D22" s="16">
        <f>$E32</f>
        <v>14.555195000000001</v>
      </c>
      <c r="E22" s="16">
        <f>$E33</f>
        <v>14.555195000000001</v>
      </c>
      <c r="F22" s="16">
        <f>$E34</f>
        <v>14.555195000000001</v>
      </c>
      <c r="G22" s="16">
        <f>$E35</f>
        <v>14.555195000000001</v>
      </c>
      <c r="H22" s="16">
        <f>$E36</f>
        <v>14.555195000000001</v>
      </c>
      <c r="I22" s="16">
        <f>$E37</f>
        <v>14.555195000000001</v>
      </c>
      <c r="J22" s="16">
        <f>$E38</f>
        <v>39.329995000000004</v>
      </c>
      <c r="K22" s="16">
        <f>$E39</f>
        <v>7.7421250000000006</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-213.444805</v>
      </c>
      <c r="D23" s="16">
        <f t="shared" ref="D23:V23" si="3">D22-D21</f>
        <v>-213.444805</v>
      </c>
      <c r="E23" s="16">
        <f t="shared" si="3"/>
        <v>-213.444805</v>
      </c>
      <c r="F23" s="16">
        <f t="shared" si="3"/>
        <v>-213.444805</v>
      </c>
      <c r="G23" s="16">
        <f t="shared" si="3"/>
        <v>-213.444805</v>
      </c>
      <c r="H23" s="16">
        <f t="shared" si="3"/>
        <v>-213.444805</v>
      </c>
      <c r="I23" s="16">
        <f t="shared" si="3"/>
        <v>-213.444805</v>
      </c>
      <c r="J23" s="16">
        <f t="shared" si="3"/>
        <v>-188.670005</v>
      </c>
      <c r="K23" s="16">
        <f t="shared" si="3"/>
        <v>-220.25787500000001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25.7</v>
      </c>
      <c r="C28" s="15">
        <v>0.75900000000000001</v>
      </c>
      <c r="D28" s="15">
        <v>0.13500000000000001</v>
      </c>
      <c r="E28" s="15">
        <v>0.1</v>
      </c>
      <c r="F28" s="15">
        <v>2910</v>
      </c>
      <c r="G28" s="15">
        <v>37.6</v>
      </c>
      <c r="H28" s="15">
        <v>167</v>
      </c>
      <c r="I28" s="15">
        <v>47.5</v>
      </c>
      <c r="J28" s="15">
        <v>0.34</v>
      </c>
      <c r="K28" s="15">
        <v>0.2</v>
      </c>
      <c r="L28" s="15">
        <v>25</v>
      </c>
      <c r="M28" s="15">
        <v>21.9</v>
      </c>
      <c r="N28" s="15">
        <v>12300</v>
      </c>
      <c r="O28" s="15">
        <v>298000</v>
      </c>
      <c r="P28" s="15"/>
      <c r="Q28" s="15">
        <v>2240</v>
      </c>
      <c r="R28" s="15"/>
      <c r="S28" s="15">
        <v>20.6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47</v>
      </c>
      <c r="C31" s="76">
        <f>IF(C$27="%w/w SAR",((C$28*10)*$B31),IF(C$27="%w/w DM",(((C$28*10)*($B$28/100))*$B31),IF(C$27="kg/t SAR",(C$28*$B31),IF(C$27="kg/t DM",((C$28*($B$28/100))*$B31),IF(C$27="mg/kg SAR",((C$28*0.001)*$B31),IF(C$27="mg/kg DM",(((C$28*0.001)*($B$28/100))*$B31),0))))))</f>
        <v>91.679610000000011</v>
      </c>
      <c r="D31" s="76">
        <f>(IF(D$27="%w/w SAR",((D$28*10)*$B31),IF(D$27="%w/w DM",(((D$28*10)*($B$28/100))*$B31),IF(D$27="kg/t SAR",(D$28*$B31),IF(D$27="kg/t DM",((D$28*($B$28/100))*$B31),IF(D$27="mg/kg SAR",((D$28*0.001)*$B31),IF(D$27="mg/kg DM",(((D$28*0.001)*($B$28/100))*$B31),"0")))))))*2.291</f>
        <v>37.358535150000002</v>
      </c>
      <c r="E31" s="76">
        <f>(IF(E$27="%w/w SAR",((E$28*10)*$B31),IF(E$27="%w/w DM",(((E$28*10)*($B$28/100))*$B31),IF(E$27="kg/t SAR",(E$28*$B31),IF(E$27="kg/t DM",((E$28*($B$28/100))*$B31),IF(E$27="mg/kg SAR",((E$28*0.001)*$B31),IF(E$27="mg/kg DM",(((E$28*0.001)*($B$28/100))*$B31),"0")))))))*1.205</f>
        <v>14.555195000000001</v>
      </c>
      <c r="F31" s="76">
        <f>(IF(F$27="%w/w SAR",((F$28*10)*$B31),IF(F$27="%w/w DM",(((F$28*10)*($B$28/100))*$B31),IF(F$27="kg/t SAR",(F$28*$B31),IF(F$27="kg/t DM",((F$28*($B$28/100))*$B31),IF(F$27="mg/kg SAR",((F$28*0.001)*$B31),IF(F$27="mg/kg DM",(((F$28*0.001)*($B$28/100))*$B31),"0")))))))*1.658</f>
        <v>58.278517619999995</v>
      </c>
      <c r="G31" s="76">
        <f t="shared" ref="G31:P46" si="5">IF(G$27="%w/w SAR",((G$28*10)*$B31),IF(G$27="%w/w DM",(((G$28*10)*($B$28/100))*$B31),IF(G$27="kg/t SAR",(G$28*$B31),IF(G$27="kg/t DM",((G$28*($B$28/100))*$B31),IF(G$27="mg/kg SAR",((G$28*0.001)*$B31),IF(G$27="mg/kg DM",(((G$28*0.001)*($B$28/100))*$B31),0))))))</f>
        <v>0.45417040000000003</v>
      </c>
      <c r="H31" s="76">
        <f t="shared" si="5"/>
        <v>2.0171930000000002</v>
      </c>
      <c r="I31" s="76">
        <f t="shared" si="5"/>
        <v>0.5737525</v>
      </c>
      <c r="J31" s="76">
        <f t="shared" si="5"/>
        <v>4.1068600000000004E-3</v>
      </c>
      <c r="K31" s="76">
        <f t="shared" si="5"/>
        <v>2.4158000000000001E-3</v>
      </c>
      <c r="L31" s="76">
        <f t="shared" si="5"/>
        <v>0.30197499999999999</v>
      </c>
      <c r="M31" s="76">
        <f t="shared" si="5"/>
        <v>0.26453009999999999</v>
      </c>
      <c r="N31" s="76">
        <f t="shared" si="5"/>
        <v>148.57170000000002</v>
      </c>
      <c r="O31" s="76">
        <f t="shared" si="5"/>
        <v>3599.5419999999999</v>
      </c>
      <c r="P31" s="76">
        <f t="shared" si="5"/>
        <v>0</v>
      </c>
      <c r="Q31" s="76">
        <f>(IF(Q$27="%w/w SAR",((Q$28*10)*$B31),IF(Q$27="%w/w DM",(((Q$28*10)*($B$28/100))*$B31),IF(Q$27="kg/t SAR",(Q$28*$B31),IF(Q$27="kg/t DM",((Q$28*($B$28/100))*$B31),IF(Q$27="mg/kg SAR",((Q$28*0.001)*$B31),IF(Q$27="mg/kg DM",(((Q$28*0.001)*($B$28/100))*$B31),0)))))))*2.5</f>
        <v>67.642400000000009</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0.24882739999999998</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47</v>
      </c>
      <c r="C32" s="76">
        <f t="shared" ref="C32:C50" si="6">IF(C$27="%w/w SAR",((C$28*10)*$B32),IF(C$27="%w/w DM",(((C$28*10)*($B$28/100))*$B32),IF(C$27="kg/t SAR",(C$28*$B32),IF(C$27="kg/t DM",((C$28*($B$28/100))*$B32),IF(C$27="mg/kg SAR",((C$28*0.001)*$B32),IF(C$27="mg/kg DM",(((C$28*0.001)*($B$28/100))*$B32),0))))))</f>
        <v>91.679610000000011</v>
      </c>
      <c r="D32" s="76">
        <f t="shared" ref="D32:D50" si="7">(IF(D$27="%w/w SAR",((D$28*10)*$B32),IF(D$27="%w/w DM",(((D$28*10)*($B$28/100))*$B32),IF(D$27="kg/t SAR",(D$28*$B32),IF(D$27="kg/t DM",((D$28*($B$28/100))*$B32),IF(D$27="mg/kg SAR",((D$28*0.001)*$B32),IF(D$27="mg/kg DM",(((D$28*0.001)*($B$28/100))*$B32),"0")))))))*2.291</f>
        <v>37.358535150000002</v>
      </c>
      <c r="E32" s="76">
        <f t="shared" ref="E32:E50" si="8">(IF(E$27="%w/w SAR",((E$28*10)*$B32),IF(E$27="%w/w DM",(((E$28*10)*($B$28/100))*$B32),IF(E$27="kg/t SAR",(E$28*$B32),IF(E$27="kg/t DM",((E$28*($B$28/100))*$B32),IF(E$27="mg/kg SAR",((E$28*0.001)*$B32),IF(E$27="mg/kg DM",(((E$28*0.001)*($B$28/100))*$B32),"0")))))))*1.205</f>
        <v>14.555195000000001</v>
      </c>
      <c r="F32" s="76">
        <f t="shared" ref="F32:F50" si="9">(IF(F$27="%w/w SAR",((F$28*10)*$B32),IF(F$27="%w/w DM",(((F$28*10)*($B$28/100))*$B32),IF(F$27="kg/t SAR",(F$28*$B32),IF(F$27="kg/t DM",((F$28*($B$28/100))*$B32),IF(F$27="mg/kg SAR",((F$28*0.001)*$B32),IF(F$27="mg/kg DM",(((F$28*0.001)*($B$28/100))*$B32),"0")))))))*1.658</f>
        <v>58.278517619999995</v>
      </c>
      <c r="G32" s="76">
        <f t="shared" si="5"/>
        <v>0.45417040000000003</v>
      </c>
      <c r="H32" s="76">
        <f t="shared" si="5"/>
        <v>2.0171930000000002</v>
      </c>
      <c r="I32" s="76">
        <f t="shared" si="5"/>
        <v>0.5737525</v>
      </c>
      <c r="J32" s="76">
        <f t="shared" si="5"/>
        <v>4.1068600000000004E-3</v>
      </c>
      <c r="K32" s="76">
        <f t="shared" si="5"/>
        <v>2.4158000000000001E-3</v>
      </c>
      <c r="L32" s="76">
        <f t="shared" si="5"/>
        <v>0.30197499999999999</v>
      </c>
      <c r="M32" s="76">
        <f t="shared" si="5"/>
        <v>0.26453009999999999</v>
      </c>
      <c r="N32" s="76">
        <f t="shared" si="5"/>
        <v>148.57170000000002</v>
      </c>
      <c r="O32" s="76">
        <f t="shared" si="5"/>
        <v>3599.5419999999999</v>
      </c>
      <c r="P32" s="76">
        <f t="shared" si="5"/>
        <v>0</v>
      </c>
      <c r="Q32" s="76">
        <f t="shared" ref="Q32:Q50" si="10">(IF(Q$27="%w/w SAR",((Q$28*10)*$B32),IF(Q$27="%w/w DM",(((Q$28*10)*($B$28/100))*$B32),IF(Q$27="kg/t SAR",(Q$28*$B32),IF(Q$27="kg/t DM",((Q$28*($B$28/100))*$B32),IF(Q$27="mg/kg SAR",((Q$28*0.001)*$B32),IF(Q$27="mg/kg DM",(((Q$28*0.001)*($B$28/100))*$B32),0)))))))*2.5</f>
        <v>67.642400000000009</v>
      </c>
      <c r="R32" s="76">
        <f t="shared" ref="R32:U50" si="11">IF(R$27="%w/w SAR",((R$28*10)*$B32),IF(R$27="%w/w DM",(((R$28*10)*($B$28/100))*$B32),IF(R$27="kg/t SAR",(R$28*$B32),IF(R$27="kg/t DM",((R$28*($B$28/100))*$B32),IF(R$27="mg/kg SAR",((R$28*0.001)*$B32),IF(R$27="mg/kg DM",(((R$28*0.001)*($B$28/100))*$B32),0))))))</f>
        <v>0</v>
      </c>
      <c r="S32" s="76">
        <f t="shared" si="11"/>
        <v>0.24882739999999998</v>
      </c>
      <c r="T32" s="76">
        <f t="shared" si="11"/>
        <v>0</v>
      </c>
      <c r="U32" s="76">
        <f t="shared" si="11"/>
        <v>0</v>
      </c>
      <c r="AB32" s="58"/>
      <c r="AC32" s="58"/>
      <c r="AD32" s="58"/>
      <c r="AE32" s="58"/>
      <c r="AF32" s="58"/>
      <c r="AG32" s="58"/>
      <c r="AH32" s="58"/>
      <c r="AI32" s="58"/>
    </row>
    <row r="33" spans="1:35" s="71" customFormat="1" ht="13" x14ac:dyDescent="0.35">
      <c r="A33" s="13">
        <f>E8</f>
        <v>3</v>
      </c>
      <c r="B33" s="15">
        <v>47</v>
      </c>
      <c r="C33" s="76">
        <f t="shared" si="6"/>
        <v>91.679610000000011</v>
      </c>
      <c r="D33" s="76">
        <f t="shared" si="7"/>
        <v>37.358535150000002</v>
      </c>
      <c r="E33" s="76">
        <f t="shared" si="8"/>
        <v>14.555195000000001</v>
      </c>
      <c r="F33" s="76">
        <f t="shared" si="9"/>
        <v>58.278517619999995</v>
      </c>
      <c r="G33" s="76">
        <f t="shared" si="5"/>
        <v>0.45417040000000003</v>
      </c>
      <c r="H33" s="76">
        <f t="shared" si="5"/>
        <v>2.0171930000000002</v>
      </c>
      <c r="I33" s="76">
        <f t="shared" si="5"/>
        <v>0.5737525</v>
      </c>
      <c r="J33" s="76">
        <f t="shared" si="5"/>
        <v>4.1068600000000004E-3</v>
      </c>
      <c r="K33" s="76">
        <f t="shared" si="5"/>
        <v>2.4158000000000001E-3</v>
      </c>
      <c r="L33" s="76">
        <f t="shared" si="5"/>
        <v>0.30197499999999999</v>
      </c>
      <c r="M33" s="76">
        <f t="shared" si="5"/>
        <v>0.26453009999999999</v>
      </c>
      <c r="N33" s="76">
        <f t="shared" si="5"/>
        <v>148.57170000000002</v>
      </c>
      <c r="O33" s="76">
        <f t="shared" si="5"/>
        <v>3599.5419999999999</v>
      </c>
      <c r="P33" s="76">
        <f t="shared" si="5"/>
        <v>0</v>
      </c>
      <c r="Q33" s="76">
        <f t="shared" si="10"/>
        <v>67.642400000000009</v>
      </c>
      <c r="R33" s="76">
        <f t="shared" si="11"/>
        <v>0</v>
      </c>
      <c r="S33" s="76">
        <f t="shared" si="11"/>
        <v>0.24882739999999998</v>
      </c>
      <c r="T33" s="76">
        <f t="shared" si="11"/>
        <v>0</v>
      </c>
      <c r="U33" s="76">
        <f t="shared" si="11"/>
        <v>0</v>
      </c>
      <c r="AB33" s="58"/>
      <c r="AC33" s="58"/>
      <c r="AD33" s="58"/>
      <c r="AE33" s="58"/>
      <c r="AF33" s="58"/>
      <c r="AG33" s="58"/>
      <c r="AH33" s="58"/>
      <c r="AI33" s="58"/>
    </row>
    <row r="34" spans="1:35" s="71" customFormat="1" ht="13" x14ac:dyDescent="0.35">
      <c r="A34" s="13">
        <f>F8</f>
        <v>4</v>
      </c>
      <c r="B34" s="15">
        <v>47</v>
      </c>
      <c r="C34" s="76">
        <f t="shared" si="6"/>
        <v>91.679610000000011</v>
      </c>
      <c r="D34" s="76">
        <f t="shared" si="7"/>
        <v>37.358535150000002</v>
      </c>
      <c r="E34" s="76">
        <f t="shared" si="8"/>
        <v>14.555195000000001</v>
      </c>
      <c r="F34" s="76">
        <f t="shared" si="9"/>
        <v>58.278517619999995</v>
      </c>
      <c r="G34" s="76">
        <f t="shared" si="5"/>
        <v>0.45417040000000003</v>
      </c>
      <c r="H34" s="76">
        <f t="shared" si="5"/>
        <v>2.0171930000000002</v>
      </c>
      <c r="I34" s="76">
        <f t="shared" si="5"/>
        <v>0.5737525</v>
      </c>
      <c r="J34" s="76">
        <f t="shared" si="5"/>
        <v>4.1068600000000004E-3</v>
      </c>
      <c r="K34" s="76">
        <f t="shared" si="5"/>
        <v>2.4158000000000001E-3</v>
      </c>
      <c r="L34" s="76">
        <f t="shared" si="5"/>
        <v>0.30197499999999999</v>
      </c>
      <c r="M34" s="76">
        <f t="shared" si="5"/>
        <v>0.26453009999999999</v>
      </c>
      <c r="N34" s="76">
        <f t="shared" si="5"/>
        <v>148.57170000000002</v>
      </c>
      <c r="O34" s="76">
        <f t="shared" si="5"/>
        <v>3599.5419999999999</v>
      </c>
      <c r="P34" s="76">
        <f t="shared" si="5"/>
        <v>0</v>
      </c>
      <c r="Q34" s="76">
        <f t="shared" si="10"/>
        <v>67.642400000000009</v>
      </c>
      <c r="R34" s="76">
        <f t="shared" si="11"/>
        <v>0</v>
      </c>
      <c r="S34" s="76">
        <f t="shared" si="11"/>
        <v>0.24882739999999998</v>
      </c>
      <c r="T34" s="76">
        <f t="shared" si="11"/>
        <v>0</v>
      </c>
      <c r="U34" s="76">
        <f t="shared" si="11"/>
        <v>0</v>
      </c>
      <c r="AB34" s="58"/>
      <c r="AC34" s="58"/>
      <c r="AD34" s="58"/>
      <c r="AE34" s="58"/>
      <c r="AF34" s="58"/>
      <c r="AG34" s="58"/>
      <c r="AH34" s="58"/>
      <c r="AI34" s="58"/>
    </row>
    <row r="35" spans="1:35" s="71" customFormat="1" ht="13" x14ac:dyDescent="0.35">
      <c r="A35" s="13">
        <f>G8</f>
        <v>5</v>
      </c>
      <c r="B35" s="15">
        <v>47</v>
      </c>
      <c r="C35" s="76">
        <f t="shared" si="6"/>
        <v>91.679610000000011</v>
      </c>
      <c r="D35" s="76">
        <f t="shared" si="7"/>
        <v>37.358535150000002</v>
      </c>
      <c r="E35" s="76">
        <f t="shared" si="8"/>
        <v>14.555195000000001</v>
      </c>
      <c r="F35" s="76">
        <f t="shared" si="9"/>
        <v>58.278517619999995</v>
      </c>
      <c r="G35" s="76">
        <f t="shared" si="5"/>
        <v>0.45417040000000003</v>
      </c>
      <c r="H35" s="76">
        <f t="shared" si="5"/>
        <v>2.0171930000000002</v>
      </c>
      <c r="I35" s="76">
        <f t="shared" si="5"/>
        <v>0.5737525</v>
      </c>
      <c r="J35" s="76">
        <f t="shared" si="5"/>
        <v>4.1068600000000004E-3</v>
      </c>
      <c r="K35" s="76">
        <f t="shared" si="5"/>
        <v>2.4158000000000001E-3</v>
      </c>
      <c r="L35" s="76">
        <f t="shared" si="5"/>
        <v>0.30197499999999999</v>
      </c>
      <c r="M35" s="76">
        <f t="shared" si="5"/>
        <v>0.26453009999999999</v>
      </c>
      <c r="N35" s="76">
        <f t="shared" si="5"/>
        <v>148.57170000000002</v>
      </c>
      <c r="O35" s="76">
        <f t="shared" si="5"/>
        <v>3599.5419999999999</v>
      </c>
      <c r="P35" s="76">
        <f t="shared" si="5"/>
        <v>0</v>
      </c>
      <c r="Q35" s="76">
        <f t="shared" si="10"/>
        <v>67.642400000000009</v>
      </c>
      <c r="R35" s="76">
        <f t="shared" si="11"/>
        <v>0</v>
      </c>
      <c r="S35" s="76">
        <f t="shared" si="11"/>
        <v>0.24882739999999998</v>
      </c>
      <c r="T35" s="76">
        <f t="shared" si="11"/>
        <v>0</v>
      </c>
      <c r="U35" s="76">
        <f t="shared" si="11"/>
        <v>0</v>
      </c>
      <c r="AB35" s="58"/>
      <c r="AC35" s="58"/>
      <c r="AD35" s="58"/>
      <c r="AE35" s="58"/>
      <c r="AF35" s="58"/>
      <c r="AG35" s="58"/>
      <c r="AH35" s="58"/>
      <c r="AI35" s="58"/>
    </row>
    <row r="36" spans="1:35" s="71" customFormat="1" ht="13" x14ac:dyDescent="0.35">
      <c r="A36" s="13">
        <f>H8</f>
        <v>6</v>
      </c>
      <c r="B36" s="15">
        <v>47</v>
      </c>
      <c r="C36" s="76">
        <f t="shared" si="6"/>
        <v>91.679610000000011</v>
      </c>
      <c r="D36" s="76">
        <f t="shared" si="7"/>
        <v>37.358535150000002</v>
      </c>
      <c r="E36" s="76">
        <f t="shared" si="8"/>
        <v>14.555195000000001</v>
      </c>
      <c r="F36" s="76">
        <f t="shared" si="9"/>
        <v>58.278517619999995</v>
      </c>
      <c r="G36" s="76">
        <f t="shared" si="5"/>
        <v>0.45417040000000003</v>
      </c>
      <c r="H36" s="76">
        <f t="shared" si="5"/>
        <v>2.0171930000000002</v>
      </c>
      <c r="I36" s="76">
        <f t="shared" si="5"/>
        <v>0.5737525</v>
      </c>
      <c r="J36" s="76">
        <f t="shared" si="5"/>
        <v>4.1068600000000004E-3</v>
      </c>
      <c r="K36" s="76">
        <f t="shared" si="5"/>
        <v>2.4158000000000001E-3</v>
      </c>
      <c r="L36" s="76">
        <f t="shared" si="5"/>
        <v>0.30197499999999999</v>
      </c>
      <c r="M36" s="76">
        <f t="shared" si="5"/>
        <v>0.26453009999999999</v>
      </c>
      <c r="N36" s="76">
        <f t="shared" si="5"/>
        <v>148.57170000000002</v>
      </c>
      <c r="O36" s="76">
        <f t="shared" si="5"/>
        <v>3599.5419999999999</v>
      </c>
      <c r="P36" s="76">
        <f t="shared" si="5"/>
        <v>0</v>
      </c>
      <c r="Q36" s="76">
        <f t="shared" si="10"/>
        <v>67.642400000000009</v>
      </c>
      <c r="R36" s="76">
        <f t="shared" si="11"/>
        <v>0</v>
      </c>
      <c r="S36" s="76">
        <f t="shared" si="11"/>
        <v>0.24882739999999998</v>
      </c>
      <c r="T36" s="76">
        <f t="shared" si="11"/>
        <v>0</v>
      </c>
      <c r="U36" s="76">
        <f t="shared" si="11"/>
        <v>0</v>
      </c>
      <c r="AB36" s="58"/>
      <c r="AC36" s="58"/>
      <c r="AD36" s="58"/>
      <c r="AE36" s="58"/>
      <c r="AF36" s="58"/>
      <c r="AG36" s="58"/>
      <c r="AH36" s="58"/>
      <c r="AI36" s="58"/>
    </row>
    <row r="37" spans="1:35" s="71" customFormat="1" ht="13" x14ac:dyDescent="0.35">
      <c r="A37" s="13">
        <f>I8</f>
        <v>7</v>
      </c>
      <c r="B37" s="15">
        <v>47</v>
      </c>
      <c r="C37" s="76">
        <f t="shared" si="6"/>
        <v>91.679610000000011</v>
      </c>
      <c r="D37" s="76">
        <f t="shared" si="7"/>
        <v>37.358535150000002</v>
      </c>
      <c r="E37" s="76">
        <f t="shared" si="8"/>
        <v>14.555195000000001</v>
      </c>
      <c r="F37" s="76">
        <f t="shared" si="9"/>
        <v>58.278517619999995</v>
      </c>
      <c r="G37" s="76">
        <f t="shared" si="5"/>
        <v>0.45417040000000003</v>
      </c>
      <c r="H37" s="76">
        <f t="shared" si="5"/>
        <v>2.0171930000000002</v>
      </c>
      <c r="I37" s="76">
        <f t="shared" si="5"/>
        <v>0.5737525</v>
      </c>
      <c r="J37" s="76">
        <f t="shared" si="5"/>
        <v>4.1068600000000004E-3</v>
      </c>
      <c r="K37" s="76">
        <f t="shared" si="5"/>
        <v>2.4158000000000001E-3</v>
      </c>
      <c r="L37" s="76">
        <f t="shared" si="5"/>
        <v>0.30197499999999999</v>
      </c>
      <c r="M37" s="76">
        <f t="shared" si="5"/>
        <v>0.26453009999999999</v>
      </c>
      <c r="N37" s="76">
        <f t="shared" si="5"/>
        <v>148.57170000000002</v>
      </c>
      <c r="O37" s="76">
        <f t="shared" si="5"/>
        <v>3599.5419999999999</v>
      </c>
      <c r="P37" s="76">
        <f t="shared" si="5"/>
        <v>0</v>
      </c>
      <c r="Q37" s="76">
        <f t="shared" si="10"/>
        <v>67.642400000000009</v>
      </c>
      <c r="R37" s="76">
        <f t="shared" si="11"/>
        <v>0</v>
      </c>
      <c r="S37" s="76">
        <f t="shared" si="11"/>
        <v>0.24882739999999998</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127</v>
      </c>
      <c r="C38" s="76">
        <f t="shared" si="6"/>
        <v>247.73001000000002</v>
      </c>
      <c r="D38" s="76">
        <f t="shared" si="7"/>
        <v>100.94753115</v>
      </c>
      <c r="E38" s="76">
        <f t="shared" si="8"/>
        <v>39.329995000000004</v>
      </c>
      <c r="F38" s="76">
        <f t="shared" si="9"/>
        <v>157.47599441999998</v>
      </c>
      <c r="G38" s="76">
        <f t="shared" si="5"/>
        <v>1.2272263999999999</v>
      </c>
      <c r="H38" s="76">
        <f t="shared" si="5"/>
        <v>5.4507130000000004</v>
      </c>
      <c r="I38" s="76">
        <f t="shared" si="5"/>
        <v>1.5503525</v>
      </c>
      <c r="J38" s="76">
        <f t="shared" si="5"/>
        <v>1.1097260000000001E-2</v>
      </c>
      <c r="K38" s="76">
        <f t="shared" si="5"/>
        <v>6.5278000000000003E-3</v>
      </c>
      <c r="L38" s="76">
        <f t="shared" si="5"/>
        <v>0.81597500000000001</v>
      </c>
      <c r="M38" s="76">
        <f t="shared" si="5"/>
        <v>0.71479409999999999</v>
      </c>
      <c r="N38" s="76">
        <f t="shared" si="5"/>
        <v>401.45970000000005</v>
      </c>
      <c r="O38" s="76">
        <f t="shared" si="5"/>
        <v>9726.4220000000005</v>
      </c>
      <c r="P38" s="76">
        <f t="shared" si="5"/>
        <v>0</v>
      </c>
      <c r="Q38" s="76">
        <f t="shared" si="10"/>
        <v>182.7784</v>
      </c>
      <c r="R38" s="76">
        <f t="shared" si="11"/>
        <v>0</v>
      </c>
      <c r="S38" s="76">
        <f t="shared" si="11"/>
        <v>0.67236339999999994</v>
      </c>
      <c r="T38" s="76">
        <f t="shared" si="11"/>
        <v>0</v>
      </c>
      <c r="U38" s="76">
        <f t="shared" si="11"/>
        <v>0</v>
      </c>
      <c r="AB38" s="58"/>
      <c r="AC38" s="58"/>
      <c r="AD38" s="58"/>
      <c r="AE38" s="58"/>
      <c r="AF38" s="58"/>
      <c r="AG38" s="58"/>
      <c r="AH38" s="58"/>
      <c r="AI38" s="58"/>
    </row>
    <row r="39" spans="1:35" s="71" customFormat="1" ht="13" x14ac:dyDescent="0.35">
      <c r="A39" s="13">
        <f>K8</f>
        <v>20</v>
      </c>
      <c r="B39" s="15">
        <v>25</v>
      </c>
      <c r="C39" s="76">
        <f t="shared" si="6"/>
        <v>48.765750000000004</v>
      </c>
      <c r="D39" s="76">
        <f t="shared" si="7"/>
        <v>19.871561249999999</v>
      </c>
      <c r="E39" s="76">
        <f t="shared" si="8"/>
        <v>7.7421250000000006</v>
      </c>
      <c r="F39" s="76">
        <f t="shared" si="9"/>
        <v>30.999211500000001</v>
      </c>
      <c r="G39" s="76">
        <f t="shared" si="5"/>
        <v>0.24158000000000002</v>
      </c>
      <c r="H39" s="76">
        <f t="shared" si="5"/>
        <v>1.0729750000000002</v>
      </c>
      <c r="I39" s="76">
        <f t="shared" si="5"/>
        <v>0.3051875</v>
      </c>
      <c r="J39" s="76">
        <f t="shared" si="5"/>
        <v>2.1845000000000002E-3</v>
      </c>
      <c r="K39" s="76">
        <f t="shared" si="5"/>
        <v>1.2850000000000001E-3</v>
      </c>
      <c r="L39" s="76">
        <f t="shared" si="5"/>
        <v>0.16062500000000002</v>
      </c>
      <c r="M39" s="76">
        <f t="shared" si="5"/>
        <v>0.14070750000000001</v>
      </c>
      <c r="N39" s="76">
        <f t="shared" si="5"/>
        <v>79.027500000000003</v>
      </c>
      <c r="O39" s="76">
        <f t="shared" si="5"/>
        <v>1914.6499999999999</v>
      </c>
      <c r="P39" s="76">
        <f t="shared" si="5"/>
        <v>0</v>
      </c>
      <c r="Q39" s="76">
        <f t="shared" si="10"/>
        <v>35.980000000000004</v>
      </c>
      <c r="R39" s="76">
        <f t="shared" si="11"/>
        <v>0</v>
      </c>
      <c r="S39" s="76">
        <f t="shared" si="11"/>
        <v>0.132355</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"&amp;(VLOOKUP(C14,Table24581113[],6,FALSE))</f>
        <v>Medium/Clay I Grass</v>
      </c>
      <c r="C58" s="13" t="str">
        <f>D16&amp;" I "&amp;(VLOOKUP(D14,Table24581113[],6,FALSE))</f>
        <v>Medium/Clay I Grass</v>
      </c>
      <c r="D58" s="13" t="str">
        <f>E16&amp;" I "&amp;(VLOOKUP(E14,Table24581113[],6,FALSE))</f>
        <v>Medium/Clay I Grass</v>
      </c>
      <c r="E58" s="13" t="str">
        <f>F16&amp;" I "&amp;(VLOOKUP(F14,Table24581113[],6,FALSE))</f>
        <v>Medium/Clay I Grass</v>
      </c>
      <c r="F58" s="13" t="str">
        <f>G16&amp;" I "&amp;(VLOOKUP(G14,Table24581113[],6,FALSE))</f>
        <v>Medium/Clay I Grass</v>
      </c>
      <c r="G58" s="13" t="str">
        <f>H16&amp;" I "&amp;(VLOOKUP(H14,Table24581113[],6,FALSE))</f>
        <v>Medium/Clay I Grass</v>
      </c>
      <c r="H58" s="13" t="str">
        <f>I16&amp;" I "&amp;(VLOOKUP(I14,Table24581113[],6,FALSE))</f>
        <v>Medium/Clay I Grass</v>
      </c>
      <c r="I58" s="13" t="str">
        <f>J16&amp;" I "&amp;(VLOOKUP(J14,Table24581113[],6,FALSE))</f>
        <v>Medium/Clay I Grass</v>
      </c>
      <c r="J58" s="13" t="str">
        <f>K16&amp;" I "&amp;(VLOOKUP(K14,Table24581113[],6,FALSE))</f>
        <v>Medium/Clay I Grass</v>
      </c>
      <c r="K58" s="13" t="e">
        <f>L16&amp;" I "&amp;(VLOOKUP(L14,Table24581113[],6,FALSE))</f>
        <v>#N/A</v>
      </c>
      <c r="L58" s="13" t="e">
        <f>M16&amp;" I "&amp;(VLOOKUP(M14,Table24581113[],6,FALSE))</f>
        <v>#N/A</v>
      </c>
      <c r="M58" s="13" t="e">
        <f>N16&amp;" I "&amp;(VLOOKUP(N14,Table24581113[],6,FALSE))</f>
        <v>#N/A</v>
      </c>
      <c r="N58" s="13" t="e">
        <f>O16&amp;" I "&amp;(VLOOKUP(O14,Table24581113[],6,FALSE))</f>
        <v>#N/A</v>
      </c>
      <c r="O58" s="13" t="e">
        <f>P16&amp;" I "&amp;(VLOOKUP(P14,Table24581113[],6,FALSE))</f>
        <v>#N/A</v>
      </c>
      <c r="P58" s="13" t="e">
        <f>Q16&amp;" I "&amp;(VLOOKUP(Q14,Table24581113[],6,FALSE))</f>
        <v>#N/A</v>
      </c>
      <c r="Q58" s="13" t="e">
        <f>R16&amp;" I "&amp;(VLOOKUP(R14,Table24581113[],6,FALSE))</f>
        <v>#N/A</v>
      </c>
      <c r="R58" s="13" t="e">
        <f>S16&amp;" I "&amp;(VLOOKUP(S14,Table24581113[],6,FALSE))</f>
        <v>#N/A</v>
      </c>
      <c r="S58" s="13" t="e">
        <f>T16&amp;" I "&amp;(VLOOKUP(T14,Table24581113[],6,FALSE))</f>
        <v>#N/A</v>
      </c>
      <c r="T58" s="13" t="e">
        <f>U16&amp;" I "&amp;(VLOOKUP(U14,Table24581113[],6,FALSE))</f>
        <v>#N/A</v>
      </c>
      <c r="U58" s="13" t="e">
        <f>V16&amp;" I "&amp;(VLOOKUP(V14,Table24581113[],6,FALSE))</f>
        <v>#N/A</v>
      </c>
    </row>
    <row r="59" spans="1:35" s="19" customFormat="1" ht="13" x14ac:dyDescent="0.3">
      <c r="A59" s="110" t="s">
        <v>132</v>
      </c>
      <c r="B59" s="75">
        <f>VLOOKUP(C$14,Table24581113[],5,FALSE)</f>
        <v>6.2</v>
      </c>
      <c r="C59" s="75">
        <f>VLOOKUP(D$14,Table24581113[],5,FALSE)</f>
        <v>6.2</v>
      </c>
      <c r="D59" s="75">
        <f>VLOOKUP(E$14,Table24581113[],5,FALSE)</f>
        <v>6.2</v>
      </c>
      <c r="E59" s="75">
        <f>VLOOKUP(F$14,Table24581113[],5,FALSE)</f>
        <v>6.2</v>
      </c>
      <c r="F59" s="75">
        <f>VLOOKUP(G$14,Table24581113[],5,FALSE)</f>
        <v>6.2</v>
      </c>
      <c r="G59" s="75">
        <f>VLOOKUP(H$14,Table24581113[],5,FALSE)</f>
        <v>6.2</v>
      </c>
      <c r="H59" s="75">
        <f>VLOOKUP(I$14,Table24581113[],5,FALSE)</f>
        <v>6.2</v>
      </c>
      <c r="I59" s="75">
        <f>VLOOKUP(J$14,Table24581113[],5,FALSE)</f>
        <v>6.2</v>
      </c>
      <c r="J59" s="75">
        <f>VLOOKUP(K$14,Table24581113[],5,FALSE)</f>
        <v>6.2</v>
      </c>
      <c r="K59" s="75" t="e">
        <f>VLOOKUP(L$14,Table24581113[],5,FALSE)</f>
        <v>#N/A</v>
      </c>
      <c r="L59" s="75" t="e">
        <f>VLOOKUP(M$14,Table24581113[],5,FALSE)</f>
        <v>#N/A</v>
      </c>
      <c r="M59" s="75" t="e">
        <f>VLOOKUP(N$14,Table24581113[],5,FALSE)</f>
        <v>#N/A</v>
      </c>
      <c r="N59" s="75" t="e">
        <f>VLOOKUP(O$14,Table24581113[],5,FALSE)</f>
        <v>#N/A</v>
      </c>
      <c r="O59" s="75" t="e">
        <f>VLOOKUP(P$14,Table24581113[],5,FALSE)</f>
        <v>#N/A</v>
      </c>
      <c r="P59" s="75" t="e">
        <f>VLOOKUP(Q$14,Table24581113[],5,FALSE)</f>
        <v>#N/A</v>
      </c>
      <c r="Q59" s="75" t="e">
        <f>VLOOKUP(R$14,Table24581113[],5,FALSE)</f>
        <v>#N/A</v>
      </c>
      <c r="R59" s="75" t="e">
        <f>VLOOKUP(S$14,Table24581113[],5,FALSE)</f>
        <v>#N/A</v>
      </c>
      <c r="S59" s="75" t="e">
        <f>VLOOKUP(T$14,Table24581113[],5,FALSE)</f>
        <v>#N/A</v>
      </c>
      <c r="T59" s="75" t="e">
        <f>VLOOKUP(U$14,Table24581113[],5,FALSE)</f>
        <v>#N/A</v>
      </c>
      <c r="U59" s="75" t="e">
        <f>VLOOKUP(V$14,Table24581113[],5,FALSE)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47</v>
      </c>
      <c r="C62" s="76">
        <f>B32</f>
        <v>47</v>
      </c>
      <c r="D62" s="76">
        <f>B33</f>
        <v>47</v>
      </c>
      <c r="E62" s="76">
        <f>B34</f>
        <v>47</v>
      </c>
      <c r="F62" s="76">
        <f>B35</f>
        <v>47</v>
      </c>
      <c r="G62" s="76">
        <f>B36</f>
        <v>47</v>
      </c>
      <c r="H62" s="76">
        <f>B37</f>
        <v>47</v>
      </c>
      <c r="I62" s="76">
        <f>B38</f>
        <v>127</v>
      </c>
      <c r="J62" s="76">
        <f>B39</f>
        <v>25</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62:U66 B31:B50">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A10" zoomScale="90" zoomScaleNormal="9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8" t="s">
        <v>41</v>
      </c>
      <c r="B1" s="128"/>
      <c r="C1" s="142" t="str">
        <f>Bryngwyn!C1:D1</f>
        <v>PAN-018476</v>
      </c>
      <c r="D1" s="143"/>
      <c r="E1" s="92" t="s">
        <v>45</v>
      </c>
      <c r="F1" s="38">
        <f>Bryngwyn!F1</f>
        <v>32.07</v>
      </c>
      <c r="G1" s="124" t="s">
        <v>43</v>
      </c>
      <c r="H1" s="125"/>
      <c r="I1" s="117">
        <v>6.6</v>
      </c>
      <c r="J1" s="128" t="s">
        <v>153</v>
      </c>
      <c r="K1" s="128"/>
      <c r="L1" s="96">
        <v>244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0.86</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2.8372093023255816</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10.6105374</v>
      </c>
      <c r="D18" s="16">
        <f>$D32</f>
        <v>10.6105374</v>
      </c>
      <c r="E18" s="16">
        <f>$D33</f>
        <v>10.6105374</v>
      </c>
      <c r="F18" s="16">
        <f>$D34</f>
        <v>10.6105374</v>
      </c>
      <c r="G18" s="16">
        <f>$D35</f>
        <v>10.6105374</v>
      </c>
      <c r="H18" s="16">
        <f>$D36</f>
        <v>10.6105374</v>
      </c>
      <c r="I18" s="16">
        <f>$D37</f>
        <v>10.6105374</v>
      </c>
      <c r="J18" s="16">
        <f>$D38</f>
        <v>10.6105374</v>
      </c>
      <c r="K18" s="16">
        <f>$D39</f>
        <v>6.3663224399999994</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-53.989462599999996</v>
      </c>
      <c r="D19" s="16">
        <f t="shared" ref="D19:V19" si="1">D18-D17</f>
        <v>-53.989462599999996</v>
      </c>
      <c r="E19" s="16">
        <f t="shared" si="1"/>
        <v>-53.989462599999996</v>
      </c>
      <c r="F19" s="16">
        <f t="shared" si="1"/>
        <v>-53.989462599999996</v>
      </c>
      <c r="G19" s="16">
        <f t="shared" si="1"/>
        <v>-53.989462599999996</v>
      </c>
      <c r="H19" s="16">
        <f t="shared" si="1"/>
        <v>-53.989462599999996</v>
      </c>
      <c r="I19" s="16">
        <f t="shared" si="1"/>
        <v>-53.989462599999996</v>
      </c>
      <c r="J19" s="16">
        <f t="shared" si="1"/>
        <v>-53.989462599999996</v>
      </c>
      <c r="K19" s="16">
        <f t="shared" si="1"/>
        <v>-58.233677559999997</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2.3103465000000001</v>
      </c>
      <c r="D22" s="16">
        <f>$E32</f>
        <v>2.3103465000000001</v>
      </c>
      <c r="E22" s="16">
        <f>$E33</f>
        <v>2.3103465000000001</v>
      </c>
      <c r="F22" s="16">
        <f>$E34</f>
        <v>2.3103465000000001</v>
      </c>
      <c r="G22" s="16">
        <f>$E35</f>
        <v>2.3103465000000001</v>
      </c>
      <c r="H22" s="16">
        <f>$E36</f>
        <v>2.3103465000000001</v>
      </c>
      <c r="I22" s="16">
        <f>$E37</f>
        <v>2.3103465000000001</v>
      </c>
      <c r="J22" s="16">
        <f>$E38</f>
        <v>2.3103465000000001</v>
      </c>
      <c r="K22" s="16">
        <f>$E39</f>
        <v>1.3862079</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-225.68965349999999</v>
      </c>
      <c r="D23" s="16">
        <f t="shared" ref="D23:V23" si="3">D22-D21</f>
        <v>-225.68965349999999</v>
      </c>
      <c r="E23" s="16">
        <f t="shared" si="3"/>
        <v>-225.68965349999999</v>
      </c>
      <c r="F23" s="16">
        <f t="shared" si="3"/>
        <v>-225.68965349999999</v>
      </c>
      <c r="G23" s="16">
        <f t="shared" si="3"/>
        <v>-225.68965349999999</v>
      </c>
      <c r="H23" s="16">
        <f t="shared" si="3"/>
        <v>-225.68965349999999</v>
      </c>
      <c r="I23" s="16">
        <f t="shared" si="3"/>
        <v>-225.68965349999999</v>
      </c>
      <c r="J23" s="16">
        <f t="shared" si="3"/>
        <v>-225.68965349999999</v>
      </c>
      <c r="K23" s="16">
        <f t="shared" si="3"/>
        <v>-226.61379210000001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2.4900000000000002</v>
      </c>
      <c r="C28" s="15">
        <v>0.86</v>
      </c>
      <c r="D28" s="15">
        <v>7.4399999999999994E-2</v>
      </c>
      <c r="E28" s="15">
        <v>3.0800000000000001E-2</v>
      </c>
      <c r="F28" s="15">
        <v>622</v>
      </c>
      <c r="G28" s="15">
        <v>40.700000000000003</v>
      </c>
      <c r="H28" s="15">
        <v>222</v>
      </c>
      <c r="I28" s="15">
        <v>24.5</v>
      </c>
      <c r="J28" s="15">
        <v>0.87</v>
      </c>
      <c r="K28" s="15">
        <v>0.8</v>
      </c>
      <c r="L28" s="15">
        <v>14.6</v>
      </c>
      <c r="M28" s="15">
        <v>15.1</v>
      </c>
      <c r="N28" s="15">
        <v>2200</v>
      </c>
      <c r="O28" s="15">
        <v>379000</v>
      </c>
      <c r="P28" s="15"/>
      <c r="Q28" s="15">
        <v>5870</v>
      </c>
      <c r="R28" s="15"/>
      <c r="S28" s="15">
        <v>40.6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53.534999999999997</v>
      </c>
      <c r="D31" s="76">
        <f>(IF(D$27="%w/w SAR",((D$28*10)*$B31),IF(D$27="%w/w DM",(((D$28*10)*($B$28/100))*$B31),IF(D$27="kg/t SAR",(D$28*$B31),IF(D$27="kg/t DM",((D$28*($B$28/100))*$B31),IF(D$27="mg/kg SAR",((D$28*0.001)*$B31),IF(D$27="mg/kg DM",(((D$28*0.001)*($B$28/100))*$B31),"0")))))))*2.291</f>
        <v>10.6105374</v>
      </c>
      <c r="E31" s="76">
        <f>(IF(E$27="%w/w SAR",((E$28*10)*$B31),IF(E$27="%w/w DM",(((E$28*10)*($B$28/100))*$B31),IF(E$27="kg/t SAR",(E$28*$B31),IF(E$27="kg/t DM",((E$28*($B$28/100))*$B31),IF(E$27="mg/kg SAR",((E$28*0.001)*$B31),IF(E$27="mg/kg DM",(((E$28*0.001)*($B$28/100))*$B31),"0")))))))*1.205</f>
        <v>2.3103465000000001</v>
      </c>
      <c r="F31" s="76">
        <f>(IF(F$27="%w/w SAR",((F$28*10)*$B31),IF(F$27="%w/w DM",(((F$28*10)*($B$28/100))*$B31),IF(F$27="kg/t SAR",(F$28*$B31),IF(F$27="kg/t DM",((F$28*($B$28/100))*$B31),IF(F$27="mg/kg SAR",((F$28*0.001)*$B31),IF(F$27="mg/kg DM",(((F$28*0.001)*($B$28/100))*$B31),"0")))))))*1.658</f>
        <v>6.4196931000000008</v>
      </c>
      <c r="G31" s="76">
        <f t="shared" ref="G31:P46" si="5">IF(G$27="%w/w SAR",((G$28*10)*$B31),IF(G$27="%w/w DM",(((G$28*10)*($B$28/100))*$B31),IF(G$27="kg/t SAR",(G$28*$B31),IF(G$27="kg/t DM",((G$28*($B$28/100))*$B31),IF(G$27="mg/kg SAR",((G$28*0.001)*$B31),IF(G$27="mg/kg DM",(((G$28*0.001)*($B$28/100))*$B31),0))))))</f>
        <v>0.25335750000000007</v>
      </c>
      <c r="H31" s="76">
        <f t="shared" si="5"/>
        <v>1.38195</v>
      </c>
      <c r="I31" s="76">
        <f t="shared" si="5"/>
        <v>0.15251250000000002</v>
      </c>
      <c r="J31" s="76">
        <f t="shared" si="5"/>
        <v>5.4157500000000004E-3</v>
      </c>
      <c r="K31" s="76">
        <f t="shared" si="5"/>
        <v>4.9800000000000009E-3</v>
      </c>
      <c r="L31" s="76">
        <f t="shared" si="5"/>
        <v>9.0885000000000007E-2</v>
      </c>
      <c r="M31" s="76">
        <f t="shared" si="5"/>
        <v>9.3997500000000012E-2</v>
      </c>
      <c r="N31" s="76">
        <f t="shared" si="5"/>
        <v>13.695000000000002</v>
      </c>
      <c r="O31" s="76">
        <f t="shared" si="5"/>
        <v>2359.2750000000001</v>
      </c>
      <c r="P31" s="76">
        <f t="shared" si="5"/>
        <v>0</v>
      </c>
      <c r="Q31" s="76">
        <f>(IF(Q$27="%w/w SAR",((Q$28*10)*$B31),IF(Q$27="%w/w DM",(((Q$28*10)*($B$28/100))*$B31),IF(Q$27="kg/t SAR",(Q$28*$B31),IF(Q$27="kg/t DM",((Q$28*($B$28/100))*$B31),IF(Q$27="mg/kg SAR",((Q$28*0.001)*$B31),IF(Q$27="mg/kg DM",(((Q$28*0.001)*($B$28/100))*$B31),0)))))))*2.5</f>
        <v>91.351875000000007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0.25273500000000004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250</v>
      </c>
      <c r="C32" s="76">
        <f t="shared" ref="C32:C50" si="6">IF(C$27="%w/w SAR",((C$28*10)*$B32),IF(C$27="%w/w DM",(((C$28*10)*($B$28/100))*$B32),IF(C$27="kg/t SAR",(C$28*$B32),IF(C$27="kg/t DM",((C$28*($B$28/100))*$B32),IF(C$27="mg/kg SAR",((C$28*0.001)*$B32),IF(C$27="mg/kg DM",(((C$28*0.001)*($B$28/100))*$B32),0))))))</f>
        <v>53.534999999999997</v>
      </c>
      <c r="D32" s="76">
        <f t="shared" ref="D32:D50" si="7">(IF(D$27="%w/w SAR",((D$28*10)*$B32),IF(D$27="%w/w DM",(((D$28*10)*($B$28/100))*$B32),IF(D$27="kg/t SAR",(D$28*$B32),IF(D$27="kg/t DM",((D$28*($B$28/100))*$B32),IF(D$27="mg/kg SAR",((D$28*0.001)*$B32),IF(D$27="mg/kg DM",(((D$28*0.001)*($B$28/100))*$B32),"0")))))))*2.291</f>
        <v>10.6105374</v>
      </c>
      <c r="E32" s="76">
        <f t="shared" ref="E32:E50" si="8">(IF(E$27="%w/w SAR",((E$28*10)*$B32),IF(E$27="%w/w DM",(((E$28*10)*($B$28/100))*$B32),IF(E$27="kg/t SAR",(E$28*$B32),IF(E$27="kg/t DM",((E$28*($B$28/100))*$B32),IF(E$27="mg/kg SAR",((E$28*0.001)*$B32),IF(E$27="mg/kg DM",(((E$28*0.001)*($B$28/100))*$B32),"0")))))))*1.205</f>
        <v>2.3103465000000001</v>
      </c>
      <c r="F32" s="76">
        <f t="shared" ref="F32:F50" si="9">(IF(F$27="%w/w SAR",((F$28*10)*$B32),IF(F$27="%w/w DM",(((F$28*10)*($B$28/100))*$B32),IF(F$27="kg/t SAR",(F$28*$B32),IF(F$27="kg/t DM",((F$28*($B$28/100))*$B32),IF(F$27="mg/kg SAR",((F$28*0.001)*$B32),IF(F$27="mg/kg DM",(((F$28*0.001)*($B$28/100))*$B32),"0")))))))*1.658</f>
        <v>6.4196931000000008</v>
      </c>
      <c r="G32" s="76">
        <f t="shared" si="5"/>
        <v>0.25335750000000007</v>
      </c>
      <c r="H32" s="76">
        <f t="shared" si="5"/>
        <v>1.38195</v>
      </c>
      <c r="I32" s="76">
        <f t="shared" si="5"/>
        <v>0.15251250000000002</v>
      </c>
      <c r="J32" s="76">
        <f t="shared" si="5"/>
        <v>5.4157500000000004E-3</v>
      </c>
      <c r="K32" s="76">
        <f t="shared" si="5"/>
        <v>4.9800000000000009E-3</v>
      </c>
      <c r="L32" s="76">
        <f t="shared" si="5"/>
        <v>9.0885000000000007E-2</v>
      </c>
      <c r="M32" s="76">
        <f t="shared" si="5"/>
        <v>9.3997500000000012E-2</v>
      </c>
      <c r="N32" s="76">
        <f t="shared" si="5"/>
        <v>13.695000000000002</v>
      </c>
      <c r="O32" s="76">
        <f t="shared" si="5"/>
        <v>2359.2750000000001</v>
      </c>
      <c r="P32" s="76">
        <f t="shared" si="5"/>
        <v>0</v>
      </c>
      <c r="Q32" s="76">
        <f t="shared" ref="Q32:Q50" si="10">(IF(Q$27="%w/w SAR",((Q$28*10)*$B32),IF(Q$27="%w/w DM",(((Q$28*10)*($B$28/100))*$B32),IF(Q$27="kg/t SAR",(Q$28*$B32),IF(Q$27="kg/t DM",((Q$28*($B$28/100))*$B32),IF(Q$27="mg/kg SAR",((Q$28*0.001)*$B32),IF(Q$27="mg/kg DM",(((Q$28*0.001)*($B$28/100))*$B32),0)))))))*2.5</f>
        <v>91.351875000000007</v>
      </c>
      <c r="R32" s="76">
        <f t="shared" ref="R32:U50" si="11">IF(R$27="%w/w SAR",((R$28*10)*$B32),IF(R$27="%w/w DM",(((R$28*10)*($B$28/100))*$B32),IF(R$27="kg/t SAR",(R$28*$B32),IF(R$27="kg/t DM",((R$28*($B$28/100))*$B32),IF(R$27="mg/kg SAR",((R$28*0.001)*$B32),IF(R$27="mg/kg DM",(((R$28*0.001)*($B$28/100))*$B32),0))))))</f>
        <v>0</v>
      </c>
      <c r="S32" s="76">
        <f t="shared" si="11"/>
        <v>0.25273500000000004</v>
      </c>
      <c r="T32" s="76">
        <f t="shared" si="11"/>
        <v>0</v>
      </c>
      <c r="U32" s="76">
        <f t="shared" si="11"/>
        <v>0</v>
      </c>
      <c r="AB32" s="58"/>
      <c r="AC32" s="58"/>
      <c r="AD32" s="58"/>
      <c r="AE32" s="58"/>
      <c r="AF32" s="58"/>
      <c r="AG32" s="58"/>
      <c r="AH32" s="58"/>
      <c r="AI32" s="58"/>
    </row>
    <row r="33" spans="1:35" s="71" customFormat="1" ht="13" x14ac:dyDescent="0.35">
      <c r="A33" s="13">
        <f>E8</f>
        <v>3</v>
      </c>
      <c r="B33" s="15">
        <v>250</v>
      </c>
      <c r="C33" s="76">
        <f t="shared" si="6"/>
        <v>53.534999999999997</v>
      </c>
      <c r="D33" s="76">
        <f t="shared" si="7"/>
        <v>10.6105374</v>
      </c>
      <c r="E33" s="76">
        <f t="shared" si="8"/>
        <v>2.3103465000000001</v>
      </c>
      <c r="F33" s="76">
        <f t="shared" si="9"/>
        <v>6.4196931000000008</v>
      </c>
      <c r="G33" s="76">
        <f t="shared" si="5"/>
        <v>0.25335750000000007</v>
      </c>
      <c r="H33" s="76">
        <f t="shared" si="5"/>
        <v>1.38195</v>
      </c>
      <c r="I33" s="76">
        <f t="shared" si="5"/>
        <v>0.15251250000000002</v>
      </c>
      <c r="J33" s="76">
        <f t="shared" si="5"/>
        <v>5.4157500000000004E-3</v>
      </c>
      <c r="K33" s="76">
        <f t="shared" si="5"/>
        <v>4.9800000000000009E-3</v>
      </c>
      <c r="L33" s="76">
        <f t="shared" si="5"/>
        <v>9.0885000000000007E-2</v>
      </c>
      <c r="M33" s="76">
        <f t="shared" si="5"/>
        <v>9.3997500000000012E-2</v>
      </c>
      <c r="N33" s="76">
        <f t="shared" si="5"/>
        <v>13.695000000000002</v>
      </c>
      <c r="O33" s="76">
        <f t="shared" si="5"/>
        <v>2359.2750000000001</v>
      </c>
      <c r="P33" s="76">
        <f t="shared" si="5"/>
        <v>0</v>
      </c>
      <c r="Q33" s="76">
        <f t="shared" si="10"/>
        <v>91.351875000000007</v>
      </c>
      <c r="R33" s="76">
        <f t="shared" si="11"/>
        <v>0</v>
      </c>
      <c r="S33" s="76">
        <f t="shared" si="11"/>
        <v>0.25273500000000004</v>
      </c>
      <c r="T33" s="76">
        <f t="shared" si="11"/>
        <v>0</v>
      </c>
      <c r="U33" s="76">
        <f t="shared" si="11"/>
        <v>0</v>
      </c>
      <c r="AB33" s="58"/>
      <c r="AC33" s="58"/>
      <c r="AD33" s="58"/>
      <c r="AE33" s="58"/>
      <c r="AF33" s="58"/>
      <c r="AG33" s="58"/>
      <c r="AH33" s="58"/>
      <c r="AI33" s="58"/>
    </row>
    <row r="34" spans="1:35" s="71" customFormat="1" ht="13" x14ac:dyDescent="0.35">
      <c r="A34" s="13">
        <f>F8</f>
        <v>4</v>
      </c>
      <c r="B34" s="15">
        <v>250</v>
      </c>
      <c r="C34" s="76">
        <f t="shared" si="6"/>
        <v>53.534999999999997</v>
      </c>
      <c r="D34" s="76">
        <f t="shared" si="7"/>
        <v>10.6105374</v>
      </c>
      <c r="E34" s="76">
        <f t="shared" si="8"/>
        <v>2.3103465000000001</v>
      </c>
      <c r="F34" s="76">
        <f t="shared" si="9"/>
        <v>6.4196931000000008</v>
      </c>
      <c r="G34" s="76">
        <f t="shared" si="5"/>
        <v>0.25335750000000007</v>
      </c>
      <c r="H34" s="76">
        <f t="shared" si="5"/>
        <v>1.38195</v>
      </c>
      <c r="I34" s="76">
        <f t="shared" si="5"/>
        <v>0.15251250000000002</v>
      </c>
      <c r="J34" s="76">
        <f t="shared" si="5"/>
        <v>5.4157500000000004E-3</v>
      </c>
      <c r="K34" s="76">
        <f t="shared" si="5"/>
        <v>4.9800000000000009E-3</v>
      </c>
      <c r="L34" s="76">
        <f t="shared" si="5"/>
        <v>9.0885000000000007E-2</v>
      </c>
      <c r="M34" s="76">
        <f t="shared" si="5"/>
        <v>9.3997500000000012E-2</v>
      </c>
      <c r="N34" s="76">
        <f t="shared" si="5"/>
        <v>13.695000000000002</v>
      </c>
      <c r="O34" s="76">
        <f t="shared" si="5"/>
        <v>2359.2750000000001</v>
      </c>
      <c r="P34" s="76">
        <f t="shared" si="5"/>
        <v>0</v>
      </c>
      <c r="Q34" s="76">
        <f t="shared" si="10"/>
        <v>91.351875000000007</v>
      </c>
      <c r="R34" s="76">
        <f t="shared" si="11"/>
        <v>0</v>
      </c>
      <c r="S34" s="76">
        <f t="shared" si="11"/>
        <v>0.25273500000000004</v>
      </c>
      <c r="T34" s="76">
        <f t="shared" si="11"/>
        <v>0</v>
      </c>
      <c r="U34" s="76">
        <f t="shared" si="11"/>
        <v>0</v>
      </c>
      <c r="AB34" s="58"/>
      <c r="AC34" s="58"/>
      <c r="AD34" s="58"/>
      <c r="AE34" s="58"/>
      <c r="AF34" s="58"/>
      <c r="AG34" s="58"/>
      <c r="AH34" s="58"/>
      <c r="AI34" s="58"/>
    </row>
    <row r="35" spans="1:35" s="71" customFormat="1" ht="13" x14ac:dyDescent="0.35">
      <c r="A35" s="13">
        <f>G8</f>
        <v>5</v>
      </c>
      <c r="B35" s="15">
        <v>250</v>
      </c>
      <c r="C35" s="76">
        <f t="shared" si="6"/>
        <v>53.534999999999997</v>
      </c>
      <c r="D35" s="76">
        <f t="shared" si="7"/>
        <v>10.6105374</v>
      </c>
      <c r="E35" s="76">
        <f t="shared" si="8"/>
        <v>2.3103465000000001</v>
      </c>
      <c r="F35" s="76">
        <f t="shared" si="9"/>
        <v>6.4196931000000008</v>
      </c>
      <c r="G35" s="76">
        <f t="shared" si="5"/>
        <v>0.25335750000000007</v>
      </c>
      <c r="H35" s="76">
        <f t="shared" si="5"/>
        <v>1.38195</v>
      </c>
      <c r="I35" s="76">
        <f t="shared" si="5"/>
        <v>0.15251250000000002</v>
      </c>
      <c r="J35" s="76">
        <f t="shared" si="5"/>
        <v>5.4157500000000004E-3</v>
      </c>
      <c r="K35" s="76">
        <f t="shared" si="5"/>
        <v>4.9800000000000009E-3</v>
      </c>
      <c r="L35" s="76">
        <f t="shared" si="5"/>
        <v>9.0885000000000007E-2</v>
      </c>
      <c r="M35" s="76">
        <f t="shared" si="5"/>
        <v>9.3997500000000012E-2</v>
      </c>
      <c r="N35" s="76">
        <f t="shared" si="5"/>
        <v>13.695000000000002</v>
      </c>
      <c r="O35" s="76">
        <f t="shared" si="5"/>
        <v>2359.2750000000001</v>
      </c>
      <c r="P35" s="76">
        <f t="shared" si="5"/>
        <v>0</v>
      </c>
      <c r="Q35" s="76">
        <f t="shared" si="10"/>
        <v>91.351875000000007</v>
      </c>
      <c r="R35" s="76">
        <f t="shared" si="11"/>
        <v>0</v>
      </c>
      <c r="S35" s="76">
        <f t="shared" si="11"/>
        <v>0.25273500000000004</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53.534999999999997</v>
      </c>
      <c r="D36" s="76">
        <f t="shared" si="7"/>
        <v>10.6105374</v>
      </c>
      <c r="E36" s="76">
        <f t="shared" si="8"/>
        <v>2.3103465000000001</v>
      </c>
      <c r="F36" s="76">
        <f t="shared" si="9"/>
        <v>6.4196931000000008</v>
      </c>
      <c r="G36" s="76">
        <f t="shared" si="5"/>
        <v>0.25335750000000007</v>
      </c>
      <c r="H36" s="76">
        <f t="shared" si="5"/>
        <v>1.38195</v>
      </c>
      <c r="I36" s="76">
        <f t="shared" si="5"/>
        <v>0.15251250000000002</v>
      </c>
      <c r="J36" s="76">
        <f t="shared" si="5"/>
        <v>5.4157500000000004E-3</v>
      </c>
      <c r="K36" s="76">
        <f t="shared" si="5"/>
        <v>4.9800000000000009E-3</v>
      </c>
      <c r="L36" s="76">
        <f t="shared" si="5"/>
        <v>9.0885000000000007E-2</v>
      </c>
      <c r="M36" s="76">
        <f t="shared" si="5"/>
        <v>9.3997500000000012E-2</v>
      </c>
      <c r="N36" s="76">
        <f t="shared" si="5"/>
        <v>13.695000000000002</v>
      </c>
      <c r="O36" s="76">
        <f t="shared" si="5"/>
        <v>2359.2750000000001</v>
      </c>
      <c r="P36" s="76">
        <f t="shared" si="5"/>
        <v>0</v>
      </c>
      <c r="Q36" s="76">
        <f t="shared" si="10"/>
        <v>91.351875000000007</v>
      </c>
      <c r="R36" s="76">
        <f t="shared" si="11"/>
        <v>0</v>
      </c>
      <c r="S36" s="76">
        <f t="shared" si="11"/>
        <v>0.25273500000000004</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53.534999999999997</v>
      </c>
      <c r="D37" s="76">
        <f t="shared" si="7"/>
        <v>10.6105374</v>
      </c>
      <c r="E37" s="76">
        <f t="shared" si="8"/>
        <v>2.3103465000000001</v>
      </c>
      <c r="F37" s="76">
        <f t="shared" si="9"/>
        <v>6.4196931000000008</v>
      </c>
      <c r="G37" s="76">
        <f t="shared" si="5"/>
        <v>0.25335750000000007</v>
      </c>
      <c r="H37" s="76">
        <f t="shared" si="5"/>
        <v>1.38195</v>
      </c>
      <c r="I37" s="76">
        <f t="shared" si="5"/>
        <v>0.15251250000000002</v>
      </c>
      <c r="J37" s="76">
        <f t="shared" si="5"/>
        <v>5.4157500000000004E-3</v>
      </c>
      <c r="K37" s="76">
        <f t="shared" si="5"/>
        <v>4.9800000000000009E-3</v>
      </c>
      <c r="L37" s="76">
        <f t="shared" si="5"/>
        <v>9.0885000000000007E-2</v>
      </c>
      <c r="M37" s="76">
        <f t="shared" si="5"/>
        <v>9.3997500000000012E-2</v>
      </c>
      <c r="N37" s="76">
        <f t="shared" si="5"/>
        <v>13.695000000000002</v>
      </c>
      <c r="O37" s="76">
        <f t="shared" si="5"/>
        <v>2359.2750000000001</v>
      </c>
      <c r="P37" s="76">
        <f t="shared" si="5"/>
        <v>0</v>
      </c>
      <c r="Q37" s="76">
        <f t="shared" si="10"/>
        <v>91.351875000000007</v>
      </c>
      <c r="R37" s="76">
        <f t="shared" si="11"/>
        <v>0</v>
      </c>
      <c r="S37" s="76">
        <f t="shared" si="11"/>
        <v>0.25273500000000004</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250</v>
      </c>
      <c r="C38" s="76">
        <f t="shared" si="6"/>
        <v>53.534999999999997</v>
      </c>
      <c r="D38" s="76">
        <f t="shared" si="7"/>
        <v>10.6105374</v>
      </c>
      <c r="E38" s="76">
        <f t="shared" si="8"/>
        <v>2.3103465000000001</v>
      </c>
      <c r="F38" s="76">
        <f t="shared" si="9"/>
        <v>6.4196931000000008</v>
      </c>
      <c r="G38" s="76">
        <f t="shared" si="5"/>
        <v>0.25335750000000007</v>
      </c>
      <c r="H38" s="76">
        <f t="shared" si="5"/>
        <v>1.38195</v>
      </c>
      <c r="I38" s="76">
        <f t="shared" si="5"/>
        <v>0.15251250000000002</v>
      </c>
      <c r="J38" s="76">
        <f t="shared" si="5"/>
        <v>5.4157500000000004E-3</v>
      </c>
      <c r="K38" s="76">
        <f t="shared" si="5"/>
        <v>4.9800000000000009E-3</v>
      </c>
      <c r="L38" s="76">
        <f t="shared" si="5"/>
        <v>9.0885000000000007E-2</v>
      </c>
      <c r="M38" s="76">
        <f t="shared" si="5"/>
        <v>9.3997500000000012E-2</v>
      </c>
      <c r="N38" s="76">
        <f t="shared" si="5"/>
        <v>13.695000000000002</v>
      </c>
      <c r="O38" s="76">
        <f t="shared" si="5"/>
        <v>2359.2750000000001</v>
      </c>
      <c r="P38" s="76">
        <f t="shared" si="5"/>
        <v>0</v>
      </c>
      <c r="Q38" s="76">
        <f t="shared" si="10"/>
        <v>91.351875000000007</v>
      </c>
      <c r="R38" s="76">
        <f t="shared" si="11"/>
        <v>0</v>
      </c>
      <c r="S38" s="76">
        <f t="shared" si="11"/>
        <v>0.25273500000000004</v>
      </c>
      <c r="T38" s="76">
        <f t="shared" si="11"/>
        <v>0</v>
      </c>
      <c r="U38" s="76">
        <f t="shared" si="11"/>
        <v>0</v>
      </c>
      <c r="AB38" s="58"/>
      <c r="AC38" s="58"/>
      <c r="AD38" s="58"/>
      <c r="AE38" s="58"/>
      <c r="AF38" s="58"/>
      <c r="AG38" s="58"/>
      <c r="AH38" s="58"/>
      <c r="AI38" s="58"/>
    </row>
    <row r="39" spans="1:35" s="71" customFormat="1" ht="13" x14ac:dyDescent="0.35">
      <c r="A39" s="13">
        <f>K8</f>
        <v>20</v>
      </c>
      <c r="B39" s="15">
        <v>150</v>
      </c>
      <c r="C39" s="76">
        <f t="shared" si="6"/>
        <v>32.121000000000002</v>
      </c>
      <c r="D39" s="76">
        <f t="shared" si="7"/>
        <v>6.3663224399999994</v>
      </c>
      <c r="E39" s="76">
        <f t="shared" si="8"/>
        <v>1.3862079</v>
      </c>
      <c r="F39" s="76">
        <f t="shared" si="9"/>
        <v>3.8518158600000003</v>
      </c>
      <c r="G39" s="76">
        <f t="shared" si="5"/>
        <v>0.15201450000000005</v>
      </c>
      <c r="H39" s="76">
        <f t="shared" si="5"/>
        <v>0.82917000000000007</v>
      </c>
      <c r="I39" s="76">
        <f t="shared" si="5"/>
        <v>9.1507500000000019E-2</v>
      </c>
      <c r="J39" s="76">
        <f t="shared" si="5"/>
        <v>3.2494500000000005E-3</v>
      </c>
      <c r="K39" s="76">
        <f t="shared" si="5"/>
        <v>2.9880000000000002E-3</v>
      </c>
      <c r="L39" s="76">
        <f t="shared" si="5"/>
        <v>5.4531000000000003E-2</v>
      </c>
      <c r="M39" s="76">
        <f t="shared" si="5"/>
        <v>5.6398500000000004E-2</v>
      </c>
      <c r="N39" s="76">
        <f t="shared" si="5"/>
        <v>8.2170000000000005</v>
      </c>
      <c r="O39" s="76">
        <f t="shared" si="5"/>
        <v>1415.5650000000001</v>
      </c>
      <c r="P39" s="76">
        <f t="shared" si="5"/>
        <v>0</v>
      </c>
      <c r="Q39" s="76">
        <f t="shared" si="10"/>
        <v>54.811125000000011</v>
      </c>
      <c r="R39" s="76">
        <f t="shared" si="11"/>
        <v>0</v>
      </c>
      <c r="S39" s="76">
        <f t="shared" si="11"/>
        <v>0.15164100000000003</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str">
        <f>J16&amp;" I "&amp;(VLOOKUP(J14,Table24581114[],6,FALSE))</f>
        <v>Medium/Clay I Grass</v>
      </c>
      <c r="J58" s="13" t="str">
        <f>K16&amp;" I "&amp;(VLOOKUP(K14,Table24581114[],6,FALSE))</f>
        <v>Medium/Clay I Grass</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0" t="s">
        <v>132</v>
      </c>
      <c r="B59" s="75">
        <f>VLOOKUP(C$14,Table24581114[],5,FALSE)</f>
        <v>6.2</v>
      </c>
      <c r="C59" s="75">
        <f>VLOOKUP(D$14,Table24581114[],5,FALSE)</f>
        <v>6.2</v>
      </c>
      <c r="D59" s="75">
        <f>VLOOKUP(E$14,Table24581114[],5,FALSE)</f>
        <v>6.2</v>
      </c>
      <c r="E59" s="75">
        <f>VLOOKUP(F$14,Table24581114[],5,FALSE)</f>
        <v>6.2</v>
      </c>
      <c r="F59" s="75">
        <f>VLOOKUP(G$14,Table24581114[],5,FALSE)</f>
        <v>6.2</v>
      </c>
      <c r="G59" s="75">
        <f>VLOOKUP(H$14,Table24581114[],5,FALSE)</f>
        <v>6.2</v>
      </c>
      <c r="H59" s="75">
        <f>VLOOKUP(I$14,Table24581114[],5,FALSE)</f>
        <v>6.2</v>
      </c>
      <c r="I59" s="75">
        <f>VLOOKUP(J$14,Table24581114[],5,FALSE)</f>
        <v>6.2</v>
      </c>
      <c r="J59" s="75">
        <f>VLOOKUP(K$14,Table24581114[],5,FALSE)</f>
        <v>6.2</v>
      </c>
      <c r="K59" s="75" t="e">
        <f>VLOOKUP(L$14,Table24581114[],5,FALSE)</f>
        <v>#N/A</v>
      </c>
      <c r="L59" s="75" t="e">
        <f>VLOOKUP(M$14,Table24581114[],5,FALSE)</f>
        <v>#N/A</v>
      </c>
      <c r="M59" s="75" t="e">
        <f>VLOOKUP(N$14,Table24581114[],5,FALSE)</f>
        <v>#N/A</v>
      </c>
      <c r="N59" s="75" t="e">
        <f>VLOOKUP(O$14,Table24581114[],5,FALSE)</f>
        <v>#N/A</v>
      </c>
      <c r="O59" s="75" t="e">
        <f>VLOOKUP(P$14,Table24581114[],5,FALSE)</f>
        <v>#N/A</v>
      </c>
      <c r="P59" s="75" t="e">
        <f>VLOOKUP(Q$14,Table24581114[],5,FALSE)</f>
        <v>#N/A</v>
      </c>
      <c r="Q59" s="75" t="e">
        <f>VLOOKUP(R$14,Table24581114[],5,FALSE)</f>
        <v>#N/A</v>
      </c>
      <c r="R59" s="75" t="e">
        <f>VLOOKUP(S$14,Table24581114[],5,FALSE)</f>
        <v>#N/A</v>
      </c>
      <c r="S59" s="75" t="e">
        <f>VLOOKUP(T$14,Table24581114[],5,FALSE)</f>
        <v>#N/A</v>
      </c>
      <c r="T59" s="75" t="e">
        <f>VLOOKUP(U$14,Table24581114[],5,FALSE)</f>
        <v>#N/A</v>
      </c>
      <c r="U59" s="75" t="e">
        <f>VLOOKUP(V$14,Table24581114[],5,FALSE)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150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62:U66 B31:B50">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66" zoomScaleNormal="66" workbookViewId="0">
      <selection activeCell="S39" sqref="S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6.2</v>
      </c>
      <c r="J1" s="128" t="s">
        <v>153</v>
      </c>
      <c r="K1" s="128"/>
      <c r="L1" s="96">
        <v>275</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1.58</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1.740506329113924</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12.524324250000003</v>
      </c>
      <c r="D18" s="16">
        <f>$D32</f>
        <v>12.524324250000003</v>
      </c>
      <c r="E18" s="16">
        <f>$D33</f>
        <v>12.524324250000003</v>
      </c>
      <c r="F18" s="16">
        <f>$D34</f>
        <v>12.524324250000003</v>
      </c>
      <c r="G18" s="16">
        <f>$D35</f>
        <v>12.524324250000003</v>
      </c>
      <c r="H18" s="16">
        <f>$D36</f>
        <v>12.524324250000003</v>
      </c>
      <c r="I18" s="16">
        <f>$D37</f>
        <v>12.524324250000003</v>
      </c>
      <c r="J18" s="16">
        <f>$D38</f>
        <v>12.524324250000003</v>
      </c>
      <c r="K18" s="16">
        <f>$D39</f>
        <v>5.0097297000000012</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-52.075675749999988</v>
      </c>
      <c r="D19" s="16">
        <f t="shared" ref="D19:V19" si="1">D18-D17</f>
        <v>-52.075675749999988</v>
      </c>
      <c r="E19" s="16">
        <f t="shared" si="1"/>
        <v>-52.075675749999988</v>
      </c>
      <c r="F19" s="16">
        <f t="shared" si="1"/>
        <v>-52.075675749999988</v>
      </c>
      <c r="G19" s="16">
        <f t="shared" si="1"/>
        <v>-52.075675749999988</v>
      </c>
      <c r="H19" s="16">
        <f t="shared" si="1"/>
        <v>-52.075675749999988</v>
      </c>
      <c r="I19" s="16">
        <f t="shared" si="1"/>
        <v>-52.075675749999988</v>
      </c>
      <c r="J19" s="16">
        <f t="shared" si="1"/>
        <v>-52.075675749999988</v>
      </c>
      <c r="K19" s="16">
        <f t="shared" si="1"/>
        <v>-59.590270299999993</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0.92959725000000004</v>
      </c>
      <c r="D22" s="16">
        <f>$E32</f>
        <v>0.92959725000000004</v>
      </c>
      <c r="E22" s="16">
        <f>$E33</f>
        <v>0.92959725000000004</v>
      </c>
      <c r="F22" s="16">
        <f>$E34</f>
        <v>0.92959725000000004</v>
      </c>
      <c r="G22" s="16">
        <f>$E35</f>
        <v>0.92959725000000004</v>
      </c>
      <c r="H22" s="16">
        <f>$E36</f>
        <v>0.92959725000000004</v>
      </c>
      <c r="I22" s="16">
        <f>$E37</f>
        <v>0.92959725000000004</v>
      </c>
      <c r="J22" s="16">
        <f>$E38</f>
        <v>0.92959725000000004</v>
      </c>
      <c r="K22" s="16">
        <f>$E39</f>
        <v>0.37183889999999997</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-227.07040275</v>
      </c>
      <c r="D23" s="16">
        <f t="shared" ref="D23:V23" si="3">D22-D21</f>
        <v>-227.07040275</v>
      </c>
      <c r="E23" s="16">
        <f t="shared" si="3"/>
        <v>-227.07040275</v>
      </c>
      <c r="F23" s="16">
        <f t="shared" si="3"/>
        <v>-227.07040275</v>
      </c>
      <c r="G23" s="16">
        <f t="shared" si="3"/>
        <v>-227.07040275</v>
      </c>
      <c r="H23" s="16">
        <f t="shared" si="3"/>
        <v>-227.07040275</v>
      </c>
      <c r="I23" s="16">
        <f t="shared" si="3"/>
        <v>-227.07040275</v>
      </c>
      <c r="J23" s="16">
        <f t="shared" si="3"/>
        <v>-227.07040275</v>
      </c>
      <c r="K23" s="16">
        <f t="shared" si="3"/>
        <v>-227.6281611</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2.2200000000000002</v>
      </c>
      <c r="C28" s="15">
        <v>1.58</v>
      </c>
      <c r="D28" s="15">
        <v>9.8500000000000004E-2</v>
      </c>
      <c r="E28" s="15">
        <v>1.3899999999999999E-2</v>
      </c>
      <c r="F28" s="15">
        <v>514</v>
      </c>
      <c r="G28" s="15">
        <v>7.8</v>
      </c>
      <c r="H28" s="15">
        <v>12.3</v>
      </c>
      <c r="I28" s="15">
        <v>6.2</v>
      </c>
      <c r="J28" s="15">
        <v>0.35</v>
      </c>
      <c r="K28" s="15">
        <v>0.91</v>
      </c>
      <c r="L28" s="15">
        <v>5.0999999999999996</v>
      </c>
      <c r="M28" s="15">
        <v>4.3</v>
      </c>
      <c r="N28" s="15">
        <v>2160</v>
      </c>
      <c r="O28" s="15">
        <v>422000</v>
      </c>
      <c r="P28" s="15"/>
      <c r="Q28" s="15">
        <v>2190</v>
      </c>
      <c r="R28" s="15"/>
      <c r="S28" s="15">
        <v>67.5</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87.69</v>
      </c>
      <c r="D31" s="76">
        <f>(IF(D$27="%w/w SAR",((D$28*10)*$B31),IF(D$27="%w/w DM",(((D$28*10)*($B$28/100))*$B31),IF(D$27="kg/t SAR",(D$28*$B31),IF(D$27="kg/t DM",((D$28*($B$28/100))*$B31),IF(D$27="mg/kg SAR",((D$28*0.001)*$B31),IF(D$27="mg/kg DM",(((D$28*0.001)*($B$28/100))*$B31),"0")))))))*2.291</f>
        <v>12.524324250000003</v>
      </c>
      <c r="E31" s="76">
        <f>(IF(E$27="%w/w SAR",((E$28*10)*$B31),IF(E$27="%w/w DM",(((E$28*10)*($B$28/100))*$B31),IF(E$27="kg/t SAR",(E$28*$B31),IF(E$27="kg/t DM",((E$28*($B$28/100))*$B31),IF(E$27="mg/kg SAR",((E$28*0.001)*$B31),IF(E$27="mg/kg DM",(((E$28*0.001)*($B$28/100))*$B31),"0")))))))*1.205</f>
        <v>0.92959725000000004</v>
      </c>
      <c r="F31" s="76">
        <f>(IF(F$27="%w/w SAR",((F$28*10)*$B31),IF(F$27="%w/w DM",(((F$28*10)*($B$28/100))*$B31),IF(F$27="kg/t SAR",(F$28*$B31),IF(F$27="kg/t DM",((F$28*($B$28/100))*$B31),IF(F$27="mg/kg SAR",((F$28*0.001)*$B31),IF(F$27="mg/kg DM",(((F$28*0.001)*($B$28/100))*$B31),"0")))))))*1.658</f>
        <v>4.7297766000000001</v>
      </c>
      <c r="G31" s="76">
        <f t="shared" ref="G31:P46" si="5">IF(G$27="%w/w SAR",((G$28*10)*$B31),IF(G$27="%w/w DM",(((G$28*10)*($B$28/100))*$B31),IF(G$27="kg/t SAR",(G$28*$B31),IF(G$27="kg/t DM",((G$28*($B$28/100))*$B31),IF(G$27="mg/kg SAR",((G$28*0.001)*$B31),IF(G$27="mg/kg DM",(((G$28*0.001)*($B$28/100))*$B31),0))))))</f>
        <v>4.3290000000000002E-2</v>
      </c>
      <c r="H31" s="76">
        <f t="shared" si="5"/>
        <v>6.8264999999999992E-2</v>
      </c>
      <c r="I31" s="76">
        <f t="shared" si="5"/>
        <v>3.4410000000000003E-2</v>
      </c>
      <c r="J31" s="76">
        <f t="shared" si="5"/>
        <v>1.9425E-3</v>
      </c>
      <c r="K31" s="76">
        <f t="shared" si="5"/>
        <v>5.0505000000000003E-3</v>
      </c>
      <c r="L31" s="76">
        <f t="shared" si="5"/>
        <v>2.8304999999999997E-2</v>
      </c>
      <c r="M31" s="76">
        <f t="shared" si="5"/>
        <v>2.3865000000000004E-2</v>
      </c>
      <c r="N31" s="76">
        <f t="shared" si="5"/>
        <v>11.988000000000001</v>
      </c>
      <c r="O31" s="76">
        <f t="shared" si="5"/>
        <v>2342.1000000000004</v>
      </c>
      <c r="P31" s="76">
        <f t="shared" si="5"/>
        <v>0</v>
      </c>
      <c r="Q31" s="76">
        <f>(IF(Q$27="%w/w SAR",((Q$28*10)*$B31),IF(Q$27="%w/w DM",(((Q$28*10)*($B$28/100))*$B31),IF(Q$27="kg/t SAR",(Q$28*$B31),IF(Q$27="kg/t DM",((Q$28*($B$28/100))*$B31),IF(Q$27="mg/kg SAR",((Q$28*0.001)*$B31),IF(Q$27="mg/kg DM",(((Q$28*0.001)*($B$28/100))*$B31),0)))))))*2.5</f>
        <v>30.38625</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0.37462500000000004</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250</v>
      </c>
      <c r="C32" s="76">
        <f t="shared" ref="C32:C50" si="6">IF(C$27="%w/w SAR",((C$28*10)*$B32),IF(C$27="%w/w DM",(((C$28*10)*($B$28/100))*$B32),IF(C$27="kg/t SAR",(C$28*$B32),IF(C$27="kg/t DM",((C$28*($B$28/100))*$B32),IF(C$27="mg/kg SAR",((C$28*0.001)*$B32),IF(C$27="mg/kg DM",(((C$28*0.001)*($B$28/100))*$B32),0))))))</f>
        <v>87.69</v>
      </c>
      <c r="D32" s="76">
        <f t="shared" ref="D32:D50" si="7">(IF(D$27="%w/w SAR",((D$28*10)*$B32),IF(D$27="%w/w DM",(((D$28*10)*($B$28/100))*$B32),IF(D$27="kg/t SAR",(D$28*$B32),IF(D$27="kg/t DM",((D$28*($B$28/100))*$B32),IF(D$27="mg/kg SAR",((D$28*0.001)*$B32),IF(D$27="mg/kg DM",(((D$28*0.001)*($B$28/100))*$B32),"0")))))))*2.291</f>
        <v>12.524324250000003</v>
      </c>
      <c r="E32" s="76">
        <f t="shared" ref="E32:E50" si="8">(IF(E$27="%w/w SAR",((E$28*10)*$B32),IF(E$27="%w/w DM",(((E$28*10)*($B$28/100))*$B32),IF(E$27="kg/t SAR",(E$28*$B32),IF(E$27="kg/t DM",((E$28*($B$28/100))*$B32),IF(E$27="mg/kg SAR",((E$28*0.001)*$B32),IF(E$27="mg/kg DM",(((E$28*0.001)*($B$28/100))*$B32),"0")))))))*1.205</f>
        <v>0.92959725000000004</v>
      </c>
      <c r="F32" s="76">
        <f t="shared" ref="F32:F50" si="9">(IF(F$27="%w/w SAR",((F$28*10)*$B32),IF(F$27="%w/w DM",(((F$28*10)*($B$28/100))*$B32),IF(F$27="kg/t SAR",(F$28*$B32),IF(F$27="kg/t DM",((F$28*($B$28/100))*$B32),IF(F$27="mg/kg SAR",((F$28*0.001)*$B32),IF(F$27="mg/kg DM",(((F$28*0.001)*($B$28/100))*$B32),"0")))))))*1.658</f>
        <v>4.7297766000000001</v>
      </c>
      <c r="G32" s="76">
        <f t="shared" si="5"/>
        <v>4.3290000000000002E-2</v>
      </c>
      <c r="H32" s="76">
        <f t="shared" si="5"/>
        <v>6.8264999999999992E-2</v>
      </c>
      <c r="I32" s="76">
        <f t="shared" si="5"/>
        <v>3.4410000000000003E-2</v>
      </c>
      <c r="J32" s="76">
        <f t="shared" si="5"/>
        <v>1.9425E-3</v>
      </c>
      <c r="K32" s="76">
        <f t="shared" si="5"/>
        <v>5.0505000000000003E-3</v>
      </c>
      <c r="L32" s="76">
        <f t="shared" si="5"/>
        <v>2.8304999999999997E-2</v>
      </c>
      <c r="M32" s="76">
        <f t="shared" si="5"/>
        <v>2.3865000000000004E-2</v>
      </c>
      <c r="N32" s="76">
        <f t="shared" si="5"/>
        <v>11.988000000000001</v>
      </c>
      <c r="O32" s="76">
        <f t="shared" si="5"/>
        <v>2342.1000000000004</v>
      </c>
      <c r="P32" s="76">
        <f t="shared" si="5"/>
        <v>0</v>
      </c>
      <c r="Q32" s="76">
        <f t="shared" ref="Q32:Q50" si="10">(IF(Q$27="%w/w SAR",((Q$28*10)*$B32),IF(Q$27="%w/w DM",(((Q$28*10)*($B$28/100))*$B32),IF(Q$27="kg/t SAR",(Q$28*$B32),IF(Q$27="kg/t DM",((Q$28*($B$28/100))*$B32),IF(Q$27="mg/kg SAR",((Q$28*0.001)*$B32),IF(Q$27="mg/kg DM",(((Q$28*0.001)*($B$28/100))*$B32),0)))))))*2.5</f>
        <v>30.38625</v>
      </c>
      <c r="R32" s="76">
        <f t="shared" ref="R32:U50" si="11">IF(R$27="%w/w SAR",((R$28*10)*$B32),IF(R$27="%w/w DM",(((R$28*10)*($B$28/100))*$B32),IF(R$27="kg/t SAR",(R$28*$B32),IF(R$27="kg/t DM",((R$28*($B$28/100))*$B32),IF(R$27="mg/kg SAR",((R$28*0.001)*$B32),IF(R$27="mg/kg DM",(((R$28*0.001)*($B$28/100))*$B32),0))))))</f>
        <v>0</v>
      </c>
      <c r="S32" s="76">
        <f t="shared" si="11"/>
        <v>0.37462500000000004</v>
      </c>
      <c r="T32" s="76">
        <f t="shared" si="11"/>
        <v>0</v>
      </c>
      <c r="U32" s="76">
        <f t="shared" si="11"/>
        <v>0</v>
      </c>
      <c r="AB32" s="58"/>
      <c r="AC32" s="58"/>
      <c r="AD32" s="58"/>
      <c r="AE32" s="58"/>
      <c r="AF32" s="58"/>
      <c r="AG32" s="58"/>
      <c r="AH32" s="58"/>
      <c r="AI32" s="58"/>
    </row>
    <row r="33" spans="1:35" s="71" customFormat="1" ht="13" x14ac:dyDescent="0.35">
      <c r="A33" s="13">
        <f>E8</f>
        <v>3</v>
      </c>
      <c r="B33" s="15">
        <v>250</v>
      </c>
      <c r="C33" s="76">
        <f t="shared" si="6"/>
        <v>87.69</v>
      </c>
      <c r="D33" s="76">
        <f t="shared" si="7"/>
        <v>12.524324250000003</v>
      </c>
      <c r="E33" s="76">
        <f t="shared" si="8"/>
        <v>0.92959725000000004</v>
      </c>
      <c r="F33" s="76">
        <f t="shared" si="9"/>
        <v>4.7297766000000001</v>
      </c>
      <c r="G33" s="76">
        <f t="shared" si="5"/>
        <v>4.3290000000000002E-2</v>
      </c>
      <c r="H33" s="76">
        <f t="shared" si="5"/>
        <v>6.8264999999999992E-2</v>
      </c>
      <c r="I33" s="76">
        <f t="shared" si="5"/>
        <v>3.4410000000000003E-2</v>
      </c>
      <c r="J33" s="76">
        <f t="shared" si="5"/>
        <v>1.9425E-3</v>
      </c>
      <c r="K33" s="76">
        <f t="shared" si="5"/>
        <v>5.0505000000000003E-3</v>
      </c>
      <c r="L33" s="76">
        <f t="shared" si="5"/>
        <v>2.8304999999999997E-2</v>
      </c>
      <c r="M33" s="76">
        <f t="shared" si="5"/>
        <v>2.3865000000000004E-2</v>
      </c>
      <c r="N33" s="76">
        <f t="shared" si="5"/>
        <v>11.988000000000001</v>
      </c>
      <c r="O33" s="76">
        <f t="shared" si="5"/>
        <v>2342.1000000000004</v>
      </c>
      <c r="P33" s="76">
        <f t="shared" si="5"/>
        <v>0</v>
      </c>
      <c r="Q33" s="76">
        <f t="shared" si="10"/>
        <v>30.38625</v>
      </c>
      <c r="R33" s="76">
        <f t="shared" si="11"/>
        <v>0</v>
      </c>
      <c r="S33" s="76">
        <f t="shared" si="11"/>
        <v>0.37462500000000004</v>
      </c>
      <c r="T33" s="76">
        <f t="shared" si="11"/>
        <v>0</v>
      </c>
      <c r="U33" s="76">
        <f t="shared" si="11"/>
        <v>0</v>
      </c>
      <c r="AB33" s="58"/>
      <c r="AC33" s="58"/>
      <c r="AD33" s="58"/>
      <c r="AE33" s="58"/>
      <c r="AF33" s="58"/>
      <c r="AG33" s="58"/>
      <c r="AH33" s="58"/>
      <c r="AI33" s="58"/>
    </row>
    <row r="34" spans="1:35" s="71" customFormat="1" ht="13" x14ac:dyDescent="0.35">
      <c r="A34" s="13">
        <f>F8</f>
        <v>4</v>
      </c>
      <c r="B34" s="15">
        <v>250</v>
      </c>
      <c r="C34" s="76">
        <f t="shared" si="6"/>
        <v>87.69</v>
      </c>
      <c r="D34" s="76">
        <f t="shared" si="7"/>
        <v>12.524324250000003</v>
      </c>
      <c r="E34" s="76">
        <f t="shared" si="8"/>
        <v>0.92959725000000004</v>
      </c>
      <c r="F34" s="76">
        <f t="shared" si="9"/>
        <v>4.7297766000000001</v>
      </c>
      <c r="G34" s="76">
        <f t="shared" si="5"/>
        <v>4.3290000000000002E-2</v>
      </c>
      <c r="H34" s="76">
        <f t="shared" si="5"/>
        <v>6.8264999999999992E-2</v>
      </c>
      <c r="I34" s="76">
        <f t="shared" si="5"/>
        <v>3.4410000000000003E-2</v>
      </c>
      <c r="J34" s="76">
        <f t="shared" si="5"/>
        <v>1.9425E-3</v>
      </c>
      <c r="K34" s="76">
        <f t="shared" si="5"/>
        <v>5.0505000000000003E-3</v>
      </c>
      <c r="L34" s="76">
        <f t="shared" si="5"/>
        <v>2.8304999999999997E-2</v>
      </c>
      <c r="M34" s="76">
        <f t="shared" si="5"/>
        <v>2.3865000000000004E-2</v>
      </c>
      <c r="N34" s="76">
        <f t="shared" si="5"/>
        <v>11.988000000000001</v>
      </c>
      <c r="O34" s="76">
        <f t="shared" si="5"/>
        <v>2342.1000000000004</v>
      </c>
      <c r="P34" s="76">
        <f t="shared" si="5"/>
        <v>0</v>
      </c>
      <c r="Q34" s="76">
        <f t="shared" si="10"/>
        <v>30.38625</v>
      </c>
      <c r="R34" s="76">
        <f t="shared" si="11"/>
        <v>0</v>
      </c>
      <c r="S34" s="76">
        <f t="shared" si="11"/>
        <v>0.37462500000000004</v>
      </c>
      <c r="T34" s="76">
        <f t="shared" si="11"/>
        <v>0</v>
      </c>
      <c r="U34" s="76">
        <f t="shared" si="11"/>
        <v>0</v>
      </c>
      <c r="AB34" s="58"/>
      <c r="AC34" s="58"/>
      <c r="AD34" s="58"/>
      <c r="AE34" s="58"/>
      <c r="AF34" s="58"/>
      <c r="AG34" s="58"/>
      <c r="AH34" s="58"/>
      <c r="AI34" s="58"/>
    </row>
    <row r="35" spans="1:35" s="71" customFormat="1" ht="13" x14ac:dyDescent="0.35">
      <c r="A35" s="13">
        <f>G8</f>
        <v>5</v>
      </c>
      <c r="B35" s="15">
        <v>250</v>
      </c>
      <c r="C35" s="76">
        <f t="shared" si="6"/>
        <v>87.69</v>
      </c>
      <c r="D35" s="76">
        <f t="shared" si="7"/>
        <v>12.524324250000003</v>
      </c>
      <c r="E35" s="76">
        <f t="shared" si="8"/>
        <v>0.92959725000000004</v>
      </c>
      <c r="F35" s="76">
        <f t="shared" si="9"/>
        <v>4.7297766000000001</v>
      </c>
      <c r="G35" s="76">
        <f t="shared" si="5"/>
        <v>4.3290000000000002E-2</v>
      </c>
      <c r="H35" s="76">
        <f t="shared" si="5"/>
        <v>6.8264999999999992E-2</v>
      </c>
      <c r="I35" s="76">
        <f t="shared" si="5"/>
        <v>3.4410000000000003E-2</v>
      </c>
      <c r="J35" s="76">
        <f t="shared" si="5"/>
        <v>1.9425E-3</v>
      </c>
      <c r="K35" s="76">
        <f t="shared" si="5"/>
        <v>5.0505000000000003E-3</v>
      </c>
      <c r="L35" s="76">
        <f t="shared" si="5"/>
        <v>2.8304999999999997E-2</v>
      </c>
      <c r="M35" s="76">
        <f t="shared" si="5"/>
        <v>2.3865000000000004E-2</v>
      </c>
      <c r="N35" s="76">
        <f t="shared" si="5"/>
        <v>11.988000000000001</v>
      </c>
      <c r="O35" s="76">
        <f t="shared" si="5"/>
        <v>2342.1000000000004</v>
      </c>
      <c r="P35" s="76">
        <f t="shared" si="5"/>
        <v>0</v>
      </c>
      <c r="Q35" s="76">
        <f t="shared" si="10"/>
        <v>30.38625</v>
      </c>
      <c r="R35" s="76">
        <f t="shared" si="11"/>
        <v>0</v>
      </c>
      <c r="S35" s="76">
        <f t="shared" si="11"/>
        <v>0.37462500000000004</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87.69</v>
      </c>
      <c r="D36" s="76">
        <f t="shared" si="7"/>
        <v>12.524324250000003</v>
      </c>
      <c r="E36" s="76">
        <f t="shared" si="8"/>
        <v>0.92959725000000004</v>
      </c>
      <c r="F36" s="76">
        <f t="shared" si="9"/>
        <v>4.7297766000000001</v>
      </c>
      <c r="G36" s="76">
        <f t="shared" si="5"/>
        <v>4.3290000000000002E-2</v>
      </c>
      <c r="H36" s="76">
        <f t="shared" si="5"/>
        <v>6.8264999999999992E-2</v>
      </c>
      <c r="I36" s="76">
        <f t="shared" si="5"/>
        <v>3.4410000000000003E-2</v>
      </c>
      <c r="J36" s="76">
        <f t="shared" si="5"/>
        <v>1.9425E-3</v>
      </c>
      <c r="K36" s="76">
        <f t="shared" si="5"/>
        <v>5.0505000000000003E-3</v>
      </c>
      <c r="L36" s="76">
        <f t="shared" si="5"/>
        <v>2.8304999999999997E-2</v>
      </c>
      <c r="M36" s="76">
        <f t="shared" si="5"/>
        <v>2.3865000000000004E-2</v>
      </c>
      <c r="N36" s="76">
        <f t="shared" si="5"/>
        <v>11.988000000000001</v>
      </c>
      <c r="O36" s="76">
        <f t="shared" si="5"/>
        <v>2342.1000000000004</v>
      </c>
      <c r="P36" s="76">
        <f t="shared" si="5"/>
        <v>0</v>
      </c>
      <c r="Q36" s="76">
        <f t="shared" si="10"/>
        <v>30.38625</v>
      </c>
      <c r="R36" s="76">
        <f t="shared" si="11"/>
        <v>0</v>
      </c>
      <c r="S36" s="76">
        <f t="shared" si="11"/>
        <v>0.37462500000000004</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87.69</v>
      </c>
      <c r="D37" s="76">
        <f t="shared" si="7"/>
        <v>12.524324250000003</v>
      </c>
      <c r="E37" s="76">
        <f t="shared" si="8"/>
        <v>0.92959725000000004</v>
      </c>
      <c r="F37" s="76">
        <f t="shared" si="9"/>
        <v>4.7297766000000001</v>
      </c>
      <c r="G37" s="76">
        <f t="shared" si="5"/>
        <v>4.3290000000000002E-2</v>
      </c>
      <c r="H37" s="76">
        <f t="shared" si="5"/>
        <v>6.8264999999999992E-2</v>
      </c>
      <c r="I37" s="76">
        <f t="shared" si="5"/>
        <v>3.4410000000000003E-2</v>
      </c>
      <c r="J37" s="76">
        <f t="shared" si="5"/>
        <v>1.9425E-3</v>
      </c>
      <c r="K37" s="76">
        <f t="shared" si="5"/>
        <v>5.0505000000000003E-3</v>
      </c>
      <c r="L37" s="76">
        <f t="shared" si="5"/>
        <v>2.8304999999999997E-2</v>
      </c>
      <c r="M37" s="76">
        <f t="shared" si="5"/>
        <v>2.3865000000000004E-2</v>
      </c>
      <c r="N37" s="76">
        <f t="shared" si="5"/>
        <v>11.988000000000001</v>
      </c>
      <c r="O37" s="76">
        <f t="shared" si="5"/>
        <v>2342.1000000000004</v>
      </c>
      <c r="P37" s="76">
        <f t="shared" si="5"/>
        <v>0</v>
      </c>
      <c r="Q37" s="76">
        <f t="shared" si="10"/>
        <v>30.38625</v>
      </c>
      <c r="R37" s="76">
        <f t="shared" si="11"/>
        <v>0</v>
      </c>
      <c r="S37" s="76">
        <f t="shared" si="11"/>
        <v>0.37462500000000004</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250</v>
      </c>
      <c r="C38" s="76">
        <f t="shared" si="6"/>
        <v>87.69</v>
      </c>
      <c r="D38" s="76">
        <f t="shared" si="7"/>
        <v>12.524324250000003</v>
      </c>
      <c r="E38" s="76">
        <f t="shared" si="8"/>
        <v>0.92959725000000004</v>
      </c>
      <c r="F38" s="76">
        <f t="shared" si="9"/>
        <v>4.7297766000000001</v>
      </c>
      <c r="G38" s="76">
        <f t="shared" si="5"/>
        <v>4.3290000000000002E-2</v>
      </c>
      <c r="H38" s="76">
        <f t="shared" si="5"/>
        <v>6.8264999999999992E-2</v>
      </c>
      <c r="I38" s="76">
        <f t="shared" si="5"/>
        <v>3.4410000000000003E-2</v>
      </c>
      <c r="J38" s="76">
        <f t="shared" si="5"/>
        <v>1.9425E-3</v>
      </c>
      <c r="K38" s="76">
        <f t="shared" si="5"/>
        <v>5.0505000000000003E-3</v>
      </c>
      <c r="L38" s="76">
        <f t="shared" si="5"/>
        <v>2.8304999999999997E-2</v>
      </c>
      <c r="M38" s="76">
        <f t="shared" si="5"/>
        <v>2.3865000000000004E-2</v>
      </c>
      <c r="N38" s="76">
        <f t="shared" si="5"/>
        <v>11.988000000000001</v>
      </c>
      <c r="O38" s="76">
        <f t="shared" si="5"/>
        <v>2342.1000000000004</v>
      </c>
      <c r="P38" s="76">
        <f t="shared" si="5"/>
        <v>0</v>
      </c>
      <c r="Q38" s="76">
        <f t="shared" si="10"/>
        <v>30.38625</v>
      </c>
      <c r="R38" s="76">
        <f t="shared" si="11"/>
        <v>0</v>
      </c>
      <c r="S38" s="76">
        <f t="shared" si="11"/>
        <v>0.37462500000000004</v>
      </c>
      <c r="T38" s="76">
        <f t="shared" si="11"/>
        <v>0</v>
      </c>
      <c r="U38" s="76">
        <f t="shared" si="11"/>
        <v>0</v>
      </c>
      <c r="AB38" s="58"/>
      <c r="AC38" s="58"/>
      <c r="AD38" s="58"/>
      <c r="AE38" s="58"/>
      <c r="AF38" s="58"/>
      <c r="AG38" s="58"/>
      <c r="AH38" s="58"/>
      <c r="AI38" s="58"/>
    </row>
    <row r="39" spans="1:35" s="71" customFormat="1" ht="13" x14ac:dyDescent="0.35">
      <c r="A39" s="13">
        <f>K8</f>
        <v>20</v>
      </c>
      <c r="B39" s="15">
        <v>100</v>
      </c>
      <c r="C39" s="76">
        <f t="shared" si="6"/>
        <v>35.076000000000001</v>
      </c>
      <c r="D39" s="76">
        <f t="shared" si="7"/>
        <v>5.0097297000000012</v>
      </c>
      <c r="E39" s="76">
        <f t="shared" si="8"/>
        <v>0.37183889999999997</v>
      </c>
      <c r="F39" s="76">
        <f t="shared" si="9"/>
        <v>1.8919106400000001</v>
      </c>
      <c r="G39" s="76">
        <f t="shared" si="5"/>
        <v>1.7316000000000002E-2</v>
      </c>
      <c r="H39" s="76">
        <f t="shared" si="5"/>
        <v>2.7306E-2</v>
      </c>
      <c r="I39" s="76">
        <f t="shared" si="5"/>
        <v>1.3764000000000002E-2</v>
      </c>
      <c r="J39" s="76">
        <f t="shared" si="5"/>
        <v>7.7700000000000002E-4</v>
      </c>
      <c r="K39" s="76">
        <f t="shared" si="5"/>
        <v>2.0202000000000002E-3</v>
      </c>
      <c r="L39" s="76">
        <f t="shared" si="5"/>
        <v>1.1321999999999999E-2</v>
      </c>
      <c r="M39" s="76">
        <f t="shared" si="5"/>
        <v>9.5460000000000007E-3</v>
      </c>
      <c r="N39" s="76">
        <f t="shared" si="5"/>
        <v>4.7952000000000012</v>
      </c>
      <c r="O39" s="76">
        <f t="shared" si="5"/>
        <v>936.84000000000015</v>
      </c>
      <c r="P39" s="76">
        <f t="shared" si="5"/>
        <v>0</v>
      </c>
      <c r="Q39" s="76">
        <f t="shared" si="10"/>
        <v>12.154500000000002</v>
      </c>
      <c r="R39" s="76">
        <f t="shared" si="11"/>
        <v>0</v>
      </c>
      <c r="S39" s="76">
        <f t="shared" si="11"/>
        <v>0.14985000000000004</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str">
        <f>J16&amp;" I "&amp;(VLOOKUP(J14,Table245[],6,FALSE))</f>
        <v>Medium/Clay I Grass</v>
      </c>
      <c r="J58" s="13" t="str">
        <f>K16&amp;" I "&amp;(VLOOKUP(K14,Table245[],6,FALSE))</f>
        <v>Medium/Clay I Grass</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0" t="s">
        <v>132</v>
      </c>
      <c r="B59" s="75">
        <f>VLOOKUP(C$14,Table245[],5,FALSE)</f>
        <v>6.2</v>
      </c>
      <c r="C59" s="75">
        <f>VLOOKUP(D$14,Table245[],5,FALSE)</f>
        <v>6.2</v>
      </c>
      <c r="D59" s="75">
        <f>VLOOKUP(E$14,Table245[],5,FALSE)</f>
        <v>6.2</v>
      </c>
      <c r="E59" s="75">
        <f>VLOOKUP(F$14,Table245[],5,FALSE)</f>
        <v>6.2</v>
      </c>
      <c r="F59" s="75">
        <f>VLOOKUP(G$14,Table245[],5,FALSE)</f>
        <v>6.2</v>
      </c>
      <c r="G59" s="75">
        <f>VLOOKUP(H$14,Table245[],5,FALSE)</f>
        <v>6.2</v>
      </c>
      <c r="H59" s="75">
        <f>VLOOKUP(I$14,Table245[],5,FALSE)</f>
        <v>6.2</v>
      </c>
      <c r="I59" s="75">
        <f>VLOOKUP(J$14,Table245[],5,FALSE)</f>
        <v>6.2</v>
      </c>
      <c r="J59" s="75">
        <f>VLOOKUP(K$14,Table245[],5,FALSE)</f>
        <v>6.2</v>
      </c>
      <c r="K59" s="75" t="e">
        <f>VLOOKUP(L$14,Table245[],5,FALSE)</f>
        <v>#N/A</v>
      </c>
      <c r="L59" s="75" t="e">
        <f>VLOOKUP(M$14,Table245[],5,FALSE)</f>
        <v>#N/A</v>
      </c>
      <c r="M59" s="75" t="e">
        <f>VLOOKUP(N$14,Table245[],5,FALSE)</f>
        <v>#N/A</v>
      </c>
      <c r="N59" s="75" t="e">
        <f>VLOOKUP(O$14,Table245[],5,FALSE)</f>
        <v>#N/A</v>
      </c>
      <c r="O59" s="75" t="e">
        <f>VLOOKUP(P$14,Table245[],5,FALSE)</f>
        <v>#N/A</v>
      </c>
      <c r="P59" s="75" t="e">
        <f>VLOOKUP(Q$14,Table245[],5,FALSE)</f>
        <v>#N/A</v>
      </c>
      <c r="Q59" s="75" t="e">
        <f>VLOOKUP(R$14,Table245[],5,FALSE)</f>
        <v>#N/A</v>
      </c>
      <c r="R59" s="75" t="e">
        <f>VLOOKUP(S$14,Table245[],5,FALSE)</f>
        <v>#N/A</v>
      </c>
      <c r="S59" s="75" t="e">
        <f>VLOOKUP(T$14,Table245[],5,FALSE)</f>
        <v>#N/A</v>
      </c>
      <c r="T59" s="75" t="e">
        <f>VLOOKUP(U$14,Table245[],5,FALSE)</f>
        <v>#N/A</v>
      </c>
      <c r="U59" s="75" t="e">
        <f>VLOOKUP(V$14,Table245[],5,FALSE)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100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62:U66 B31:B50">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F1" sqref="F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6.8</v>
      </c>
      <c r="J1" s="128" t="s">
        <v>153</v>
      </c>
      <c r="K1" s="128"/>
      <c r="L1" s="96">
        <v>214</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0.746</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2.8686327077747991</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74.532530249999994</v>
      </c>
      <c r="D18" s="16">
        <f>$D32</f>
        <v>74.532530249999994</v>
      </c>
      <c r="E18" s="16">
        <f>$D33</f>
        <v>74.532530249999994</v>
      </c>
      <c r="F18" s="16">
        <f>$D34</f>
        <v>74.532530249999994</v>
      </c>
      <c r="G18" s="16">
        <f>$D35</f>
        <v>74.532530249999994</v>
      </c>
      <c r="H18" s="16">
        <f>$D36</f>
        <v>74.532530249999994</v>
      </c>
      <c r="I18" s="16">
        <f>$D37</f>
        <v>74.532530249999994</v>
      </c>
      <c r="J18" s="16">
        <f>$D38</f>
        <v>124.22088375000001</v>
      </c>
      <c r="K18" s="16">
        <f>$D39</f>
        <v>74.532530249999994</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9.9325302499999992</v>
      </c>
      <c r="D19" s="16">
        <f t="shared" ref="D19:V19" si="1">D18-D17</f>
        <v>9.9325302499999992</v>
      </c>
      <c r="E19" s="16">
        <f t="shared" si="1"/>
        <v>9.9325302499999992</v>
      </c>
      <c r="F19" s="16">
        <f t="shared" si="1"/>
        <v>9.9325302499999992</v>
      </c>
      <c r="G19" s="16">
        <f t="shared" si="1"/>
        <v>9.9325302499999992</v>
      </c>
      <c r="H19" s="16">
        <f t="shared" si="1"/>
        <v>9.9325302499999992</v>
      </c>
      <c r="I19" s="16">
        <f t="shared" si="1"/>
        <v>9.9325302499999992</v>
      </c>
      <c r="J19" s="16">
        <f t="shared" si="1"/>
        <v>59.620883750000019</v>
      </c>
      <c r="K19" s="16">
        <f t="shared" si="1"/>
        <v>9.9325302499999992</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INCREASE</v>
      </c>
      <c r="D20" s="25" t="str">
        <f>IF($B32="","",IF(D$19&gt;=0,"INCREASE","DECREASE"))</f>
        <v>INCREASE</v>
      </c>
      <c r="E20" s="25" t="str">
        <f>IF($B33="","",IF(E$19&gt;=0,"INCREASE","DECREASE"))</f>
        <v>INCREASE</v>
      </c>
      <c r="F20" s="25" t="str">
        <f>IF($B34="","",IF(F$19&gt;=0,"INCREASE","DECREASE"))</f>
        <v>INCREASE</v>
      </c>
      <c r="G20" s="25" t="str">
        <f>IF($B35="","",IF(G$19&gt;=0,"INCREASE","DECREASE"))</f>
        <v>INCREASE</v>
      </c>
      <c r="H20" s="25" t="str">
        <f>IF($B36="","",IF(H$19&gt;=0,"INCREASE","DECREASE"))</f>
        <v>INCREASE</v>
      </c>
      <c r="I20" s="25" t="str">
        <f>IF($B37="","",IF(I$19&gt;=0,"INCREASE","DECREASE"))</f>
        <v>INCREASE</v>
      </c>
      <c r="J20" s="25" t="str">
        <f>IF($B38="","",IF(J$19&gt;=0,"INCREASE","DECREASE"))</f>
        <v>INCREASE</v>
      </c>
      <c r="K20" s="25" t="str">
        <f>IF($B39="","",IF(K$19&gt;=0,"INCREASE","DECREASE"))</f>
        <v>INCREASE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0.65937600000000007</v>
      </c>
      <c r="D22" s="16">
        <f>$E32</f>
        <v>0.65937600000000007</v>
      </c>
      <c r="E22" s="16">
        <f>$E33</f>
        <v>0.65937600000000007</v>
      </c>
      <c r="F22" s="16">
        <f>$E34</f>
        <v>0.65937600000000007</v>
      </c>
      <c r="G22" s="16">
        <f>$E35</f>
        <v>0.65937600000000007</v>
      </c>
      <c r="H22" s="16">
        <f>$E36</f>
        <v>0.65937600000000007</v>
      </c>
      <c r="I22" s="16">
        <f>$E37</f>
        <v>0.65937600000000007</v>
      </c>
      <c r="J22" s="16">
        <f>$E38</f>
        <v>1.0989600000000002</v>
      </c>
      <c r="K22" s="16">
        <f>$E39</f>
        <v>0.65937600000000007</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-227.34062399999999</v>
      </c>
      <c r="D23" s="16">
        <f t="shared" ref="D23:V23" si="3">D22-D21</f>
        <v>-227.34062399999999</v>
      </c>
      <c r="E23" s="16">
        <f t="shared" si="3"/>
        <v>-227.34062399999999</v>
      </c>
      <c r="F23" s="16">
        <f t="shared" si="3"/>
        <v>-227.34062399999999</v>
      </c>
      <c r="G23" s="16">
        <f t="shared" si="3"/>
        <v>-227.34062399999999</v>
      </c>
      <c r="H23" s="16">
        <f t="shared" si="3"/>
        <v>-227.34062399999999</v>
      </c>
      <c r="I23" s="16">
        <f t="shared" si="3"/>
        <v>-227.34062399999999</v>
      </c>
      <c r="J23" s="16">
        <f t="shared" si="3"/>
        <v>-226.90103999999999</v>
      </c>
      <c r="K23" s="16">
        <f t="shared" si="3"/>
        <v>-227.34062399999999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2.85</v>
      </c>
      <c r="C28" s="15">
        <v>0.746</v>
      </c>
      <c r="D28" s="15">
        <v>0.76100000000000001</v>
      </c>
      <c r="E28" s="15">
        <v>1.2800000000000001E-2</v>
      </c>
      <c r="F28" s="15">
        <v>1320</v>
      </c>
      <c r="G28" s="15">
        <v>7.8</v>
      </c>
      <c r="H28" s="15">
        <v>631</v>
      </c>
      <c r="I28" s="15">
        <v>36.9</v>
      </c>
      <c r="J28" s="15">
        <v>2.4500000000000002</v>
      </c>
      <c r="K28" s="15">
        <v>0.71</v>
      </c>
      <c r="L28" s="15">
        <v>39.299999999999997</v>
      </c>
      <c r="M28" s="15">
        <v>12</v>
      </c>
      <c r="N28" s="15">
        <v>6060</v>
      </c>
      <c r="O28" s="15">
        <v>338000</v>
      </c>
      <c r="P28" s="15"/>
      <c r="Q28" s="15">
        <v>2510</v>
      </c>
      <c r="R28" s="15"/>
      <c r="S28" s="15">
        <v>16.399999999999999</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150</v>
      </c>
      <c r="C31" s="76">
        <f>IF(C$27="%w/w SAR",((C$28*10)*$B31),IF(C$27="%w/w DM",(((C$28*10)*($B$28/100))*$B31),IF(C$27="kg/t SAR",(C$28*$B31),IF(C$27="kg/t DM",((C$28*($B$28/100))*$B31),IF(C$27="mg/kg SAR",((C$28*0.001)*$B31),IF(C$27="mg/kg DM",(((C$28*0.001)*($B$28/100))*$B31),0))))))</f>
        <v>31.891500000000001</v>
      </c>
      <c r="D31" s="76">
        <f>(IF(D$27="%w/w SAR",((D$28*10)*$B31),IF(D$27="%w/w DM",(((D$28*10)*($B$28/100))*$B31),IF(D$27="kg/t SAR",(D$28*$B31),IF(D$27="kg/t DM",((D$28*($B$28/100))*$B31),IF(D$27="mg/kg SAR",((D$28*0.001)*$B31),IF(D$27="mg/kg DM",(((D$28*0.001)*($B$28/100))*$B31),"0")))))))*2.291</f>
        <v>74.532530249999994</v>
      </c>
      <c r="E31" s="76">
        <f>(IF(E$27="%w/w SAR",((E$28*10)*$B31),IF(E$27="%w/w DM",(((E$28*10)*($B$28/100))*$B31),IF(E$27="kg/t SAR",(E$28*$B31),IF(E$27="kg/t DM",((E$28*($B$28/100))*$B31),IF(E$27="mg/kg SAR",((E$28*0.001)*$B31),IF(E$27="mg/kg DM",(((E$28*0.001)*($B$28/100))*$B31),"0")))))))*1.205</f>
        <v>0.65937600000000007</v>
      </c>
      <c r="F31" s="76">
        <f>(IF(F$27="%w/w SAR",((F$28*10)*$B31),IF(F$27="%w/w DM",(((F$28*10)*($B$28/100))*$B31),IF(F$27="kg/t SAR",(F$28*$B31),IF(F$27="kg/t DM",((F$28*($B$28/100))*$B31),IF(F$27="mg/kg SAR",((F$28*0.001)*$B31),IF(F$27="mg/kg DM",(((F$28*0.001)*($B$28/100))*$B31),"0")))))))*1.658</f>
        <v>9.3560939999999988</v>
      </c>
      <c r="G31" s="76">
        <f t="shared" ref="G31:P46" si="5">IF(G$27="%w/w SAR",((G$28*10)*$B31),IF(G$27="%w/w DM",(((G$28*10)*($B$28/100))*$B31),IF(G$27="kg/t SAR",(G$28*$B31),IF(G$27="kg/t DM",((G$28*($B$28/100))*$B31),IF(G$27="mg/kg SAR",((G$28*0.001)*$B31),IF(G$27="mg/kg DM",(((G$28*0.001)*($B$28/100))*$B31),0))))))</f>
        <v>3.3345E-2</v>
      </c>
      <c r="H31" s="76">
        <f t="shared" si="5"/>
        <v>2.6975249999999997</v>
      </c>
      <c r="I31" s="76">
        <f t="shared" si="5"/>
        <v>0.15774750000000001</v>
      </c>
      <c r="J31" s="76">
        <f t="shared" si="5"/>
        <v>1.0473750000000002E-2</v>
      </c>
      <c r="K31" s="76">
        <f t="shared" si="5"/>
        <v>3.0352500000000002E-3</v>
      </c>
      <c r="L31" s="76">
        <f t="shared" si="5"/>
        <v>0.16800749999999998</v>
      </c>
      <c r="M31" s="76">
        <f t="shared" si="5"/>
        <v>5.1300000000000005E-2</v>
      </c>
      <c r="N31" s="76">
        <f t="shared" si="5"/>
        <v>25.906500000000005</v>
      </c>
      <c r="O31" s="76">
        <f t="shared" si="5"/>
        <v>1444.95</v>
      </c>
      <c r="P31" s="76">
        <f t="shared" si="5"/>
        <v>0</v>
      </c>
      <c r="Q31" s="76">
        <f>(IF(Q$27="%w/w SAR",((Q$28*10)*$B31),IF(Q$27="%w/w DM",(((Q$28*10)*($B$28/100))*$B31),IF(Q$27="kg/t SAR",(Q$28*$B31),IF(Q$27="kg/t DM",((Q$28*($B$28/100))*$B31),IF(Q$27="mg/kg SAR",((Q$28*0.001)*$B31),IF(Q$27="mg/kg DM",(((Q$28*0.001)*($B$28/100))*$B31),0)))))))*2.5</f>
        <v>26.825625000000002</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7.0109999999999992E-2</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150</v>
      </c>
      <c r="C32" s="76">
        <f t="shared" ref="C32:C50" si="6">IF(C$27="%w/w SAR",((C$28*10)*$B32),IF(C$27="%w/w DM",(((C$28*10)*($B$28/100))*$B32),IF(C$27="kg/t SAR",(C$28*$B32),IF(C$27="kg/t DM",((C$28*($B$28/100))*$B32),IF(C$27="mg/kg SAR",((C$28*0.001)*$B32),IF(C$27="mg/kg DM",(((C$28*0.001)*($B$28/100))*$B32),0))))))</f>
        <v>31.891500000000001</v>
      </c>
      <c r="D32" s="76">
        <f t="shared" ref="D32:D50" si="7">(IF(D$27="%w/w SAR",((D$28*10)*$B32),IF(D$27="%w/w DM",(((D$28*10)*($B$28/100))*$B32),IF(D$27="kg/t SAR",(D$28*$B32),IF(D$27="kg/t DM",((D$28*($B$28/100))*$B32),IF(D$27="mg/kg SAR",((D$28*0.001)*$B32),IF(D$27="mg/kg DM",(((D$28*0.001)*($B$28/100))*$B32),"0")))))))*2.291</f>
        <v>74.532530249999994</v>
      </c>
      <c r="E32" s="76">
        <f t="shared" ref="E32:E50" si="8">(IF(E$27="%w/w SAR",((E$28*10)*$B32),IF(E$27="%w/w DM",(((E$28*10)*($B$28/100))*$B32),IF(E$27="kg/t SAR",(E$28*$B32),IF(E$27="kg/t DM",((E$28*($B$28/100))*$B32),IF(E$27="mg/kg SAR",((E$28*0.001)*$B32),IF(E$27="mg/kg DM",(((E$28*0.001)*($B$28/100))*$B32),"0")))))))*1.205</f>
        <v>0.65937600000000007</v>
      </c>
      <c r="F32" s="76">
        <f t="shared" ref="F32:F50" si="9">(IF(F$27="%w/w SAR",((F$28*10)*$B32),IF(F$27="%w/w DM",(((F$28*10)*($B$28/100))*$B32),IF(F$27="kg/t SAR",(F$28*$B32),IF(F$27="kg/t DM",((F$28*($B$28/100))*$B32),IF(F$27="mg/kg SAR",((F$28*0.001)*$B32),IF(F$27="mg/kg DM",(((F$28*0.001)*($B$28/100))*$B32),"0")))))))*1.658</f>
        <v>9.3560939999999988</v>
      </c>
      <c r="G32" s="76">
        <f t="shared" si="5"/>
        <v>3.3345E-2</v>
      </c>
      <c r="H32" s="76">
        <f t="shared" si="5"/>
        <v>2.6975249999999997</v>
      </c>
      <c r="I32" s="76">
        <f t="shared" si="5"/>
        <v>0.15774750000000001</v>
      </c>
      <c r="J32" s="76">
        <f t="shared" si="5"/>
        <v>1.0473750000000002E-2</v>
      </c>
      <c r="K32" s="76">
        <f t="shared" si="5"/>
        <v>3.0352500000000002E-3</v>
      </c>
      <c r="L32" s="76">
        <f t="shared" si="5"/>
        <v>0.16800749999999998</v>
      </c>
      <c r="M32" s="76">
        <f t="shared" si="5"/>
        <v>5.1300000000000005E-2</v>
      </c>
      <c r="N32" s="76">
        <f t="shared" si="5"/>
        <v>25.906500000000005</v>
      </c>
      <c r="O32" s="76">
        <f t="shared" si="5"/>
        <v>1444.95</v>
      </c>
      <c r="P32" s="76">
        <f t="shared" si="5"/>
        <v>0</v>
      </c>
      <c r="Q32" s="76">
        <f t="shared" ref="Q32:Q50" si="10">(IF(Q$27="%w/w SAR",((Q$28*10)*$B32),IF(Q$27="%w/w DM",(((Q$28*10)*($B$28/100))*$B32),IF(Q$27="kg/t SAR",(Q$28*$B32),IF(Q$27="kg/t DM",((Q$28*($B$28/100))*$B32),IF(Q$27="mg/kg SAR",((Q$28*0.001)*$B32),IF(Q$27="mg/kg DM",(((Q$28*0.001)*($B$28/100))*$B32),0)))))))*2.5</f>
        <v>26.825625000000002</v>
      </c>
      <c r="R32" s="76">
        <f t="shared" ref="R32:U50" si="11">IF(R$27="%w/w SAR",((R$28*10)*$B32),IF(R$27="%w/w DM",(((R$28*10)*($B$28/100))*$B32),IF(R$27="kg/t SAR",(R$28*$B32),IF(R$27="kg/t DM",((R$28*($B$28/100))*$B32),IF(R$27="mg/kg SAR",((R$28*0.001)*$B32),IF(R$27="mg/kg DM",(((R$28*0.001)*($B$28/100))*$B32),0))))))</f>
        <v>0</v>
      </c>
      <c r="S32" s="76">
        <f t="shared" si="11"/>
        <v>7.0109999999999992E-2</v>
      </c>
      <c r="T32" s="76">
        <f t="shared" si="11"/>
        <v>0</v>
      </c>
      <c r="U32" s="76">
        <f t="shared" si="11"/>
        <v>0</v>
      </c>
      <c r="AB32" s="58"/>
      <c r="AC32" s="58"/>
      <c r="AD32" s="58"/>
      <c r="AE32" s="58"/>
      <c r="AF32" s="58"/>
      <c r="AG32" s="58"/>
      <c r="AH32" s="58"/>
      <c r="AI32" s="58"/>
    </row>
    <row r="33" spans="1:35" s="71" customFormat="1" ht="13" x14ac:dyDescent="0.35">
      <c r="A33" s="13">
        <f>E8</f>
        <v>3</v>
      </c>
      <c r="B33" s="15">
        <v>150</v>
      </c>
      <c r="C33" s="76">
        <f t="shared" si="6"/>
        <v>31.891500000000001</v>
      </c>
      <c r="D33" s="76">
        <f t="shared" si="7"/>
        <v>74.532530249999994</v>
      </c>
      <c r="E33" s="76">
        <f t="shared" si="8"/>
        <v>0.65937600000000007</v>
      </c>
      <c r="F33" s="76">
        <f t="shared" si="9"/>
        <v>9.3560939999999988</v>
      </c>
      <c r="G33" s="76">
        <f t="shared" si="5"/>
        <v>3.3345E-2</v>
      </c>
      <c r="H33" s="76">
        <f t="shared" si="5"/>
        <v>2.6975249999999997</v>
      </c>
      <c r="I33" s="76">
        <f t="shared" si="5"/>
        <v>0.15774750000000001</v>
      </c>
      <c r="J33" s="76">
        <f t="shared" si="5"/>
        <v>1.0473750000000002E-2</v>
      </c>
      <c r="K33" s="76">
        <f t="shared" si="5"/>
        <v>3.0352500000000002E-3</v>
      </c>
      <c r="L33" s="76">
        <f t="shared" si="5"/>
        <v>0.16800749999999998</v>
      </c>
      <c r="M33" s="76">
        <f t="shared" si="5"/>
        <v>5.1300000000000005E-2</v>
      </c>
      <c r="N33" s="76">
        <f t="shared" si="5"/>
        <v>25.906500000000005</v>
      </c>
      <c r="O33" s="76">
        <f t="shared" si="5"/>
        <v>1444.95</v>
      </c>
      <c r="P33" s="76">
        <f t="shared" si="5"/>
        <v>0</v>
      </c>
      <c r="Q33" s="76">
        <f t="shared" si="10"/>
        <v>26.825625000000002</v>
      </c>
      <c r="R33" s="76">
        <f t="shared" si="11"/>
        <v>0</v>
      </c>
      <c r="S33" s="76">
        <f t="shared" si="11"/>
        <v>7.0109999999999992E-2</v>
      </c>
      <c r="T33" s="76">
        <f t="shared" si="11"/>
        <v>0</v>
      </c>
      <c r="U33" s="76">
        <f t="shared" si="11"/>
        <v>0</v>
      </c>
      <c r="AB33" s="58"/>
      <c r="AC33" s="58"/>
      <c r="AD33" s="58"/>
      <c r="AE33" s="58"/>
      <c r="AF33" s="58"/>
      <c r="AG33" s="58"/>
      <c r="AH33" s="58"/>
      <c r="AI33" s="58"/>
    </row>
    <row r="34" spans="1:35" s="71" customFormat="1" ht="13" x14ac:dyDescent="0.35">
      <c r="A34" s="13">
        <f>F8</f>
        <v>4</v>
      </c>
      <c r="B34" s="15">
        <v>150</v>
      </c>
      <c r="C34" s="76">
        <f t="shared" si="6"/>
        <v>31.891500000000001</v>
      </c>
      <c r="D34" s="76">
        <f t="shared" si="7"/>
        <v>74.532530249999994</v>
      </c>
      <c r="E34" s="76">
        <f t="shared" si="8"/>
        <v>0.65937600000000007</v>
      </c>
      <c r="F34" s="76">
        <f t="shared" si="9"/>
        <v>9.3560939999999988</v>
      </c>
      <c r="G34" s="76">
        <f t="shared" si="5"/>
        <v>3.3345E-2</v>
      </c>
      <c r="H34" s="76">
        <f t="shared" si="5"/>
        <v>2.6975249999999997</v>
      </c>
      <c r="I34" s="76">
        <f t="shared" si="5"/>
        <v>0.15774750000000001</v>
      </c>
      <c r="J34" s="76">
        <f t="shared" si="5"/>
        <v>1.0473750000000002E-2</v>
      </c>
      <c r="K34" s="76">
        <f t="shared" si="5"/>
        <v>3.0352500000000002E-3</v>
      </c>
      <c r="L34" s="76">
        <f t="shared" si="5"/>
        <v>0.16800749999999998</v>
      </c>
      <c r="M34" s="76">
        <f t="shared" si="5"/>
        <v>5.1300000000000005E-2</v>
      </c>
      <c r="N34" s="76">
        <f t="shared" si="5"/>
        <v>25.906500000000005</v>
      </c>
      <c r="O34" s="76">
        <f t="shared" si="5"/>
        <v>1444.95</v>
      </c>
      <c r="P34" s="76">
        <f t="shared" si="5"/>
        <v>0</v>
      </c>
      <c r="Q34" s="76">
        <f t="shared" si="10"/>
        <v>26.825625000000002</v>
      </c>
      <c r="R34" s="76">
        <f t="shared" si="11"/>
        <v>0</v>
      </c>
      <c r="S34" s="76">
        <f t="shared" si="11"/>
        <v>7.0109999999999992E-2</v>
      </c>
      <c r="T34" s="76">
        <f t="shared" si="11"/>
        <v>0</v>
      </c>
      <c r="U34" s="76">
        <f t="shared" si="11"/>
        <v>0</v>
      </c>
      <c r="AB34" s="58"/>
      <c r="AC34" s="58"/>
      <c r="AD34" s="58"/>
      <c r="AE34" s="58"/>
      <c r="AF34" s="58"/>
      <c r="AG34" s="58"/>
      <c r="AH34" s="58"/>
      <c r="AI34" s="58"/>
    </row>
    <row r="35" spans="1:35" s="71" customFormat="1" ht="13" x14ac:dyDescent="0.35">
      <c r="A35" s="13">
        <f>G8</f>
        <v>5</v>
      </c>
      <c r="B35" s="15">
        <v>150</v>
      </c>
      <c r="C35" s="76">
        <f t="shared" si="6"/>
        <v>31.891500000000001</v>
      </c>
      <c r="D35" s="76">
        <f t="shared" si="7"/>
        <v>74.532530249999994</v>
      </c>
      <c r="E35" s="76">
        <f t="shared" si="8"/>
        <v>0.65937600000000007</v>
      </c>
      <c r="F35" s="76">
        <f t="shared" si="9"/>
        <v>9.3560939999999988</v>
      </c>
      <c r="G35" s="76">
        <f t="shared" si="5"/>
        <v>3.3345E-2</v>
      </c>
      <c r="H35" s="76">
        <f t="shared" si="5"/>
        <v>2.6975249999999997</v>
      </c>
      <c r="I35" s="76">
        <f t="shared" si="5"/>
        <v>0.15774750000000001</v>
      </c>
      <c r="J35" s="76">
        <f t="shared" si="5"/>
        <v>1.0473750000000002E-2</v>
      </c>
      <c r="K35" s="76">
        <f t="shared" si="5"/>
        <v>3.0352500000000002E-3</v>
      </c>
      <c r="L35" s="76">
        <f t="shared" si="5"/>
        <v>0.16800749999999998</v>
      </c>
      <c r="M35" s="76">
        <f t="shared" si="5"/>
        <v>5.1300000000000005E-2</v>
      </c>
      <c r="N35" s="76">
        <f t="shared" si="5"/>
        <v>25.906500000000005</v>
      </c>
      <c r="O35" s="76">
        <f t="shared" si="5"/>
        <v>1444.95</v>
      </c>
      <c r="P35" s="76">
        <f t="shared" si="5"/>
        <v>0</v>
      </c>
      <c r="Q35" s="76">
        <f t="shared" si="10"/>
        <v>26.825625000000002</v>
      </c>
      <c r="R35" s="76">
        <f t="shared" si="11"/>
        <v>0</v>
      </c>
      <c r="S35" s="76">
        <f t="shared" si="11"/>
        <v>7.0109999999999992E-2</v>
      </c>
      <c r="T35" s="76">
        <f t="shared" si="11"/>
        <v>0</v>
      </c>
      <c r="U35" s="76">
        <f t="shared" si="11"/>
        <v>0</v>
      </c>
      <c r="AB35" s="58"/>
      <c r="AC35" s="58"/>
      <c r="AD35" s="58"/>
      <c r="AE35" s="58"/>
      <c r="AF35" s="58"/>
      <c r="AG35" s="58"/>
      <c r="AH35" s="58"/>
      <c r="AI35" s="58"/>
    </row>
    <row r="36" spans="1:35" s="71" customFormat="1" ht="13" x14ac:dyDescent="0.35">
      <c r="A36" s="13">
        <f>H8</f>
        <v>6</v>
      </c>
      <c r="B36" s="15">
        <v>150</v>
      </c>
      <c r="C36" s="76">
        <f t="shared" si="6"/>
        <v>31.891500000000001</v>
      </c>
      <c r="D36" s="76">
        <f t="shared" si="7"/>
        <v>74.532530249999994</v>
      </c>
      <c r="E36" s="76">
        <f t="shared" si="8"/>
        <v>0.65937600000000007</v>
      </c>
      <c r="F36" s="76">
        <f t="shared" si="9"/>
        <v>9.3560939999999988</v>
      </c>
      <c r="G36" s="76">
        <f t="shared" si="5"/>
        <v>3.3345E-2</v>
      </c>
      <c r="H36" s="76">
        <f t="shared" si="5"/>
        <v>2.6975249999999997</v>
      </c>
      <c r="I36" s="76">
        <f t="shared" si="5"/>
        <v>0.15774750000000001</v>
      </c>
      <c r="J36" s="76">
        <f t="shared" si="5"/>
        <v>1.0473750000000002E-2</v>
      </c>
      <c r="K36" s="76">
        <f t="shared" si="5"/>
        <v>3.0352500000000002E-3</v>
      </c>
      <c r="L36" s="76">
        <f t="shared" si="5"/>
        <v>0.16800749999999998</v>
      </c>
      <c r="M36" s="76">
        <f t="shared" si="5"/>
        <v>5.1300000000000005E-2</v>
      </c>
      <c r="N36" s="76">
        <f t="shared" si="5"/>
        <v>25.906500000000005</v>
      </c>
      <c r="O36" s="76">
        <f t="shared" si="5"/>
        <v>1444.95</v>
      </c>
      <c r="P36" s="76">
        <f t="shared" si="5"/>
        <v>0</v>
      </c>
      <c r="Q36" s="76">
        <f t="shared" si="10"/>
        <v>26.825625000000002</v>
      </c>
      <c r="R36" s="76">
        <f t="shared" si="11"/>
        <v>0</v>
      </c>
      <c r="S36" s="76">
        <f t="shared" si="11"/>
        <v>7.0109999999999992E-2</v>
      </c>
      <c r="T36" s="76">
        <f t="shared" si="11"/>
        <v>0</v>
      </c>
      <c r="U36" s="76">
        <f t="shared" si="11"/>
        <v>0</v>
      </c>
      <c r="AB36" s="58"/>
      <c r="AC36" s="58"/>
      <c r="AD36" s="58"/>
      <c r="AE36" s="58"/>
      <c r="AF36" s="58"/>
      <c r="AG36" s="58"/>
      <c r="AH36" s="58"/>
      <c r="AI36" s="58"/>
    </row>
    <row r="37" spans="1:35" s="71" customFormat="1" ht="13" x14ac:dyDescent="0.35">
      <c r="A37" s="13">
        <f>I8</f>
        <v>7</v>
      </c>
      <c r="B37" s="15">
        <v>150</v>
      </c>
      <c r="C37" s="76">
        <f t="shared" si="6"/>
        <v>31.891500000000001</v>
      </c>
      <c r="D37" s="76">
        <f t="shared" si="7"/>
        <v>74.532530249999994</v>
      </c>
      <c r="E37" s="76">
        <f t="shared" si="8"/>
        <v>0.65937600000000007</v>
      </c>
      <c r="F37" s="76">
        <f t="shared" si="9"/>
        <v>9.3560939999999988</v>
      </c>
      <c r="G37" s="76">
        <f t="shared" si="5"/>
        <v>3.3345E-2</v>
      </c>
      <c r="H37" s="76">
        <f t="shared" si="5"/>
        <v>2.6975249999999997</v>
      </c>
      <c r="I37" s="76">
        <f t="shared" si="5"/>
        <v>0.15774750000000001</v>
      </c>
      <c r="J37" s="76">
        <f t="shared" si="5"/>
        <v>1.0473750000000002E-2</v>
      </c>
      <c r="K37" s="76">
        <f t="shared" si="5"/>
        <v>3.0352500000000002E-3</v>
      </c>
      <c r="L37" s="76">
        <f t="shared" si="5"/>
        <v>0.16800749999999998</v>
      </c>
      <c r="M37" s="76">
        <f t="shared" si="5"/>
        <v>5.1300000000000005E-2</v>
      </c>
      <c r="N37" s="76">
        <f t="shared" si="5"/>
        <v>25.906500000000005</v>
      </c>
      <c r="O37" s="76">
        <f t="shared" si="5"/>
        <v>1444.95</v>
      </c>
      <c r="P37" s="76">
        <f t="shared" si="5"/>
        <v>0</v>
      </c>
      <c r="Q37" s="76">
        <f t="shared" si="10"/>
        <v>26.825625000000002</v>
      </c>
      <c r="R37" s="76">
        <f t="shared" si="11"/>
        <v>0</v>
      </c>
      <c r="S37" s="76">
        <f t="shared" si="11"/>
        <v>7.0109999999999992E-2</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250</v>
      </c>
      <c r="C38" s="76">
        <f t="shared" si="6"/>
        <v>53.152499999999996</v>
      </c>
      <c r="D38" s="76">
        <f t="shared" si="7"/>
        <v>124.22088375000001</v>
      </c>
      <c r="E38" s="76">
        <f t="shared" si="8"/>
        <v>1.0989600000000002</v>
      </c>
      <c r="F38" s="76">
        <f t="shared" si="9"/>
        <v>15.593489999999997</v>
      </c>
      <c r="G38" s="76">
        <f t="shared" si="5"/>
        <v>5.5574999999999999E-2</v>
      </c>
      <c r="H38" s="76">
        <f t="shared" si="5"/>
        <v>4.4958749999999998</v>
      </c>
      <c r="I38" s="76">
        <f t="shared" si="5"/>
        <v>0.26291250000000005</v>
      </c>
      <c r="J38" s="76">
        <f t="shared" si="5"/>
        <v>1.7456250000000003E-2</v>
      </c>
      <c r="K38" s="76">
        <f t="shared" si="5"/>
        <v>5.0587500000000007E-3</v>
      </c>
      <c r="L38" s="76">
        <f t="shared" si="5"/>
        <v>0.28001249999999994</v>
      </c>
      <c r="M38" s="76">
        <f t="shared" si="5"/>
        <v>8.5500000000000007E-2</v>
      </c>
      <c r="N38" s="76">
        <f t="shared" si="5"/>
        <v>43.177500000000009</v>
      </c>
      <c r="O38" s="76">
        <f t="shared" si="5"/>
        <v>2408.25</v>
      </c>
      <c r="P38" s="76">
        <f t="shared" si="5"/>
        <v>0</v>
      </c>
      <c r="Q38" s="76">
        <f t="shared" si="10"/>
        <v>44.709375000000009</v>
      </c>
      <c r="R38" s="76">
        <f t="shared" si="11"/>
        <v>0</v>
      </c>
      <c r="S38" s="76">
        <f t="shared" si="11"/>
        <v>0.11685</v>
      </c>
      <c r="T38" s="76">
        <f t="shared" si="11"/>
        <v>0</v>
      </c>
      <c r="U38" s="76">
        <f t="shared" si="11"/>
        <v>0</v>
      </c>
      <c r="AB38" s="58"/>
      <c r="AC38" s="58"/>
      <c r="AD38" s="58"/>
      <c r="AE38" s="58"/>
      <c r="AF38" s="58"/>
      <c r="AG38" s="58"/>
      <c r="AH38" s="58"/>
      <c r="AI38" s="58"/>
    </row>
    <row r="39" spans="1:35" s="71" customFormat="1" ht="13" x14ac:dyDescent="0.35">
      <c r="A39" s="13">
        <f>K8</f>
        <v>20</v>
      </c>
      <c r="B39" s="15">
        <v>150</v>
      </c>
      <c r="C39" s="76">
        <f t="shared" si="6"/>
        <v>31.891500000000001</v>
      </c>
      <c r="D39" s="76">
        <f t="shared" si="7"/>
        <v>74.532530249999994</v>
      </c>
      <c r="E39" s="76">
        <f t="shared" si="8"/>
        <v>0.65937600000000007</v>
      </c>
      <c r="F39" s="76">
        <f t="shared" si="9"/>
        <v>9.3560939999999988</v>
      </c>
      <c r="G39" s="76">
        <f t="shared" si="5"/>
        <v>3.3345E-2</v>
      </c>
      <c r="H39" s="76">
        <f t="shared" si="5"/>
        <v>2.6975249999999997</v>
      </c>
      <c r="I39" s="76">
        <f t="shared" si="5"/>
        <v>0.15774750000000001</v>
      </c>
      <c r="J39" s="76">
        <f t="shared" si="5"/>
        <v>1.0473750000000002E-2</v>
      </c>
      <c r="K39" s="76">
        <f t="shared" si="5"/>
        <v>3.0352500000000002E-3</v>
      </c>
      <c r="L39" s="76">
        <f t="shared" si="5"/>
        <v>0.16800749999999998</v>
      </c>
      <c r="M39" s="76">
        <f t="shared" si="5"/>
        <v>5.1300000000000005E-2</v>
      </c>
      <c r="N39" s="76">
        <f t="shared" si="5"/>
        <v>25.906500000000005</v>
      </c>
      <c r="O39" s="76">
        <f t="shared" si="5"/>
        <v>1444.95</v>
      </c>
      <c r="P39" s="76">
        <f t="shared" si="5"/>
        <v>0</v>
      </c>
      <c r="Q39" s="76">
        <f t="shared" si="10"/>
        <v>26.825625000000002</v>
      </c>
      <c r="R39" s="76">
        <f t="shared" si="11"/>
        <v>0</v>
      </c>
      <c r="S39" s="76">
        <f t="shared" si="11"/>
        <v>7.0109999999999992E-2</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str">
        <f>J16&amp;" I "&amp;(VLOOKUP(J14,Table245810[],6,FALSE))</f>
        <v>Medium/Clay I Grass</v>
      </c>
      <c r="J58" s="13" t="str">
        <f>K16&amp;" I "&amp;(VLOOKUP(K14,Table245810[],6,FALSE))</f>
        <v>Medium/Clay I Grass</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0" t="s">
        <v>132</v>
      </c>
      <c r="B59" s="75">
        <f>VLOOKUP(C$14,Table245810[],5,FALSE)</f>
        <v>6.2</v>
      </c>
      <c r="C59" s="75">
        <f>VLOOKUP(D$14,Table245810[],5,FALSE)</f>
        <v>6.2</v>
      </c>
      <c r="D59" s="75">
        <f>VLOOKUP(E$14,Table245810[],5,FALSE)</f>
        <v>6.2</v>
      </c>
      <c r="E59" s="75">
        <f>VLOOKUP(F$14,Table245810[],5,FALSE)</f>
        <v>6.2</v>
      </c>
      <c r="F59" s="75">
        <f>VLOOKUP(G$14,Table245810[],5,FALSE)</f>
        <v>6.2</v>
      </c>
      <c r="G59" s="75">
        <f>VLOOKUP(H$14,Table245810[],5,FALSE)</f>
        <v>6.2</v>
      </c>
      <c r="H59" s="75">
        <f>VLOOKUP(I$14,Table245810[],5,FALSE)</f>
        <v>6.2</v>
      </c>
      <c r="I59" s="75">
        <f>VLOOKUP(J$14,Table245810[],5,FALSE)</f>
        <v>6.2</v>
      </c>
      <c r="J59" s="75">
        <f>VLOOKUP(K$14,Table245810[],5,FALSE)</f>
        <v>6.2</v>
      </c>
      <c r="K59" s="75" t="e">
        <f>VLOOKUP(L$14,Table245810[],5,FALSE)</f>
        <v>#N/A</v>
      </c>
      <c r="L59" s="75" t="e">
        <f>VLOOKUP(M$14,Table245810[],5,FALSE)</f>
        <v>#N/A</v>
      </c>
      <c r="M59" s="75" t="e">
        <f>VLOOKUP(N$14,Table245810[],5,FALSE)</f>
        <v>#N/A</v>
      </c>
      <c r="N59" s="75" t="e">
        <f>VLOOKUP(O$14,Table245810[],5,FALSE)</f>
        <v>#N/A</v>
      </c>
      <c r="O59" s="75" t="e">
        <f>VLOOKUP(P$14,Table245810[],5,FALSE)</f>
        <v>#N/A</v>
      </c>
      <c r="P59" s="75" t="e">
        <f>VLOOKUP(Q$14,Table245810[],5,FALSE)</f>
        <v>#N/A</v>
      </c>
      <c r="Q59" s="75" t="e">
        <f>VLOOKUP(R$14,Table245810[],5,FALSE)</f>
        <v>#N/A</v>
      </c>
      <c r="R59" s="75" t="e">
        <f>VLOOKUP(S$14,Table245810[],5,FALSE)</f>
        <v>#N/A</v>
      </c>
      <c r="S59" s="75" t="e">
        <f>VLOOKUP(T$14,Table245810[],5,FALSE)</f>
        <v>#N/A</v>
      </c>
      <c r="T59" s="75" t="e">
        <f>VLOOKUP(U$14,Table245810[],5,FALSE)</f>
        <v>#N/A</v>
      </c>
      <c r="U59" s="75" t="e">
        <f>VLOOKUP(V$14,Table245810[],5,FALSE)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150</v>
      </c>
      <c r="C62" s="76">
        <f>B32</f>
        <v>150</v>
      </c>
      <c r="D62" s="76">
        <f>B33</f>
        <v>150</v>
      </c>
      <c r="E62" s="76">
        <f>B34</f>
        <v>150</v>
      </c>
      <c r="F62" s="76">
        <f>B35</f>
        <v>150</v>
      </c>
      <c r="G62" s="76">
        <f>B36</f>
        <v>150</v>
      </c>
      <c r="H62" s="76">
        <f>B37</f>
        <v>150</v>
      </c>
      <c r="I62" s="76">
        <f>B38</f>
        <v>250</v>
      </c>
      <c r="J62" s="76">
        <f>B39</f>
        <v>150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62:U66 B31:B50">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A7" zoomScale="90" zoomScaleNormal="9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6.1</v>
      </c>
      <c r="J1" s="128" t="s">
        <v>153</v>
      </c>
      <c r="K1" s="128"/>
      <c r="L1" s="96">
        <v>228</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0.90200000000000002</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2.5277161862527717</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14.4440677</v>
      </c>
      <c r="D18" s="16">
        <f>$D32</f>
        <v>14.4440677</v>
      </c>
      <c r="E18" s="16">
        <f>$D33</f>
        <v>14.4440677</v>
      </c>
      <c r="F18" s="16">
        <f>$D34</f>
        <v>14.4440677</v>
      </c>
      <c r="G18" s="16">
        <f>$D35</f>
        <v>14.4440677</v>
      </c>
      <c r="H18" s="16">
        <f>$D36</f>
        <v>14.4440677</v>
      </c>
      <c r="I18" s="16">
        <f>$D37</f>
        <v>14.4440677</v>
      </c>
      <c r="J18" s="16">
        <f>$D38</f>
        <v>14.4440677</v>
      </c>
      <c r="K18" s="16">
        <f>$D39</f>
        <v>7.5109152040000007</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-50.155932299999996</v>
      </c>
      <c r="D19" s="16">
        <f t="shared" ref="D19:V19" si="1">D18-D17</f>
        <v>-50.155932299999996</v>
      </c>
      <c r="E19" s="16">
        <f t="shared" si="1"/>
        <v>-50.155932299999996</v>
      </c>
      <c r="F19" s="16">
        <f t="shared" si="1"/>
        <v>-50.155932299999996</v>
      </c>
      <c r="G19" s="16">
        <f t="shared" si="1"/>
        <v>-50.155932299999996</v>
      </c>
      <c r="H19" s="16">
        <f t="shared" si="1"/>
        <v>-50.155932299999996</v>
      </c>
      <c r="I19" s="16">
        <f t="shared" si="1"/>
        <v>-50.155932299999996</v>
      </c>
      <c r="J19" s="16">
        <f t="shared" si="1"/>
        <v>-50.155932299999996</v>
      </c>
      <c r="K19" s="16">
        <f t="shared" si="1"/>
        <v>-57.089084795999995</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(VLOOKUP(D$14,$AI2:$AK24,3,FALSE))*D$15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0.70239450000000003</v>
      </c>
      <c r="D22" s="16">
        <f>$E32</f>
        <v>0.70239450000000003</v>
      </c>
      <c r="E22" s="16">
        <f>$E33</f>
        <v>0.70239450000000003</v>
      </c>
      <c r="F22" s="16">
        <f>$E34</f>
        <v>0.70239450000000003</v>
      </c>
      <c r="G22" s="16">
        <f>$E35</f>
        <v>0.70239450000000003</v>
      </c>
      <c r="H22" s="16">
        <f>$E36</f>
        <v>0.70239450000000003</v>
      </c>
      <c r="I22" s="16">
        <f>$E37</f>
        <v>0.70239450000000003</v>
      </c>
      <c r="J22" s="16">
        <f>$E38</f>
        <v>0.70239450000000003</v>
      </c>
      <c r="K22" s="16">
        <f>$E39</f>
        <v>0.36524514000000002</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-227.2976055</v>
      </c>
      <c r="D23" s="16">
        <f t="shared" ref="D23:V23" si="3">D22-D21</f>
        <v>-227.2976055</v>
      </c>
      <c r="E23" s="16">
        <f t="shared" si="3"/>
        <v>-227.2976055</v>
      </c>
      <c r="F23" s="16">
        <f t="shared" si="3"/>
        <v>-227.2976055</v>
      </c>
      <c r="G23" s="16">
        <f t="shared" si="3"/>
        <v>-227.2976055</v>
      </c>
      <c r="H23" s="16">
        <f t="shared" si="3"/>
        <v>-227.2976055</v>
      </c>
      <c r="I23" s="16">
        <f t="shared" si="3"/>
        <v>-227.2976055</v>
      </c>
      <c r="J23" s="16">
        <f t="shared" si="3"/>
        <v>-227.2976055</v>
      </c>
      <c r="K23" s="16">
        <f t="shared" si="3"/>
        <v>-227.63475485999999</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c r="S27" s="106" t="s">
        <v>55</v>
      </c>
      <c r="T27" s="106"/>
      <c r="U27" s="106"/>
    </row>
    <row r="28" spans="1:40" s="56" customFormat="1" x14ac:dyDescent="0.35">
      <c r="A28" s="107"/>
      <c r="B28" s="23">
        <v>2.68</v>
      </c>
      <c r="C28" s="15">
        <v>0.90200000000000002</v>
      </c>
      <c r="D28" s="15">
        <v>9.4100000000000003E-2</v>
      </c>
      <c r="E28" s="15">
        <v>8.6999999999999994E-3</v>
      </c>
      <c r="F28" s="15">
        <v>440</v>
      </c>
      <c r="G28" s="15">
        <v>20.100000000000001</v>
      </c>
      <c r="H28" s="15">
        <v>114</v>
      </c>
      <c r="I28" s="15">
        <v>16.8</v>
      </c>
      <c r="J28" s="15">
        <v>0.95</v>
      </c>
      <c r="K28" s="15">
        <v>0.75</v>
      </c>
      <c r="L28" s="15">
        <v>14</v>
      </c>
      <c r="M28" s="15">
        <v>11.8</v>
      </c>
      <c r="N28" s="15">
        <v>2950</v>
      </c>
      <c r="O28" s="15">
        <v>423000</v>
      </c>
      <c r="P28" s="15"/>
      <c r="Q28" s="15">
        <v>3500</v>
      </c>
      <c r="R28" s="15"/>
      <c r="S28" s="15">
        <v>44.1</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60.434000000000005</v>
      </c>
      <c r="D31" s="76">
        <f>(IF(D$27="%w/w SAR",((D$28*10)*$B31),IF(D$27="%w/w DM",(((D$28*10)*($B$28/100))*$B31),IF(D$27="kg/t SAR",(D$28*$B31),IF(D$27="kg/t DM",((D$28*($B$28/100))*$B31),IF(D$27="mg/kg SAR",((D$28*0.001)*$B31),IF(D$27="mg/kg DM",(((D$28*0.001)*($B$28/100))*$B31),"0")))))))*2.291</f>
        <v>14.4440677</v>
      </c>
      <c r="E31" s="76">
        <f>(IF(E$27="%w/w SAR",((E$28*10)*$B31),IF(E$27="%w/w DM",(((E$28*10)*($B$28/100))*$B31),IF(E$27="kg/t SAR",(E$28*$B31),IF(E$27="kg/t DM",((E$28*($B$28/100))*$B31),IF(E$27="mg/kg SAR",((E$28*0.001)*$B31),IF(E$27="mg/kg DM",(((E$28*0.001)*($B$28/100))*$B31),"0")))))))*1.205</f>
        <v>0.70239450000000003</v>
      </c>
      <c r="F31" s="76">
        <f>(IF(F$27="%w/w SAR",((F$28*10)*$B31),IF(F$27="%w/w DM",(((F$28*10)*($B$28/100))*$B31),IF(F$27="kg/t SAR",(F$28*$B31),IF(F$27="kg/t DM",((F$28*($B$28/100))*$B31),IF(F$27="mg/kg SAR",((F$28*0.001)*$B31),IF(F$27="mg/kg DM",(((F$28*0.001)*($B$28/100))*$B31),"0")))))))*1.658</f>
        <v>4.8877839999999999</v>
      </c>
      <c r="G31" s="76">
        <f t="shared" ref="G31:P46" si="5">IF(G$27="%w/w SAR",((G$28*10)*$B31),IF(G$27="%w/w DM",(((G$28*10)*($B$28/100))*$B31),IF(G$27="kg/t SAR",(G$28*$B31),IF(G$27="kg/t DM",((G$28*($B$28/100))*$B31),IF(G$27="mg/kg SAR",((G$28*0.001)*$B31),IF(G$27="mg/kg DM",(((G$28*0.001)*($B$28/100))*$B31),0))))))</f>
        <v>0.13467000000000004</v>
      </c>
      <c r="H31" s="76">
        <f t="shared" si="5"/>
        <v>0.76380000000000003</v>
      </c>
      <c r="I31" s="76">
        <f t="shared" si="5"/>
        <v>0.11256000000000002</v>
      </c>
      <c r="J31" s="76">
        <f t="shared" si="5"/>
        <v>6.365E-3</v>
      </c>
      <c r="K31" s="76">
        <f t="shared" si="5"/>
        <v>5.025E-3</v>
      </c>
      <c r="L31" s="76">
        <f t="shared" si="5"/>
        <v>9.3800000000000008E-2</v>
      </c>
      <c r="M31" s="76">
        <f t="shared" si="5"/>
        <v>7.9060000000000019E-2</v>
      </c>
      <c r="N31" s="76">
        <f t="shared" si="5"/>
        <v>19.765000000000001</v>
      </c>
      <c r="O31" s="76">
        <f t="shared" si="5"/>
        <v>2834.1000000000004</v>
      </c>
      <c r="P31" s="76">
        <f t="shared" si="5"/>
        <v>0</v>
      </c>
      <c r="Q31" s="76">
        <f>(IF(Q$27="%w/w SAR",((Q$28*10)*$B31),IF(Q$27="%w/w DM",(((Q$28*10)*($B$28/100))*$B31),IF(Q$27="kg/t SAR",(Q$28*$B31),IF(Q$27="kg/t DM",((Q$28*($B$28/100))*$B31),IF(Q$27="mg/kg SAR",((Q$28*0.001)*$B31),IF(Q$27="mg/kg DM",(((Q$28*0.001)*($B$28/100))*$B31),0)))))))*2.5</f>
        <v>58.625000000000007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0.29547000000000001</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250</v>
      </c>
      <c r="C32" s="76">
        <f t="shared" ref="C32:C50" si="6">IF(C$27="%w/w SAR",((C$28*10)*$B32),IF(C$27="%w/w DM",(((C$28*10)*($B$28/100))*$B32),IF(C$27="kg/t SAR",(C$28*$B32),IF(C$27="kg/t DM",((C$28*($B$28/100))*$B32),IF(C$27="mg/kg SAR",((C$28*0.001)*$B32),IF(C$27="mg/kg DM",(((C$28*0.001)*($B$28/100))*$B32),0))))))</f>
        <v>60.434000000000005</v>
      </c>
      <c r="D32" s="76">
        <f t="shared" ref="D32:D50" si="7">(IF(D$27="%w/w SAR",((D$28*10)*$B32),IF(D$27="%w/w DM",(((D$28*10)*($B$28/100))*$B32),IF(D$27="kg/t SAR",(D$28*$B32),IF(D$27="kg/t DM",((D$28*($B$28/100))*$B32),IF(D$27="mg/kg SAR",((D$28*0.001)*$B32),IF(D$27="mg/kg DM",(((D$28*0.001)*($B$28/100))*$B32),"0")))))))*2.291</f>
        <v>14.4440677</v>
      </c>
      <c r="E32" s="76">
        <f t="shared" ref="E32:E50" si="8">(IF(E$27="%w/w SAR",((E$28*10)*$B32),IF(E$27="%w/w DM",(((E$28*10)*($B$28/100))*$B32),IF(E$27="kg/t SAR",(E$28*$B32),IF(E$27="kg/t DM",((E$28*($B$28/100))*$B32),IF(E$27="mg/kg SAR",((E$28*0.001)*$B32),IF(E$27="mg/kg DM",(((E$28*0.001)*($B$28/100))*$B32),"0")))))))*1.205</f>
        <v>0.70239450000000003</v>
      </c>
      <c r="F32" s="76">
        <f t="shared" ref="F32:F50" si="9">(IF(F$27="%w/w SAR",((F$28*10)*$B32),IF(F$27="%w/w DM",(((F$28*10)*($B$28/100))*$B32),IF(F$27="kg/t SAR",(F$28*$B32),IF(F$27="kg/t DM",((F$28*($B$28/100))*$B32),IF(F$27="mg/kg SAR",((F$28*0.001)*$B32),IF(F$27="mg/kg DM",(((F$28*0.001)*($B$28/100))*$B32),"0")))))))*1.658</f>
        <v>4.8877839999999999</v>
      </c>
      <c r="G32" s="76">
        <f t="shared" si="5"/>
        <v>0.13467000000000004</v>
      </c>
      <c r="H32" s="76">
        <f t="shared" si="5"/>
        <v>0.76380000000000003</v>
      </c>
      <c r="I32" s="76">
        <f t="shared" si="5"/>
        <v>0.11256000000000002</v>
      </c>
      <c r="J32" s="76">
        <f t="shared" si="5"/>
        <v>6.365E-3</v>
      </c>
      <c r="K32" s="76">
        <f t="shared" si="5"/>
        <v>5.025E-3</v>
      </c>
      <c r="L32" s="76">
        <f t="shared" si="5"/>
        <v>9.3800000000000008E-2</v>
      </c>
      <c r="M32" s="76">
        <f t="shared" si="5"/>
        <v>7.9060000000000019E-2</v>
      </c>
      <c r="N32" s="76">
        <f t="shared" si="5"/>
        <v>19.765000000000001</v>
      </c>
      <c r="O32" s="76">
        <f t="shared" si="5"/>
        <v>2834.1000000000004</v>
      </c>
      <c r="P32" s="76">
        <f t="shared" si="5"/>
        <v>0</v>
      </c>
      <c r="Q32" s="76">
        <f t="shared" ref="Q32:Q50" si="10">(IF(Q$27="%w/w SAR",((Q$28*10)*$B32),IF(Q$27="%w/w DM",(((Q$28*10)*($B$28/100))*$B32),IF(Q$27="kg/t SAR",(Q$28*$B32),IF(Q$27="kg/t DM",((Q$28*($B$28/100))*$B32),IF(Q$27="mg/kg SAR",((Q$28*0.001)*$B32),IF(Q$27="mg/kg DM",(((Q$28*0.001)*($B$28/100))*$B32),0)))))))*2.5</f>
        <v>58.625000000000007</v>
      </c>
      <c r="R32" s="76">
        <f t="shared" ref="R32:U50" si="11">IF(R$27="%w/w SAR",((R$28*10)*$B32),IF(R$27="%w/w DM",(((R$28*10)*($B$28/100))*$B32),IF(R$27="kg/t SAR",(R$28*$B32),IF(R$27="kg/t DM",((R$28*($B$28/100))*$B32),IF(R$27="mg/kg SAR",((R$28*0.001)*$B32),IF(R$27="mg/kg DM",(((R$28*0.001)*($B$28/100))*$B32),0))))))</f>
        <v>0</v>
      </c>
      <c r="S32" s="76">
        <f t="shared" si="11"/>
        <v>0.29547000000000001</v>
      </c>
      <c r="T32" s="76">
        <f t="shared" si="11"/>
        <v>0</v>
      </c>
      <c r="U32" s="76">
        <f t="shared" si="11"/>
        <v>0</v>
      </c>
      <c r="AB32" s="58"/>
      <c r="AC32" s="58"/>
      <c r="AD32" s="58"/>
      <c r="AE32" s="58"/>
      <c r="AF32" s="58"/>
      <c r="AG32" s="58"/>
      <c r="AH32" s="58"/>
      <c r="AI32" s="58"/>
    </row>
    <row r="33" spans="1:35" s="71" customFormat="1" ht="13" x14ac:dyDescent="0.35">
      <c r="A33" s="13">
        <f>E8</f>
        <v>3</v>
      </c>
      <c r="B33" s="15">
        <v>250</v>
      </c>
      <c r="C33" s="76">
        <f t="shared" si="6"/>
        <v>60.434000000000005</v>
      </c>
      <c r="D33" s="76">
        <f t="shared" si="7"/>
        <v>14.4440677</v>
      </c>
      <c r="E33" s="76">
        <f t="shared" si="8"/>
        <v>0.70239450000000003</v>
      </c>
      <c r="F33" s="76">
        <f t="shared" si="9"/>
        <v>4.8877839999999999</v>
      </c>
      <c r="G33" s="76">
        <f t="shared" si="5"/>
        <v>0.13467000000000004</v>
      </c>
      <c r="H33" s="76">
        <f t="shared" si="5"/>
        <v>0.76380000000000003</v>
      </c>
      <c r="I33" s="76">
        <f t="shared" si="5"/>
        <v>0.11256000000000002</v>
      </c>
      <c r="J33" s="76">
        <f t="shared" si="5"/>
        <v>6.365E-3</v>
      </c>
      <c r="K33" s="76">
        <f t="shared" si="5"/>
        <v>5.025E-3</v>
      </c>
      <c r="L33" s="76">
        <f t="shared" si="5"/>
        <v>9.3800000000000008E-2</v>
      </c>
      <c r="M33" s="76">
        <f t="shared" si="5"/>
        <v>7.9060000000000019E-2</v>
      </c>
      <c r="N33" s="76">
        <f t="shared" si="5"/>
        <v>19.765000000000001</v>
      </c>
      <c r="O33" s="76">
        <f t="shared" si="5"/>
        <v>2834.1000000000004</v>
      </c>
      <c r="P33" s="76">
        <f t="shared" si="5"/>
        <v>0</v>
      </c>
      <c r="Q33" s="76">
        <f t="shared" si="10"/>
        <v>58.625000000000007</v>
      </c>
      <c r="R33" s="76">
        <f t="shared" si="11"/>
        <v>0</v>
      </c>
      <c r="S33" s="76">
        <f t="shared" si="11"/>
        <v>0.29547000000000001</v>
      </c>
      <c r="T33" s="76">
        <f t="shared" si="11"/>
        <v>0</v>
      </c>
      <c r="U33" s="76">
        <f t="shared" si="11"/>
        <v>0</v>
      </c>
      <c r="AB33" s="58"/>
      <c r="AC33" s="58"/>
      <c r="AD33" s="58"/>
      <c r="AE33" s="58"/>
      <c r="AF33" s="58"/>
      <c r="AG33" s="58"/>
      <c r="AH33" s="58"/>
      <c r="AI33" s="58"/>
    </row>
    <row r="34" spans="1:35" s="71" customFormat="1" ht="13" x14ac:dyDescent="0.35">
      <c r="A34" s="13">
        <f>F8</f>
        <v>4</v>
      </c>
      <c r="B34" s="15">
        <v>250</v>
      </c>
      <c r="C34" s="76">
        <f t="shared" si="6"/>
        <v>60.434000000000005</v>
      </c>
      <c r="D34" s="76">
        <f t="shared" si="7"/>
        <v>14.4440677</v>
      </c>
      <c r="E34" s="76">
        <f t="shared" si="8"/>
        <v>0.70239450000000003</v>
      </c>
      <c r="F34" s="76">
        <f t="shared" si="9"/>
        <v>4.8877839999999999</v>
      </c>
      <c r="G34" s="76">
        <f t="shared" si="5"/>
        <v>0.13467000000000004</v>
      </c>
      <c r="H34" s="76">
        <f t="shared" si="5"/>
        <v>0.76380000000000003</v>
      </c>
      <c r="I34" s="76">
        <f t="shared" si="5"/>
        <v>0.11256000000000002</v>
      </c>
      <c r="J34" s="76">
        <f t="shared" si="5"/>
        <v>6.365E-3</v>
      </c>
      <c r="K34" s="76">
        <f t="shared" si="5"/>
        <v>5.025E-3</v>
      </c>
      <c r="L34" s="76">
        <f t="shared" si="5"/>
        <v>9.3800000000000008E-2</v>
      </c>
      <c r="M34" s="76">
        <f t="shared" si="5"/>
        <v>7.9060000000000019E-2</v>
      </c>
      <c r="N34" s="76">
        <f t="shared" si="5"/>
        <v>19.765000000000001</v>
      </c>
      <c r="O34" s="76">
        <f t="shared" si="5"/>
        <v>2834.1000000000004</v>
      </c>
      <c r="P34" s="76">
        <f t="shared" si="5"/>
        <v>0</v>
      </c>
      <c r="Q34" s="76">
        <f t="shared" si="10"/>
        <v>58.625000000000007</v>
      </c>
      <c r="R34" s="76">
        <f t="shared" si="11"/>
        <v>0</v>
      </c>
      <c r="S34" s="76">
        <f t="shared" si="11"/>
        <v>0.29547000000000001</v>
      </c>
      <c r="T34" s="76">
        <f t="shared" si="11"/>
        <v>0</v>
      </c>
      <c r="U34" s="76">
        <f t="shared" si="11"/>
        <v>0</v>
      </c>
      <c r="AB34" s="58"/>
      <c r="AC34" s="58"/>
      <c r="AD34" s="58"/>
      <c r="AE34" s="58"/>
      <c r="AF34" s="58"/>
      <c r="AG34" s="58"/>
      <c r="AH34" s="58"/>
      <c r="AI34" s="58"/>
    </row>
    <row r="35" spans="1:35" s="71" customFormat="1" ht="13" x14ac:dyDescent="0.35">
      <c r="A35" s="13">
        <f>G8</f>
        <v>5</v>
      </c>
      <c r="B35" s="15">
        <v>250</v>
      </c>
      <c r="C35" s="76">
        <f t="shared" si="6"/>
        <v>60.434000000000005</v>
      </c>
      <c r="D35" s="76">
        <f t="shared" si="7"/>
        <v>14.4440677</v>
      </c>
      <c r="E35" s="76">
        <f t="shared" si="8"/>
        <v>0.70239450000000003</v>
      </c>
      <c r="F35" s="76">
        <f t="shared" si="9"/>
        <v>4.8877839999999999</v>
      </c>
      <c r="G35" s="76">
        <f t="shared" si="5"/>
        <v>0.13467000000000004</v>
      </c>
      <c r="H35" s="76">
        <f t="shared" si="5"/>
        <v>0.76380000000000003</v>
      </c>
      <c r="I35" s="76">
        <f t="shared" si="5"/>
        <v>0.11256000000000002</v>
      </c>
      <c r="J35" s="76">
        <f t="shared" si="5"/>
        <v>6.365E-3</v>
      </c>
      <c r="K35" s="76">
        <f t="shared" si="5"/>
        <v>5.025E-3</v>
      </c>
      <c r="L35" s="76">
        <f t="shared" si="5"/>
        <v>9.3800000000000008E-2</v>
      </c>
      <c r="M35" s="76">
        <f t="shared" si="5"/>
        <v>7.9060000000000019E-2</v>
      </c>
      <c r="N35" s="76">
        <f t="shared" si="5"/>
        <v>19.765000000000001</v>
      </c>
      <c r="O35" s="76">
        <f t="shared" si="5"/>
        <v>2834.1000000000004</v>
      </c>
      <c r="P35" s="76">
        <f t="shared" si="5"/>
        <v>0</v>
      </c>
      <c r="Q35" s="76">
        <f t="shared" si="10"/>
        <v>58.625000000000007</v>
      </c>
      <c r="R35" s="76">
        <f t="shared" si="11"/>
        <v>0</v>
      </c>
      <c r="S35" s="76">
        <f t="shared" si="11"/>
        <v>0.29547000000000001</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60.434000000000005</v>
      </c>
      <c r="D36" s="76">
        <f t="shared" si="7"/>
        <v>14.4440677</v>
      </c>
      <c r="E36" s="76">
        <f t="shared" si="8"/>
        <v>0.70239450000000003</v>
      </c>
      <c r="F36" s="76">
        <f t="shared" si="9"/>
        <v>4.8877839999999999</v>
      </c>
      <c r="G36" s="76">
        <f t="shared" si="5"/>
        <v>0.13467000000000004</v>
      </c>
      <c r="H36" s="76">
        <f t="shared" si="5"/>
        <v>0.76380000000000003</v>
      </c>
      <c r="I36" s="76">
        <f t="shared" si="5"/>
        <v>0.11256000000000002</v>
      </c>
      <c r="J36" s="76">
        <f t="shared" si="5"/>
        <v>6.365E-3</v>
      </c>
      <c r="K36" s="76">
        <f t="shared" si="5"/>
        <v>5.025E-3</v>
      </c>
      <c r="L36" s="76">
        <f t="shared" si="5"/>
        <v>9.3800000000000008E-2</v>
      </c>
      <c r="M36" s="76">
        <f t="shared" si="5"/>
        <v>7.9060000000000019E-2</v>
      </c>
      <c r="N36" s="76">
        <f t="shared" si="5"/>
        <v>19.765000000000001</v>
      </c>
      <c r="O36" s="76">
        <f t="shared" si="5"/>
        <v>2834.1000000000004</v>
      </c>
      <c r="P36" s="76">
        <f t="shared" si="5"/>
        <v>0</v>
      </c>
      <c r="Q36" s="76">
        <f t="shared" si="10"/>
        <v>58.625000000000007</v>
      </c>
      <c r="R36" s="76">
        <f t="shared" si="11"/>
        <v>0</v>
      </c>
      <c r="S36" s="76">
        <f t="shared" si="11"/>
        <v>0.29547000000000001</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60.434000000000005</v>
      </c>
      <c r="D37" s="76">
        <f t="shared" si="7"/>
        <v>14.4440677</v>
      </c>
      <c r="E37" s="76">
        <f t="shared" si="8"/>
        <v>0.70239450000000003</v>
      </c>
      <c r="F37" s="76">
        <f t="shared" si="9"/>
        <v>4.8877839999999999</v>
      </c>
      <c r="G37" s="76">
        <f t="shared" si="5"/>
        <v>0.13467000000000004</v>
      </c>
      <c r="H37" s="76">
        <f t="shared" si="5"/>
        <v>0.76380000000000003</v>
      </c>
      <c r="I37" s="76">
        <f t="shared" si="5"/>
        <v>0.11256000000000002</v>
      </c>
      <c r="J37" s="76">
        <f t="shared" si="5"/>
        <v>6.365E-3</v>
      </c>
      <c r="K37" s="76">
        <f t="shared" si="5"/>
        <v>5.025E-3</v>
      </c>
      <c r="L37" s="76">
        <f t="shared" si="5"/>
        <v>9.3800000000000008E-2</v>
      </c>
      <c r="M37" s="76">
        <f t="shared" si="5"/>
        <v>7.9060000000000019E-2</v>
      </c>
      <c r="N37" s="76">
        <f t="shared" si="5"/>
        <v>19.765000000000001</v>
      </c>
      <c r="O37" s="76">
        <f t="shared" si="5"/>
        <v>2834.1000000000004</v>
      </c>
      <c r="P37" s="76">
        <f t="shared" si="5"/>
        <v>0</v>
      </c>
      <c r="Q37" s="76">
        <f t="shared" si="10"/>
        <v>58.625000000000007</v>
      </c>
      <c r="R37" s="76">
        <f t="shared" si="11"/>
        <v>0</v>
      </c>
      <c r="S37" s="76">
        <f t="shared" si="11"/>
        <v>0.29547000000000001</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250</v>
      </c>
      <c r="C38" s="76">
        <f t="shared" si="6"/>
        <v>60.434000000000005</v>
      </c>
      <c r="D38" s="76">
        <f t="shared" si="7"/>
        <v>14.4440677</v>
      </c>
      <c r="E38" s="76">
        <f t="shared" si="8"/>
        <v>0.70239450000000003</v>
      </c>
      <c r="F38" s="76">
        <f t="shared" si="9"/>
        <v>4.8877839999999999</v>
      </c>
      <c r="G38" s="76">
        <f t="shared" si="5"/>
        <v>0.13467000000000004</v>
      </c>
      <c r="H38" s="76">
        <f t="shared" si="5"/>
        <v>0.76380000000000003</v>
      </c>
      <c r="I38" s="76">
        <f t="shared" si="5"/>
        <v>0.11256000000000002</v>
      </c>
      <c r="J38" s="76">
        <f t="shared" si="5"/>
        <v>6.365E-3</v>
      </c>
      <c r="K38" s="76">
        <f t="shared" si="5"/>
        <v>5.025E-3</v>
      </c>
      <c r="L38" s="76">
        <f t="shared" si="5"/>
        <v>9.3800000000000008E-2</v>
      </c>
      <c r="M38" s="76">
        <f t="shared" si="5"/>
        <v>7.9060000000000019E-2</v>
      </c>
      <c r="N38" s="76">
        <f t="shared" si="5"/>
        <v>19.765000000000001</v>
      </c>
      <c r="O38" s="76">
        <f t="shared" si="5"/>
        <v>2834.1000000000004</v>
      </c>
      <c r="P38" s="76">
        <f t="shared" si="5"/>
        <v>0</v>
      </c>
      <c r="Q38" s="76">
        <f t="shared" si="10"/>
        <v>58.625000000000007</v>
      </c>
      <c r="R38" s="76">
        <f t="shared" si="11"/>
        <v>0</v>
      </c>
      <c r="S38" s="76">
        <f t="shared" si="11"/>
        <v>0.29547000000000001</v>
      </c>
      <c r="T38" s="76">
        <f t="shared" si="11"/>
        <v>0</v>
      </c>
      <c r="U38" s="76">
        <f t="shared" si="11"/>
        <v>0</v>
      </c>
      <c r="AB38" s="58"/>
      <c r="AC38" s="58"/>
      <c r="AD38" s="58"/>
      <c r="AE38" s="58"/>
      <c r="AF38" s="58"/>
      <c r="AG38" s="58"/>
      <c r="AH38" s="58"/>
      <c r="AI38" s="58"/>
    </row>
    <row r="39" spans="1:35" s="71" customFormat="1" ht="13" x14ac:dyDescent="0.35">
      <c r="A39" s="13">
        <f>K8</f>
        <v>20</v>
      </c>
      <c r="B39" s="15">
        <v>130</v>
      </c>
      <c r="C39" s="76">
        <f t="shared" si="6"/>
        <v>31.42568</v>
      </c>
      <c r="D39" s="76">
        <f t="shared" si="7"/>
        <v>7.5109152040000007</v>
      </c>
      <c r="E39" s="76">
        <f t="shared" si="8"/>
        <v>0.36524514000000002</v>
      </c>
      <c r="F39" s="76">
        <f t="shared" si="9"/>
        <v>2.5416476800000001</v>
      </c>
      <c r="G39" s="76">
        <f t="shared" si="5"/>
        <v>7.0028400000000018E-2</v>
      </c>
      <c r="H39" s="76">
        <f t="shared" si="5"/>
        <v>0.39717600000000003</v>
      </c>
      <c r="I39" s="76">
        <f t="shared" si="5"/>
        <v>5.8531200000000012E-2</v>
      </c>
      <c r="J39" s="76">
        <f t="shared" si="5"/>
        <v>3.3097999999999999E-3</v>
      </c>
      <c r="K39" s="76">
        <f t="shared" si="5"/>
        <v>2.6129999999999999E-3</v>
      </c>
      <c r="L39" s="76">
        <f t="shared" si="5"/>
        <v>4.8776E-2</v>
      </c>
      <c r="M39" s="76">
        <f t="shared" si="5"/>
        <v>4.1111200000000007E-2</v>
      </c>
      <c r="N39" s="76">
        <f t="shared" si="5"/>
        <v>10.277800000000001</v>
      </c>
      <c r="O39" s="76">
        <f t="shared" si="5"/>
        <v>1473.7320000000002</v>
      </c>
      <c r="P39" s="76">
        <f t="shared" si="5"/>
        <v>0</v>
      </c>
      <c r="Q39" s="76">
        <f t="shared" si="10"/>
        <v>30.485000000000003</v>
      </c>
      <c r="R39" s="76">
        <f t="shared" si="11"/>
        <v>0</v>
      </c>
      <c r="S39" s="76">
        <f t="shared" si="11"/>
        <v>0.15364439999999999</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str">
        <f>J16&amp;" I "&amp;(VLOOKUP(J14,Table245811[],6,FALSE))</f>
        <v>Medium/Clay I Grass</v>
      </c>
      <c r="J58" s="13" t="str">
        <f>K16&amp;" I "&amp;(VLOOKUP(K14,Table245811[],6,FALSE))</f>
        <v>Medium/Clay I Grass</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0" t="s">
        <v>132</v>
      </c>
      <c r="B59" s="75">
        <f>VLOOKUP(C$14,Table245811[],5,FALSE)</f>
        <v>6.2</v>
      </c>
      <c r="C59" s="75">
        <f>VLOOKUP(D$14,Table245811[],5,FALSE)</f>
        <v>6.2</v>
      </c>
      <c r="D59" s="75">
        <f>VLOOKUP(E$14,Table245811[],5,FALSE)</f>
        <v>6.2</v>
      </c>
      <c r="E59" s="75">
        <f>VLOOKUP(F$14,Table245811[],5,FALSE)</f>
        <v>6.2</v>
      </c>
      <c r="F59" s="75">
        <f>VLOOKUP(G$14,Table245811[],5,FALSE)</f>
        <v>6.2</v>
      </c>
      <c r="G59" s="75">
        <f>VLOOKUP(H$14,Table245811[],5,FALSE)</f>
        <v>6.2</v>
      </c>
      <c r="H59" s="75">
        <f>VLOOKUP(I$14,Table245811[],5,FALSE)</f>
        <v>6.2</v>
      </c>
      <c r="I59" s="75">
        <f>VLOOKUP(J$14,Table245811[],5,FALSE)</f>
        <v>6.2</v>
      </c>
      <c r="J59" s="75">
        <f>VLOOKUP(K$14,Table245811[],5,FALSE)</f>
        <v>6.2</v>
      </c>
      <c r="K59" s="75" t="e">
        <f>VLOOKUP(L$14,Table245811[],5,FALSE)</f>
        <v>#N/A</v>
      </c>
      <c r="L59" s="75" t="e">
        <f>VLOOKUP(M$14,Table245811[],5,FALSE)</f>
        <v>#N/A</v>
      </c>
      <c r="M59" s="75" t="e">
        <f>VLOOKUP(N$14,Table245811[],5,FALSE)</f>
        <v>#N/A</v>
      </c>
      <c r="N59" s="75" t="e">
        <f>VLOOKUP(O$14,Table245811[],5,FALSE)</f>
        <v>#N/A</v>
      </c>
      <c r="O59" s="75" t="e">
        <f>VLOOKUP(P$14,Table245811[],5,FALSE)</f>
        <v>#N/A</v>
      </c>
      <c r="P59" s="75" t="e">
        <f>VLOOKUP(Q$14,Table245811[],5,FALSE)</f>
        <v>#N/A</v>
      </c>
      <c r="Q59" s="75" t="e">
        <f>VLOOKUP(R$14,Table245811[],5,FALSE)</f>
        <v>#N/A</v>
      </c>
      <c r="R59" s="75" t="e">
        <f>VLOOKUP(S$14,Table245811[],5,FALSE)</f>
        <v>#N/A</v>
      </c>
      <c r="S59" s="75" t="e">
        <f>VLOOKUP(T$14,Table245811[],5,FALSE)</f>
        <v>#N/A</v>
      </c>
      <c r="T59" s="75" t="e">
        <f>VLOOKUP(U$14,Table245811[],5,FALSE)</f>
        <v>#N/A</v>
      </c>
      <c r="U59" s="75" t="e">
        <f>VLOOKUP(V$14,Table245811[],5,FALSE)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130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62:U66 B31:B50">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A7" zoomScale="90" zoomScaleNormal="90" workbookViewId="0">
      <selection activeCell="B40" sqref="B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6.9</v>
      </c>
      <c r="J1" s="128" t="s">
        <v>153</v>
      </c>
      <c r="K1" s="128"/>
      <c r="L1" s="96">
        <v>243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1.1499999999999999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2.1130434782608698</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6.8867459999999996</v>
      </c>
      <c r="D18" s="16">
        <f>$D32</f>
        <v>6.8867459999999996</v>
      </c>
      <c r="E18" s="16">
        <f>$D33</f>
        <v>6.8867459999999996</v>
      </c>
      <c r="F18" s="16">
        <f>$D34</f>
        <v>6.8867459999999996</v>
      </c>
      <c r="G18" s="16">
        <f>$D35</f>
        <v>6.8867459999999996</v>
      </c>
      <c r="H18" s="16">
        <f>$D36</f>
        <v>6.8867459999999996</v>
      </c>
      <c r="I18" s="16">
        <f>$D37</f>
        <v>6.8867459999999996</v>
      </c>
      <c r="J18" s="16">
        <f>$D38</f>
        <v>6.8867459999999996</v>
      </c>
      <c r="K18" s="16">
        <f>$D39</f>
        <v>1.92828888</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-57.713253999999992</v>
      </c>
      <c r="D19" s="16">
        <f t="shared" ref="D19:V19" si="1">D18-D17</f>
        <v>-57.713253999999992</v>
      </c>
      <c r="E19" s="16">
        <f t="shared" si="1"/>
        <v>-57.713253999999992</v>
      </c>
      <c r="F19" s="16">
        <f t="shared" si="1"/>
        <v>-57.713253999999992</v>
      </c>
      <c r="G19" s="16">
        <f t="shared" si="1"/>
        <v>-57.713253999999992</v>
      </c>
      <c r="H19" s="16">
        <f t="shared" si="1"/>
        <v>-57.713253999999992</v>
      </c>
      <c r="I19" s="16">
        <f t="shared" si="1"/>
        <v>-57.713253999999992</v>
      </c>
      <c r="J19" s="16">
        <f t="shared" si="1"/>
        <v>-57.713253999999992</v>
      </c>
      <c r="K19" s="16">
        <f t="shared" si="1"/>
        <v>-62.671711119999998</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DECREASE</v>
      </c>
      <c r="E20" s="25" t="str">
        <f>IF($B33="","",IF(E$19&gt;=0,"INCREASE","DECREASE"))</f>
        <v>DECREASE</v>
      </c>
      <c r="F20" s="25" t="str">
        <f>IF($B34="","",IF(F$19&gt;=0,"INCREASE","DECREASE"))</f>
        <v>DECREASE</v>
      </c>
      <c r="G20" s="25" t="str">
        <f>IF($B35="","",IF(G$19&gt;=0,"INCREASE","DECREASE"))</f>
        <v>DECREASE</v>
      </c>
      <c r="H20" s="25" t="str">
        <f>IF($B36="","",IF(H$19&gt;=0,"INCREASE","DECREASE"))</f>
        <v>DECREASE</v>
      </c>
      <c r="I20" s="25" t="str">
        <f>IF($B37="","",IF(I$19&gt;=0,"INCREASE","DECREASE"))</f>
        <v>DECREASE</v>
      </c>
      <c r="J20" s="25" t="str">
        <f>IF($B38="","",IF(J$19&gt;=0,"INCREASE","DECREASE"))</f>
        <v>DECREASE</v>
      </c>
      <c r="K20" s="25" t="str">
        <f>IF($B39="","",IF(K$19&gt;=0,"INCREASE","DECREASE"))</f>
        <v>DECREASE</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2.6461800000000002</v>
      </c>
      <c r="D22" s="16">
        <f>$E32</f>
        <v>2.6461800000000002</v>
      </c>
      <c r="E22" s="16">
        <f>$E33</f>
        <v>2.6461800000000002</v>
      </c>
      <c r="F22" s="16">
        <f>$E34</f>
        <v>2.6461800000000002</v>
      </c>
      <c r="G22" s="16">
        <f>$E35</f>
        <v>2.6461800000000002</v>
      </c>
      <c r="H22" s="16">
        <f>$E36</f>
        <v>2.6461800000000002</v>
      </c>
      <c r="I22" s="16">
        <f>$E37</f>
        <v>2.6461800000000002</v>
      </c>
      <c r="J22" s="16">
        <f>$E38</f>
        <v>2.6461800000000002</v>
      </c>
      <c r="K22" s="16">
        <f>$E39</f>
        <v>0.74093039999999999</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-225.35382000000001</v>
      </c>
      <c r="D23" s="16">
        <f t="shared" ref="D23:V23" si="3">D22-D21</f>
        <v>-225.35382000000001</v>
      </c>
      <c r="E23" s="16">
        <f t="shared" si="3"/>
        <v>-225.35382000000001</v>
      </c>
      <c r="F23" s="16">
        <f t="shared" si="3"/>
        <v>-225.35382000000001</v>
      </c>
      <c r="G23" s="16">
        <f t="shared" si="3"/>
        <v>-225.35382000000001</v>
      </c>
      <c r="H23" s="16">
        <f t="shared" si="3"/>
        <v>-225.35382000000001</v>
      </c>
      <c r="I23" s="16">
        <f t="shared" si="3"/>
        <v>-225.35382000000001</v>
      </c>
      <c r="J23" s="16">
        <f t="shared" si="3"/>
        <v>-225.35382000000001</v>
      </c>
      <c r="K23" s="16">
        <f t="shared" si="3"/>
        <v>-227.2590696</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2.4</v>
      </c>
      <c r="C28" s="15">
        <v>1.1499999999999999</v>
      </c>
      <c r="D28" s="15">
        <v>5.0099999999999999E-2</v>
      </c>
      <c r="E28" s="15">
        <v>3.6600000000000001E-2</v>
      </c>
      <c r="F28" s="15">
        <v>656</v>
      </c>
      <c r="G28" s="15">
        <v>36.5</v>
      </c>
      <c r="H28" s="15">
        <v>159</v>
      </c>
      <c r="I28" s="15">
        <v>26</v>
      </c>
      <c r="J28" s="15">
        <v>0.9</v>
      </c>
      <c r="K28" s="15">
        <v>0.84</v>
      </c>
      <c r="L28" s="15">
        <v>8.3000000000000007</v>
      </c>
      <c r="M28" s="15">
        <v>8.8800000000000008</v>
      </c>
      <c r="N28" s="15">
        <v>2730</v>
      </c>
      <c r="O28" s="15">
        <v>404000</v>
      </c>
      <c r="P28" s="15"/>
      <c r="Q28" s="15">
        <v>6640</v>
      </c>
      <c r="R28" s="15"/>
      <c r="S28" s="15">
        <v>89.3</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69</v>
      </c>
      <c r="D31" s="76">
        <f>(IF(D$27="%w/w SAR",((D$28*10)*$B31),IF(D$27="%w/w DM",(((D$28*10)*($B$28/100))*$B31),IF(D$27="kg/t SAR",(D$28*$B31),IF(D$27="kg/t DM",((D$28*($B$28/100))*$B31),IF(D$27="mg/kg SAR",((D$28*0.001)*$B31),IF(D$27="mg/kg DM",(((D$28*0.001)*($B$28/100))*$B31),"0")))))))*2.291</f>
        <v>6.8867459999999996</v>
      </c>
      <c r="E31" s="76">
        <f>(IF(E$27="%w/w SAR",((E$28*10)*$B31),IF(E$27="%w/w DM",(((E$28*10)*($B$28/100))*$B31),IF(E$27="kg/t SAR",(E$28*$B31),IF(E$27="kg/t DM",((E$28*($B$28/100))*$B31),IF(E$27="mg/kg SAR",((E$28*0.001)*$B31),IF(E$27="mg/kg DM",(((E$28*0.001)*($B$28/100))*$B31),"0")))))))*1.205</f>
        <v>2.6461800000000002</v>
      </c>
      <c r="F31" s="76">
        <f>(IF(F$27="%w/w SAR",((F$28*10)*$B31),IF(F$27="%w/w DM",(((F$28*10)*($B$28/100))*$B31),IF(F$27="kg/t SAR",(F$28*$B31),IF(F$27="kg/t DM",((F$28*($B$28/100))*$B31),IF(F$27="mg/kg SAR",((F$28*0.001)*$B31),IF(F$27="mg/kg DM",(((F$28*0.001)*($B$28/100))*$B31),"0")))))))*1.658</f>
        <v>6.5258880000000001</v>
      </c>
      <c r="G31" s="76">
        <f t="shared" ref="G31:P46" si="5">IF(G$27="%w/w SAR",((G$28*10)*$B31),IF(G$27="%w/w DM",(((G$28*10)*($B$28/100))*$B31),IF(G$27="kg/t SAR",(G$28*$B31),IF(G$27="kg/t DM",((G$28*($B$28/100))*$B31),IF(G$27="mg/kg SAR",((G$28*0.001)*$B31),IF(G$27="mg/kg DM",(((G$28*0.001)*($B$28/100))*$B31),0))))))</f>
        <v>0.21899999999999997</v>
      </c>
      <c r="H31" s="76">
        <f t="shared" si="5"/>
        <v>0.95399999999999996</v>
      </c>
      <c r="I31" s="76">
        <f t="shared" si="5"/>
        <v>0.15600000000000003</v>
      </c>
      <c r="J31" s="76">
        <f t="shared" si="5"/>
        <v>5.4000000000000012E-3</v>
      </c>
      <c r="K31" s="76">
        <f t="shared" si="5"/>
        <v>5.0400000000000002E-3</v>
      </c>
      <c r="L31" s="76">
        <f t="shared" si="5"/>
        <v>4.9800000000000004E-2</v>
      </c>
      <c r="M31" s="76">
        <f t="shared" si="5"/>
        <v>5.3280000000000008E-2</v>
      </c>
      <c r="N31" s="76">
        <f t="shared" si="5"/>
        <v>16.38</v>
      </c>
      <c r="O31" s="76">
        <f t="shared" si="5"/>
        <v>2424</v>
      </c>
      <c r="P31" s="76">
        <f t="shared" si="5"/>
        <v>0</v>
      </c>
      <c r="Q31" s="76">
        <f>(IF(Q$27="%w/w SAR",((Q$28*10)*$B31),IF(Q$27="%w/w DM",(((Q$28*10)*($B$28/100))*$B31),IF(Q$27="kg/t SAR",(Q$28*$B31),IF(Q$27="kg/t DM",((Q$28*($B$28/100))*$B31),IF(Q$27="mg/kg SAR",((Q$28*0.001)*$B31),IF(Q$27="mg/kg DM",(((Q$28*0.001)*($B$28/100))*$B31),0)))))))*2.5</f>
        <v>99.600000000000023</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0.53580000000000005</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v>250</v>
      </c>
      <c r="C32" s="76">
        <f t="shared" ref="C32:C50" si="6">IF(C$27="%w/w SAR",((C$28*10)*$B32),IF(C$27="%w/w DM",(((C$28*10)*($B$28/100))*$B32),IF(C$27="kg/t SAR",(C$28*$B32),IF(C$27="kg/t DM",((C$28*($B$28/100))*$B32),IF(C$27="mg/kg SAR",((C$28*0.001)*$B32),IF(C$27="mg/kg DM",(((C$28*0.001)*($B$28/100))*$B32),0))))))</f>
        <v>69</v>
      </c>
      <c r="D32" s="76">
        <f t="shared" ref="D32:D50" si="7">(IF(D$27="%w/w SAR",((D$28*10)*$B32),IF(D$27="%w/w DM",(((D$28*10)*($B$28/100))*$B32),IF(D$27="kg/t SAR",(D$28*$B32),IF(D$27="kg/t DM",((D$28*($B$28/100))*$B32),IF(D$27="mg/kg SAR",((D$28*0.001)*$B32),IF(D$27="mg/kg DM",(((D$28*0.001)*($B$28/100))*$B32),"0")))))))*2.291</f>
        <v>6.8867459999999996</v>
      </c>
      <c r="E32" s="76">
        <f t="shared" ref="E32:E50" si="8">(IF(E$27="%w/w SAR",((E$28*10)*$B32),IF(E$27="%w/w DM",(((E$28*10)*($B$28/100))*$B32),IF(E$27="kg/t SAR",(E$28*$B32),IF(E$27="kg/t DM",((E$28*($B$28/100))*$B32),IF(E$27="mg/kg SAR",((E$28*0.001)*$B32),IF(E$27="mg/kg DM",(((E$28*0.001)*($B$28/100))*$B32),"0")))))))*1.205</f>
        <v>2.6461800000000002</v>
      </c>
      <c r="F32" s="76">
        <f t="shared" ref="F32:F50" si="9">(IF(F$27="%w/w SAR",((F$28*10)*$B32),IF(F$27="%w/w DM",(((F$28*10)*($B$28/100))*$B32),IF(F$27="kg/t SAR",(F$28*$B32),IF(F$27="kg/t DM",((F$28*($B$28/100))*$B32),IF(F$27="mg/kg SAR",((F$28*0.001)*$B32),IF(F$27="mg/kg DM",(((F$28*0.001)*($B$28/100))*$B32),"0")))))))*1.658</f>
        <v>6.5258880000000001</v>
      </c>
      <c r="G32" s="76">
        <f t="shared" si="5"/>
        <v>0.21899999999999997</v>
      </c>
      <c r="H32" s="76">
        <f t="shared" si="5"/>
        <v>0.95399999999999996</v>
      </c>
      <c r="I32" s="76">
        <f t="shared" si="5"/>
        <v>0.15600000000000003</v>
      </c>
      <c r="J32" s="76">
        <f t="shared" si="5"/>
        <v>5.4000000000000012E-3</v>
      </c>
      <c r="K32" s="76">
        <f t="shared" si="5"/>
        <v>5.0400000000000002E-3</v>
      </c>
      <c r="L32" s="76">
        <f t="shared" si="5"/>
        <v>4.9800000000000004E-2</v>
      </c>
      <c r="M32" s="76">
        <f t="shared" si="5"/>
        <v>5.3280000000000008E-2</v>
      </c>
      <c r="N32" s="76">
        <f t="shared" si="5"/>
        <v>16.38</v>
      </c>
      <c r="O32" s="76">
        <f t="shared" si="5"/>
        <v>2424</v>
      </c>
      <c r="P32" s="76">
        <f t="shared" si="5"/>
        <v>0</v>
      </c>
      <c r="Q32" s="76">
        <f t="shared" ref="Q32:Q50" si="10">(IF(Q$27="%w/w SAR",((Q$28*10)*$B32),IF(Q$27="%w/w DM",(((Q$28*10)*($B$28/100))*$B32),IF(Q$27="kg/t SAR",(Q$28*$B32),IF(Q$27="kg/t DM",((Q$28*($B$28/100))*$B32),IF(Q$27="mg/kg SAR",((Q$28*0.001)*$B32),IF(Q$27="mg/kg DM",(((Q$28*0.001)*($B$28/100))*$B32),0)))))))*2.5</f>
        <v>99.600000000000023</v>
      </c>
      <c r="R32" s="76">
        <f t="shared" ref="R32:U50" si="11">IF(R$27="%w/w SAR",((R$28*10)*$B32),IF(R$27="%w/w DM",(((R$28*10)*($B$28/100))*$B32),IF(R$27="kg/t SAR",(R$28*$B32),IF(R$27="kg/t DM",((R$28*($B$28/100))*$B32),IF(R$27="mg/kg SAR",((R$28*0.001)*$B32),IF(R$27="mg/kg DM",(((R$28*0.001)*($B$28/100))*$B32),0))))))</f>
        <v>0</v>
      </c>
      <c r="S32" s="76">
        <f t="shared" si="11"/>
        <v>0.53580000000000005</v>
      </c>
      <c r="T32" s="76">
        <f t="shared" si="11"/>
        <v>0</v>
      </c>
      <c r="U32" s="76">
        <f t="shared" si="11"/>
        <v>0</v>
      </c>
      <c r="AB32" s="58"/>
      <c r="AC32" s="58"/>
      <c r="AD32" s="58"/>
      <c r="AE32" s="58"/>
      <c r="AF32" s="58"/>
      <c r="AG32" s="58"/>
      <c r="AH32" s="58"/>
      <c r="AI32" s="58"/>
    </row>
    <row r="33" spans="1:35" s="71" customFormat="1" ht="13" x14ac:dyDescent="0.35">
      <c r="A33" s="13">
        <f>E8</f>
        <v>3</v>
      </c>
      <c r="B33" s="15">
        <v>250</v>
      </c>
      <c r="C33" s="76">
        <f t="shared" si="6"/>
        <v>69</v>
      </c>
      <c r="D33" s="76">
        <f t="shared" si="7"/>
        <v>6.8867459999999996</v>
      </c>
      <c r="E33" s="76">
        <f t="shared" si="8"/>
        <v>2.6461800000000002</v>
      </c>
      <c r="F33" s="76">
        <f t="shared" si="9"/>
        <v>6.5258880000000001</v>
      </c>
      <c r="G33" s="76">
        <f t="shared" si="5"/>
        <v>0.21899999999999997</v>
      </c>
      <c r="H33" s="76">
        <f t="shared" si="5"/>
        <v>0.95399999999999996</v>
      </c>
      <c r="I33" s="76">
        <f t="shared" si="5"/>
        <v>0.15600000000000003</v>
      </c>
      <c r="J33" s="76">
        <f t="shared" si="5"/>
        <v>5.4000000000000012E-3</v>
      </c>
      <c r="K33" s="76">
        <f t="shared" si="5"/>
        <v>5.0400000000000002E-3</v>
      </c>
      <c r="L33" s="76">
        <f t="shared" si="5"/>
        <v>4.9800000000000004E-2</v>
      </c>
      <c r="M33" s="76">
        <f t="shared" si="5"/>
        <v>5.3280000000000008E-2</v>
      </c>
      <c r="N33" s="76">
        <f t="shared" si="5"/>
        <v>16.38</v>
      </c>
      <c r="O33" s="76">
        <f t="shared" si="5"/>
        <v>2424</v>
      </c>
      <c r="P33" s="76">
        <f t="shared" si="5"/>
        <v>0</v>
      </c>
      <c r="Q33" s="76">
        <f t="shared" si="10"/>
        <v>99.600000000000023</v>
      </c>
      <c r="R33" s="76">
        <f t="shared" si="11"/>
        <v>0</v>
      </c>
      <c r="S33" s="76">
        <f t="shared" si="11"/>
        <v>0.53580000000000005</v>
      </c>
      <c r="T33" s="76">
        <f t="shared" si="11"/>
        <v>0</v>
      </c>
      <c r="U33" s="76">
        <f t="shared" si="11"/>
        <v>0</v>
      </c>
      <c r="AB33" s="58"/>
      <c r="AC33" s="58"/>
      <c r="AD33" s="58"/>
      <c r="AE33" s="58"/>
      <c r="AF33" s="58"/>
      <c r="AG33" s="58"/>
      <c r="AH33" s="58"/>
      <c r="AI33" s="58"/>
    </row>
    <row r="34" spans="1:35" s="71" customFormat="1" ht="13" x14ac:dyDescent="0.35">
      <c r="A34" s="13">
        <f>F8</f>
        <v>4</v>
      </c>
      <c r="B34" s="15">
        <v>250</v>
      </c>
      <c r="C34" s="76">
        <f t="shared" si="6"/>
        <v>69</v>
      </c>
      <c r="D34" s="76">
        <f t="shared" si="7"/>
        <v>6.8867459999999996</v>
      </c>
      <c r="E34" s="76">
        <f t="shared" si="8"/>
        <v>2.6461800000000002</v>
      </c>
      <c r="F34" s="76">
        <f t="shared" si="9"/>
        <v>6.5258880000000001</v>
      </c>
      <c r="G34" s="76">
        <f t="shared" si="5"/>
        <v>0.21899999999999997</v>
      </c>
      <c r="H34" s="76">
        <f t="shared" si="5"/>
        <v>0.95399999999999996</v>
      </c>
      <c r="I34" s="76">
        <f t="shared" si="5"/>
        <v>0.15600000000000003</v>
      </c>
      <c r="J34" s="76">
        <f t="shared" si="5"/>
        <v>5.4000000000000012E-3</v>
      </c>
      <c r="K34" s="76">
        <f t="shared" si="5"/>
        <v>5.0400000000000002E-3</v>
      </c>
      <c r="L34" s="76">
        <f t="shared" si="5"/>
        <v>4.9800000000000004E-2</v>
      </c>
      <c r="M34" s="76">
        <f t="shared" si="5"/>
        <v>5.3280000000000008E-2</v>
      </c>
      <c r="N34" s="76">
        <f t="shared" si="5"/>
        <v>16.38</v>
      </c>
      <c r="O34" s="76">
        <f t="shared" si="5"/>
        <v>2424</v>
      </c>
      <c r="P34" s="76">
        <f t="shared" si="5"/>
        <v>0</v>
      </c>
      <c r="Q34" s="76">
        <f t="shared" si="10"/>
        <v>99.600000000000023</v>
      </c>
      <c r="R34" s="76">
        <f t="shared" si="11"/>
        <v>0</v>
      </c>
      <c r="S34" s="76">
        <f t="shared" si="11"/>
        <v>0.53580000000000005</v>
      </c>
      <c r="T34" s="76">
        <f t="shared" si="11"/>
        <v>0</v>
      </c>
      <c r="U34" s="76">
        <f t="shared" si="11"/>
        <v>0</v>
      </c>
      <c r="AB34" s="58"/>
      <c r="AC34" s="58"/>
      <c r="AD34" s="58"/>
      <c r="AE34" s="58"/>
      <c r="AF34" s="58"/>
      <c r="AG34" s="58"/>
      <c r="AH34" s="58"/>
      <c r="AI34" s="58"/>
    </row>
    <row r="35" spans="1:35" s="71" customFormat="1" ht="13" x14ac:dyDescent="0.35">
      <c r="A35" s="13">
        <f>G8</f>
        <v>5</v>
      </c>
      <c r="B35" s="15">
        <v>250</v>
      </c>
      <c r="C35" s="76">
        <f t="shared" si="6"/>
        <v>69</v>
      </c>
      <c r="D35" s="76">
        <f t="shared" si="7"/>
        <v>6.8867459999999996</v>
      </c>
      <c r="E35" s="76">
        <f t="shared" si="8"/>
        <v>2.6461800000000002</v>
      </c>
      <c r="F35" s="76">
        <f t="shared" si="9"/>
        <v>6.5258880000000001</v>
      </c>
      <c r="G35" s="76">
        <f t="shared" si="5"/>
        <v>0.21899999999999997</v>
      </c>
      <c r="H35" s="76">
        <f t="shared" si="5"/>
        <v>0.95399999999999996</v>
      </c>
      <c r="I35" s="76">
        <f t="shared" si="5"/>
        <v>0.15600000000000003</v>
      </c>
      <c r="J35" s="76">
        <f t="shared" si="5"/>
        <v>5.4000000000000012E-3</v>
      </c>
      <c r="K35" s="76">
        <f t="shared" si="5"/>
        <v>5.0400000000000002E-3</v>
      </c>
      <c r="L35" s="76">
        <f t="shared" si="5"/>
        <v>4.9800000000000004E-2</v>
      </c>
      <c r="M35" s="76">
        <f t="shared" si="5"/>
        <v>5.3280000000000008E-2</v>
      </c>
      <c r="N35" s="76">
        <f t="shared" si="5"/>
        <v>16.38</v>
      </c>
      <c r="O35" s="76">
        <f t="shared" si="5"/>
        <v>2424</v>
      </c>
      <c r="P35" s="76">
        <f t="shared" si="5"/>
        <v>0</v>
      </c>
      <c r="Q35" s="76">
        <f t="shared" si="10"/>
        <v>99.600000000000023</v>
      </c>
      <c r="R35" s="76">
        <f t="shared" si="11"/>
        <v>0</v>
      </c>
      <c r="S35" s="76">
        <f t="shared" si="11"/>
        <v>0.53580000000000005</v>
      </c>
      <c r="T35" s="76">
        <f t="shared" si="11"/>
        <v>0</v>
      </c>
      <c r="U35" s="76">
        <f t="shared" si="11"/>
        <v>0</v>
      </c>
      <c r="AB35" s="58"/>
      <c r="AC35" s="58"/>
      <c r="AD35" s="58"/>
      <c r="AE35" s="58"/>
      <c r="AF35" s="58"/>
      <c r="AG35" s="58"/>
      <c r="AH35" s="58"/>
      <c r="AI35" s="58"/>
    </row>
    <row r="36" spans="1:35" s="71" customFormat="1" ht="13" x14ac:dyDescent="0.35">
      <c r="A36" s="13">
        <f>H8</f>
        <v>6</v>
      </c>
      <c r="B36" s="15">
        <v>250</v>
      </c>
      <c r="C36" s="76">
        <f t="shared" si="6"/>
        <v>69</v>
      </c>
      <c r="D36" s="76">
        <f t="shared" si="7"/>
        <v>6.8867459999999996</v>
      </c>
      <c r="E36" s="76">
        <f t="shared" si="8"/>
        <v>2.6461800000000002</v>
      </c>
      <c r="F36" s="76">
        <f t="shared" si="9"/>
        <v>6.5258880000000001</v>
      </c>
      <c r="G36" s="76">
        <f t="shared" si="5"/>
        <v>0.21899999999999997</v>
      </c>
      <c r="H36" s="76">
        <f t="shared" si="5"/>
        <v>0.95399999999999996</v>
      </c>
      <c r="I36" s="76">
        <f t="shared" si="5"/>
        <v>0.15600000000000003</v>
      </c>
      <c r="J36" s="76">
        <f t="shared" si="5"/>
        <v>5.4000000000000012E-3</v>
      </c>
      <c r="K36" s="76">
        <f t="shared" si="5"/>
        <v>5.0400000000000002E-3</v>
      </c>
      <c r="L36" s="76">
        <f t="shared" si="5"/>
        <v>4.9800000000000004E-2</v>
      </c>
      <c r="M36" s="76">
        <f t="shared" si="5"/>
        <v>5.3280000000000008E-2</v>
      </c>
      <c r="N36" s="76">
        <f t="shared" si="5"/>
        <v>16.38</v>
      </c>
      <c r="O36" s="76">
        <f t="shared" si="5"/>
        <v>2424</v>
      </c>
      <c r="P36" s="76">
        <f t="shared" si="5"/>
        <v>0</v>
      </c>
      <c r="Q36" s="76">
        <f t="shared" si="10"/>
        <v>99.600000000000023</v>
      </c>
      <c r="R36" s="76">
        <f t="shared" si="11"/>
        <v>0</v>
      </c>
      <c r="S36" s="76">
        <f t="shared" si="11"/>
        <v>0.53580000000000005</v>
      </c>
      <c r="T36" s="76">
        <f t="shared" si="11"/>
        <v>0</v>
      </c>
      <c r="U36" s="76">
        <f t="shared" si="11"/>
        <v>0</v>
      </c>
      <c r="AB36" s="58"/>
      <c r="AC36" s="58"/>
      <c r="AD36" s="58"/>
      <c r="AE36" s="58"/>
      <c r="AF36" s="58"/>
      <c r="AG36" s="58"/>
      <c r="AH36" s="58"/>
      <c r="AI36" s="58"/>
    </row>
    <row r="37" spans="1:35" s="71" customFormat="1" ht="13" x14ac:dyDescent="0.35">
      <c r="A37" s="13">
        <f>I8</f>
        <v>7</v>
      </c>
      <c r="B37" s="15">
        <v>250</v>
      </c>
      <c r="C37" s="76">
        <f t="shared" si="6"/>
        <v>69</v>
      </c>
      <c r="D37" s="76">
        <f t="shared" si="7"/>
        <v>6.8867459999999996</v>
      </c>
      <c r="E37" s="76">
        <f t="shared" si="8"/>
        <v>2.6461800000000002</v>
      </c>
      <c r="F37" s="76">
        <f t="shared" si="9"/>
        <v>6.5258880000000001</v>
      </c>
      <c r="G37" s="76">
        <f t="shared" si="5"/>
        <v>0.21899999999999997</v>
      </c>
      <c r="H37" s="76">
        <f t="shared" si="5"/>
        <v>0.95399999999999996</v>
      </c>
      <c r="I37" s="76">
        <f t="shared" si="5"/>
        <v>0.15600000000000003</v>
      </c>
      <c r="J37" s="76">
        <f t="shared" si="5"/>
        <v>5.4000000000000012E-3</v>
      </c>
      <c r="K37" s="76">
        <f t="shared" si="5"/>
        <v>5.0400000000000002E-3</v>
      </c>
      <c r="L37" s="76">
        <f t="shared" si="5"/>
        <v>4.9800000000000004E-2</v>
      </c>
      <c r="M37" s="76">
        <f t="shared" si="5"/>
        <v>5.3280000000000008E-2</v>
      </c>
      <c r="N37" s="76">
        <f t="shared" si="5"/>
        <v>16.38</v>
      </c>
      <c r="O37" s="76">
        <f t="shared" si="5"/>
        <v>2424</v>
      </c>
      <c r="P37" s="76">
        <f t="shared" si="5"/>
        <v>0</v>
      </c>
      <c r="Q37" s="76">
        <f t="shared" si="10"/>
        <v>99.600000000000023</v>
      </c>
      <c r="R37" s="76">
        <f t="shared" si="11"/>
        <v>0</v>
      </c>
      <c r="S37" s="76">
        <f t="shared" si="11"/>
        <v>0.53580000000000005</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v>250</v>
      </c>
      <c r="C38" s="76">
        <f t="shared" si="6"/>
        <v>69</v>
      </c>
      <c r="D38" s="76">
        <f t="shared" si="7"/>
        <v>6.8867459999999996</v>
      </c>
      <c r="E38" s="76">
        <f t="shared" si="8"/>
        <v>2.6461800000000002</v>
      </c>
      <c r="F38" s="76">
        <f t="shared" si="9"/>
        <v>6.5258880000000001</v>
      </c>
      <c r="G38" s="76">
        <f t="shared" si="5"/>
        <v>0.21899999999999997</v>
      </c>
      <c r="H38" s="76">
        <f t="shared" si="5"/>
        <v>0.95399999999999996</v>
      </c>
      <c r="I38" s="76">
        <f t="shared" si="5"/>
        <v>0.15600000000000003</v>
      </c>
      <c r="J38" s="76">
        <f t="shared" si="5"/>
        <v>5.4000000000000012E-3</v>
      </c>
      <c r="K38" s="76">
        <f t="shared" si="5"/>
        <v>5.0400000000000002E-3</v>
      </c>
      <c r="L38" s="76">
        <f t="shared" si="5"/>
        <v>4.9800000000000004E-2</v>
      </c>
      <c r="M38" s="76">
        <f t="shared" si="5"/>
        <v>5.3280000000000008E-2</v>
      </c>
      <c r="N38" s="76">
        <f t="shared" si="5"/>
        <v>16.38</v>
      </c>
      <c r="O38" s="76">
        <f t="shared" si="5"/>
        <v>2424</v>
      </c>
      <c r="P38" s="76">
        <f t="shared" si="5"/>
        <v>0</v>
      </c>
      <c r="Q38" s="76">
        <f t="shared" si="10"/>
        <v>99.600000000000023</v>
      </c>
      <c r="R38" s="76">
        <f t="shared" si="11"/>
        <v>0</v>
      </c>
      <c r="S38" s="76">
        <f t="shared" si="11"/>
        <v>0.53580000000000005</v>
      </c>
      <c r="T38" s="76">
        <f t="shared" si="11"/>
        <v>0</v>
      </c>
      <c r="U38" s="76">
        <f t="shared" si="11"/>
        <v>0</v>
      </c>
      <c r="AB38" s="58"/>
      <c r="AC38" s="58"/>
      <c r="AD38" s="58"/>
      <c r="AE38" s="58"/>
      <c r="AF38" s="58"/>
      <c r="AG38" s="58"/>
      <c r="AH38" s="58"/>
      <c r="AI38" s="58"/>
    </row>
    <row r="39" spans="1:35" s="71" customFormat="1" ht="13" x14ac:dyDescent="0.35">
      <c r="A39" s="13">
        <f>K8</f>
        <v>20</v>
      </c>
      <c r="B39" s="15">
        <v>70</v>
      </c>
      <c r="C39" s="76">
        <f t="shared" si="6"/>
        <v>19.32</v>
      </c>
      <c r="D39" s="76">
        <f t="shared" si="7"/>
        <v>1.92828888</v>
      </c>
      <c r="E39" s="76">
        <f t="shared" si="8"/>
        <v>0.74093039999999999</v>
      </c>
      <c r="F39" s="76">
        <f t="shared" si="9"/>
        <v>1.8272486400000001</v>
      </c>
      <c r="G39" s="76">
        <f t="shared" si="5"/>
        <v>6.1319999999999993E-2</v>
      </c>
      <c r="H39" s="76">
        <f t="shared" si="5"/>
        <v>0.26712000000000002</v>
      </c>
      <c r="I39" s="76">
        <f t="shared" si="5"/>
        <v>4.3680000000000004E-2</v>
      </c>
      <c r="J39" s="76">
        <f t="shared" si="5"/>
        <v>1.5120000000000003E-3</v>
      </c>
      <c r="K39" s="76">
        <f t="shared" si="5"/>
        <v>1.4112E-3</v>
      </c>
      <c r="L39" s="76">
        <f t="shared" si="5"/>
        <v>1.3944000000000002E-2</v>
      </c>
      <c r="M39" s="76">
        <f t="shared" si="5"/>
        <v>1.4918400000000002E-2</v>
      </c>
      <c r="N39" s="76">
        <f t="shared" si="5"/>
        <v>4.5863999999999994</v>
      </c>
      <c r="O39" s="76">
        <f t="shared" si="5"/>
        <v>678.72</v>
      </c>
      <c r="P39" s="76">
        <f t="shared" si="5"/>
        <v>0</v>
      </c>
      <c r="Q39" s="76">
        <f t="shared" si="10"/>
        <v>27.888000000000005</v>
      </c>
      <c r="R39" s="76">
        <f t="shared" si="11"/>
        <v>0</v>
      </c>
      <c r="S39" s="76">
        <f t="shared" si="11"/>
        <v>0.15002399999999999</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str">
        <f>J16&amp;" I "&amp;(VLOOKUP(J14,Table24581112[],6,FALSE))</f>
        <v>Medium/Clay I Grass</v>
      </c>
      <c r="J58" s="13" t="str">
        <f>K16&amp;" I "&amp;(VLOOKUP(K14,Table24581112[],6,FALSE))</f>
        <v>Medium/Clay I Grass</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0" t="s">
        <v>132</v>
      </c>
      <c r="B59" s="75">
        <f>VLOOKUP(C$14,Table24581112[],5,FALSE)</f>
        <v>6.2</v>
      </c>
      <c r="C59" s="75">
        <f>VLOOKUP(D$14,Table24581112[],5,FALSE)</f>
        <v>6.2</v>
      </c>
      <c r="D59" s="75">
        <f>VLOOKUP(E$14,Table24581112[],5,FALSE)</f>
        <v>6.2</v>
      </c>
      <c r="E59" s="75">
        <f>VLOOKUP(F$14,Table24581112[],5,FALSE)</f>
        <v>6.2</v>
      </c>
      <c r="F59" s="75">
        <f>VLOOKUP(G$14,Table24581112[],5,FALSE)</f>
        <v>6.2</v>
      </c>
      <c r="G59" s="75">
        <f>VLOOKUP(H$14,Table24581112[],5,FALSE)</f>
        <v>6.2</v>
      </c>
      <c r="H59" s="75">
        <f>VLOOKUP(I$14,Table24581112[],5,FALSE)</f>
        <v>6.2</v>
      </c>
      <c r="I59" s="75">
        <f>VLOOKUP(J$14,Table24581112[],5,FALSE)</f>
        <v>6.2</v>
      </c>
      <c r="J59" s="75">
        <f>VLOOKUP(K$14,Table24581112[],5,FALSE)</f>
        <v>6.2</v>
      </c>
      <c r="K59" s="75" t="e">
        <f>VLOOKUP(L$14,Table24581112[],5,FALSE)</f>
        <v>#N/A</v>
      </c>
      <c r="L59" s="75" t="e">
        <f>VLOOKUP(M$14,Table24581112[],5,FALSE)</f>
        <v>#N/A</v>
      </c>
      <c r="M59" s="75" t="e">
        <f>VLOOKUP(N$14,Table24581112[],5,FALSE)</f>
        <v>#N/A</v>
      </c>
      <c r="N59" s="75" t="e">
        <f>VLOOKUP(O$14,Table24581112[],5,FALSE)</f>
        <v>#N/A</v>
      </c>
      <c r="O59" s="75" t="e">
        <f>VLOOKUP(P$14,Table24581112[],5,FALSE)</f>
        <v>#N/A</v>
      </c>
      <c r="P59" s="75" t="e">
        <f>VLOOKUP(Q$14,Table24581112[],5,FALSE)</f>
        <v>#N/A</v>
      </c>
      <c r="Q59" s="75" t="e">
        <f>VLOOKUP(R$14,Table24581112[],5,FALSE)</f>
        <v>#N/A</v>
      </c>
      <c r="R59" s="75" t="e">
        <f>VLOOKUP(S$14,Table24581112[],5,FALSE)</f>
        <v>#N/A</v>
      </c>
      <c r="S59" s="75" t="e">
        <f>VLOOKUP(T$14,Table24581112[],5,FALSE)</f>
        <v>#N/A</v>
      </c>
      <c r="T59" s="75" t="e">
        <f>VLOOKUP(U$14,Table24581112[],5,FALSE)</f>
        <v>#N/A</v>
      </c>
      <c r="U59" s="75" t="e">
        <f>VLOOKUP(V$14,Table24581112[],5,FALSE)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250</v>
      </c>
      <c r="D62" s="76">
        <f>B33</f>
        <v>250</v>
      </c>
      <c r="E62" s="76">
        <f>B34</f>
        <v>250</v>
      </c>
      <c r="F62" s="76">
        <f>B35</f>
        <v>250</v>
      </c>
      <c r="G62" s="76">
        <f>B36</f>
        <v>250</v>
      </c>
      <c r="H62" s="76">
        <f>B37</f>
        <v>250</v>
      </c>
      <c r="I62" s="76">
        <f>B38</f>
        <v>250</v>
      </c>
      <c r="J62" s="76">
        <f>B39</f>
        <v>70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62:U66 B31:B50">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U28" sqref="U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6.3</v>
      </c>
      <c r="J1" s="128" t="s">
        <v>153</v>
      </c>
      <c r="K1" s="128"/>
      <c r="L1" s="96">
        <v>359</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1.1399999999999999</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3.1491228070175445</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26.776062499999998</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-37.8239375</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0.72209625</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-227.27790375000001</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1.7</v>
      </c>
      <c r="C28" s="15">
        <v>1.1399999999999999</v>
      </c>
      <c r="D28" s="15">
        <v>0.27500000000000002</v>
      </c>
      <c r="E28" s="15">
        <v>1.41E-2</v>
      </c>
      <c r="F28" s="15">
        <v>95.1</v>
      </c>
      <c r="G28" s="15">
        <v>7.8</v>
      </c>
      <c r="H28" s="15">
        <v>35</v>
      </c>
      <c r="I28" s="15">
        <v>6.2</v>
      </c>
      <c r="J28" s="15">
        <v>0.11</v>
      </c>
      <c r="K28" s="15">
        <v>1.18</v>
      </c>
      <c r="L28" s="15">
        <v>5.0999999999999996</v>
      </c>
      <c r="M28" s="15">
        <v>4.3</v>
      </c>
      <c r="N28" s="15">
        <v>149000</v>
      </c>
      <c r="O28" s="15">
        <v>17100</v>
      </c>
      <c r="P28" s="15"/>
      <c r="Q28" s="15">
        <v>4500</v>
      </c>
      <c r="R28" s="15"/>
      <c r="S28" s="15">
        <v>30.6</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48.45</v>
      </c>
      <c r="D31" s="76">
        <f>(IF(D$27="%w/w SAR",((D$28*10)*$B31),IF(D$27="%w/w DM",(((D$28*10)*($B$28/100))*$B31),IF(D$27="kg/t SAR",(D$28*$B31),IF(D$27="kg/t DM",((D$28*($B$28/100))*$B31),IF(D$27="mg/kg SAR",((D$28*0.001)*$B31),IF(D$27="mg/kg DM",(((D$28*0.001)*($B$28/100))*$B31),"0")))))))*2.291</f>
        <v>26.776062499999998</v>
      </c>
      <c r="E31" s="76">
        <f>(IF(E$27="%w/w SAR",((E$28*10)*$B31),IF(E$27="%w/w DM",(((E$28*10)*($B$28/100))*$B31),IF(E$27="kg/t SAR",(E$28*$B31),IF(E$27="kg/t DM",((E$28*($B$28/100))*$B31),IF(E$27="mg/kg SAR",((E$28*0.001)*$B31),IF(E$27="mg/kg DM",(((E$28*0.001)*($B$28/100))*$B31),"0")))))))*1.205</f>
        <v>0.72209625</v>
      </c>
      <c r="F31" s="76">
        <f>(IF(F$27="%w/w SAR",((F$28*10)*$B31),IF(F$27="%w/w DM",(((F$28*10)*($B$28/100))*$B31),IF(F$27="kg/t SAR",(F$28*$B31),IF(F$27="kg/t DM",((F$28*($B$28/100))*$B31),IF(F$27="mg/kg SAR",((F$28*0.001)*$B31),IF(F$27="mg/kg DM",(((F$28*0.001)*($B$28/100))*$B31),"0")))))))*1.658</f>
        <v>0.67012214999999997</v>
      </c>
      <c r="G31" s="76">
        <f t="shared" ref="G31:P46" si="5">IF(G$27="%w/w SAR",((G$28*10)*$B31),IF(G$27="%w/w DM",(((G$28*10)*($B$28/100))*$B31),IF(G$27="kg/t SAR",(G$28*$B31),IF(G$27="kg/t DM",((G$28*($B$28/100))*$B31),IF(G$27="mg/kg SAR",((G$28*0.001)*$B31),IF(G$27="mg/kg DM",(((G$28*0.001)*($B$28/100))*$B31),0))))))</f>
        <v>3.3149999999999999E-2</v>
      </c>
      <c r="H31" s="76">
        <f t="shared" si="5"/>
        <v>0.14875000000000005</v>
      </c>
      <c r="I31" s="76">
        <f t="shared" si="5"/>
        <v>2.6350000000000002E-2</v>
      </c>
      <c r="J31" s="76">
        <f t="shared" si="5"/>
        <v>4.6750000000000003E-4</v>
      </c>
      <c r="K31" s="76">
        <f t="shared" si="5"/>
        <v>5.0150000000000004E-3</v>
      </c>
      <c r="L31" s="76">
        <f t="shared" si="5"/>
        <v>2.1675E-2</v>
      </c>
      <c r="M31" s="76">
        <f t="shared" si="5"/>
        <v>1.8275E-2</v>
      </c>
      <c r="N31" s="76">
        <f t="shared" si="5"/>
        <v>633.25000000000011</v>
      </c>
      <c r="O31" s="76">
        <f t="shared" si="5"/>
        <v>72.675000000000011</v>
      </c>
      <c r="P31" s="76">
        <f t="shared" si="5"/>
        <v>0</v>
      </c>
      <c r="Q31" s="76">
        <f>(IF(Q$27="%w/w SAR",((Q$28*10)*$B31),IF(Q$27="%w/w DM",(((Q$28*10)*($B$28/100))*$B31),IF(Q$27="kg/t SAR",(Q$28*$B31),IF(Q$27="kg/t DM",((Q$28*($B$28/100))*$B31),IF(Q$27="mg/kg SAR",((Q$28*0.001)*$B31),IF(Q$27="mg/kg DM",(((Q$28*0.001)*($B$28/100))*$B31),0)))))))*2.5</f>
        <v>47.812500000000007</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0.13005000000000003</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20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str">
        <f>J16&amp;" I "&amp;(VLOOKUP(J14,Table2458[],6,FALSE))</f>
        <v>Medium/Clay I Grass</v>
      </c>
      <c r="J58" s="13" t="str">
        <f>K16&amp;" I "&amp;(VLOOKUP(K14,Table2458[],6,FALSE))</f>
        <v>Medium/Clay I Grass</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0" t="s">
        <v>132</v>
      </c>
      <c r="B59" s="75">
        <f>VLOOKUP(C$14,Table2458[],5,FALSE)</f>
        <v>6.2</v>
      </c>
      <c r="C59" s="75">
        <f>VLOOKUP(D$14,Table2458[],5,FALSE)</f>
        <v>6.2</v>
      </c>
      <c r="D59" s="75">
        <f>VLOOKUP(E$14,Table2458[],5,FALSE)</f>
        <v>6.2</v>
      </c>
      <c r="E59" s="75">
        <f>VLOOKUP(F$14,Table2458[],5,FALSE)</f>
        <v>6.2</v>
      </c>
      <c r="F59" s="75">
        <f>VLOOKUP(G$14,Table2458[],5,FALSE)</f>
        <v>6.2</v>
      </c>
      <c r="G59" s="75">
        <f>VLOOKUP(H$14,Table2458[],5,FALSE)</f>
        <v>6.2</v>
      </c>
      <c r="H59" s="75">
        <f>VLOOKUP(I$14,Table2458[],5,FALSE)</f>
        <v>6.2</v>
      </c>
      <c r="I59" s="75">
        <f>VLOOKUP(J$14,Table2458[],5,FALSE)</f>
        <v>6.2</v>
      </c>
      <c r="J59" s="75">
        <f>VLOOKUP(K$14,Table2458[],5,FALSE)</f>
        <v>6.2</v>
      </c>
      <c r="K59" s="75" t="e">
        <f>VLOOKUP(L$14,Table2458[],5,FALSE)</f>
        <v>#N/A</v>
      </c>
      <c r="L59" s="75" t="e">
        <f>VLOOKUP(M$14,Table2458[],5,FALSE)</f>
        <v>#N/A</v>
      </c>
      <c r="M59" s="75" t="e">
        <f>VLOOKUP(N$14,Table2458[],5,FALSE)</f>
        <v>#N/A</v>
      </c>
      <c r="N59" s="75" t="e">
        <f>VLOOKUP(O$14,Table2458[],5,FALSE)</f>
        <v>#N/A</v>
      </c>
      <c r="O59" s="75" t="e">
        <f>VLOOKUP(P$14,Table2458[],5,FALSE)</f>
        <v>#N/A</v>
      </c>
      <c r="P59" s="75" t="e">
        <f>VLOOKUP(Q$14,Table2458[],5,FALSE)</f>
        <v>#N/A</v>
      </c>
      <c r="Q59" s="75" t="e">
        <f>VLOOKUP(R$14,Table2458[],5,FALSE)</f>
        <v>#N/A</v>
      </c>
      <c r="R59" s="75" t="e">
        <f>VLOOKUP(S$14,Table2458[],5,FALSE)</f>
        <v>#N/A</v>
      </c>
      <c r="S59" s="75" t="e">
        <f>VLOOKUP(T$14,Table2458[],5,FALSE)</f>
        <v>#N/A</v>
      </c>
      <c r="T59" s="75" t="e">
        <f>VLOOKUP(U$14,Table2458[],5,FALSE)</f>
        <v>#N/A</v>
      </c>
      <c r="U59" s="75" t="e">
        <f>VLOOKUP(V$14,Table2458[],5,FALSE)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80" zoomScaleNormal="80" workbookViewId="0">
      <selection activeCell="B37" sqref="B3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8" t="s">
        <v>41</v>
      </c>
      <c r="B1" s="128"/>
      <c r="C1" s="142" t="str">
        <f>Bryngwyn!C1:D1</f>
        <v>PAN-018476</v>
      </c>
      <c r="D1" s="143"/>
      <c r="E1" s="92" t="s">
        <v>45</v>
      </c>
      <c r="F1" s="38">
        <f>Bryngwyn!F1</f>
        <v>32.07</v>
      </c>
      <c r="G1" s="124" t="s">
        <v>43</v>
      </c>
      <c r="H1" s="125"/>
      <c r="I1" s="117">
        <v>7</v>
      </c>
      <c r="J1" s="128" t="s">
        <v>153</v>
      </c>
      <c r="K1" s="128"/>
      <c r="L1" s="96">
        <v>233</v>
      </c>
      <c r="AB1" s="18"/>
      <c r="AC1" s="18"/>
      <c r="AD1" s="29" t="s">
        <v>126</v>
      </c>
      <c r="AE1" s="17"/>
      <c r="AF1" s="17"/>
      <c r="AG1" s="18"/>
      <c r="AH1" s="18"/>
      <c r="AI1" s="39" t="s">
        <v>79</v>
      </c>
      <c r="AJ1" s="40" t="s">
        <v>94</v>
      </c>
      <c r="AK1" s="41" t="s">
        <v>95</v>
      </c>
      <c r="AL1" s="42" t="s">
        <v>125</v>
      </c>
      <c r="AM1" s="42" t="s">
        <v>131</v>
      </c>
      <c r="AN1" s="42" t="s">
        <v>111</v>
      </c>
    </row>
    <row r="2" spans="1:41" ht="12.75" customHeight="1" x14ac:dyDescent="0.3">
      <c r="A2" s="128" t="s">
        <v>87</v>
      </c>
      <c r="B2" s="128"/>
      <c r="C2" s="144" t="str">
        <f>Bryngwyn!C2:D2</f>
        <v>EPR/GP3792SK</v>
      </c>
      <c r="D2" s="145"/>
      <c r="E2" s="92" t="s">
        <v>109</v>
      </c>
      <c r="F2" s="95" t="s">
        <v>165</v>
      </c>
      <c r="G2" s="126" t="s">
        <v>110</v>
      </c>
      <c r="H2" s="127"/>
      <c r="I2" s="117"/>
      <c r="J2" s="128" t="s">
        <v>158</v>
      </c>
      <c r="K2" s="128"/>
      <c r="L2" s="96">
        <v>0.63600000000000001</v>
      </c>
      <c r="AB2" s="29" t="s">
        <v>56</v>
      </c>
      <c r="AC2" s="17"/>
      <c r="AD2" s="29" t="s">
        <v>70</v>
      </c>
      <c r="AE2" s="17"/>
      <c r="AF2" s="17"/>
      <c r="AG2" s="43" t="s">
        <v>76</v>
      </c>
      <c r="AH2" s="18"/>
      <c r="AI2" s="44" t="s">
        <v>126</v>
      </c>
      <c r="AJ2" s="45">
        <v>0</v>
      </c>
      <c r="AK2" s="46">
        <v>0</v>
      </c>
      <c r="AL2" s="10">
        <v>0</v>
      </c>
      <c r="AM2" s="11">
        <v>0</v>
      </c>
      <c r="AN2" s="11">
        <v>0</v>
      </c>
    </row>
    <row r="3" spans="1:41" ht="13" x14ac:dyDescent="0.25">
      <c r="A3" s="124" t="s">
        <v>42</v>
      </c>
      <c r="B3" s="125"/>
      <c r="C3" s="144" t="str">
        <f>Bryngwyn!C3:D3</f>
        <v>Mr Ian Holden</v>
      </c>
      <c r="D3" s="145"/>
      <c r="E3" s="92" t="s">
        <v>108</v>
      </c>
      <c r="F3" s="30" t="s">
        <v>77</v>
      </c>
      <c r="G3" s="128" t="s">
        <v>159</v>
      </c>
      <c r="H3" s="128"/>
      <c r="I3" s="117"/>
      <c r="J3" s="124" t="s">
        <v>154</v>
      </c>
      <c r="K3" s="125"/>
      <c r="L3" s="96">
        <f>(L1/(L2*10000))*100</f>
        <v>3.6635220125786163</v>
      </c>
      <c r="AB3" s="29" t="s">
        <v>57</v>
      </c>
      <c r="AC3" s="17"/>
      <c r="AD3" s="29" t="s">
        <v>71</v>
      </c>
      <c r="AE3" s="17"/>
      <c r="AF3" s="17"/>
      <c r="AG3" s="43" t="s">
        <v>77</v>
      </c>
      <c r="AH3" s="18"/>
      <c r="AI3" s="47" t="s">
        <v>113</v>
      </c>
      <c r="AJ3" s="48">
        <v>1.7</v>
      </c>
      <c r="AK3" s="49">
        <v>6</v>
      </c>
      <c r="AL3" s="50">
        <v>1</v>
      </c>
      <c r="AM3" s="11">
        <v>6.2</v>
      </c>
      <c r="AN3" s="11" t="s">
        <v>112</v>
      </c>
    </row>
    <row r="4" spans="1:41" ht="25" x14ac:dyDescent="0.25">
      <c r="A4" s="128" t="s">
        <v>0</v>
      </c>
      <c r="B4" s="128"/>
      <c r="C4" s="142" t="str">
        <f>Bryngwyn!C4:D4</f>
        <v>Tyncwm, Llansawel, SA19 7PQ</v>
      </c>
      <c r="D4" s="143"/>
      <c r="E4" s="93" t="s">
        <v>1</v>
      </c>
      <c r="F4" s="119" t="s">
        <v>167</v>
      </c>
      <c r="G4" s="124"/>
      <c r="H4" s="125"/>
      <c r="I4" s="38"/>
      <c r="J4" s="124"/>
      <c r="K4" s="125"/>
      <c r="L4" s="95"/>
      <c r="AB4" s="29" t="s">
        <v>52</v>
      </c>
      <c r="AC4" s="17"/>
      <c r="AD4" s="51" t="s">
        <v>72</v>
      </c>
      <c r="AE4" s="17"/>
      <c r="AF4" s="17"/>
      <c r="AG4" s="43" t="s">
        <v>78</v>
      </c>
      <c r="AH4" s="18"/>
      <c r="AI4" s="52" t="s">
        <v>124</v>
      </c>
      <c r="AJ4" s="53">
        <v>7</v>
      </c>
      <c r="AK4" s="54">
        <v>10.5</v>
      </c>
      <c r="AL4" s="11">
        <v>2</v>
      </c>
      <c r="AM4" s="11">
        <v>6.7</v>
      </c>
      <c r="AN4" s="11" t="s">
        <v>135</v>
      </c>
    </row>
    <row r="5" spans="1:41" ht="13" x14ac:dyDescent="0.25">
      <c r="A5" s="128" t="s">
        <v>47</v>
      </c>
      <c r="B5" s="128"/>
      <c r="C5" s="142" t="str">
        <f>Bryngwyn!C5:D5</f>
        <v>Owen Clee</v>
      </c>
      <c r="D5" s="143"/>
      <c r="E5" s="92"/>
      <c r="F5" s="38"/>
      <c r="G5" s="124"/>
      <c r="H5" s="125"/>
      <c r="I5" s="38"/>
      <c r="J5" s="124"/>
      <c r="K5" s="125"/>
      <c r="L5" s="95"/>
      <c r="AB5" s="29" t="s">
        <v>53</v>
      </c>
      <c r="AC5" s="17"/>
      <c r="AD5" s="51" t="s">
        <v>73</v>
      </c>
      <c r="AE5" s="17"/>
      <c r="AF5" s="17"/>
      <c r="AG5" s="43" t="s">
        <v>104</v>
      </c>
      <c r="AH5" s="18"/>
      <c r="AI5" s="52" t="s">
        <v>123</v>
      </c>
      <c r="AJ5" s="53">
        <v>6.5</v>
      </c>
      <c r="AK5" s="54">
        <v>5.5</v>
      </c>
      <c r="AL5" s="11">
        <v>3</v>
      </c>
      <c r="AM5" s="11">
        <v>6.7</v>
      </c>
      <c r="AN5" s="11" t="s">
        <v>135</v>
      </c>
    </row>
    <row r="6" spans="1:41" s="19" customFormat="1" x14ac:dyDescent="0.25">
      <c r="A6" s="55"/>
      <c r="B6" s="55"/>
      <c r="C6" s="56"/>
      <c r="D6" s="56"/>
      <c r="E6" s="56"/>
      <c r="F6" s="57"/>
      <c r="G6" s="57"/>
      <c r="H6" s="58"/>
      <c r="I6" s="58"/>
      <c r="J6" s="58"/>
      <c r="AB6" s="29" t="s">
        <v>54</v>
      </c>
      <c r="AC6" s="17"/>
      <c r="AD6" s="51" t="s">
        <v>74</v>
      </c>
      <c r="AE6" s="17"/>
      <c r="AF6" s="17"/>
      <c r="AG6" s="18"/>
      <c r="AH6" s="18"/>
      <c r="AI6" s="52" t="s">
        <v>68</v>
      </c>
      <c r="AJ6" s="53">
        <v>8.5</v>
      </c>
      <c r="AK6" s="54">
        <v>12</v>
      </c>
      <c r="AL6" s="11">
        <v>4</v>
      </c>
      <c r="AM6" s="19">
        <v>6.7</v>
      </c>
      <c r="AN6" s="11" t="s">
        <v>135</v>
      </c>
    </row>
    <row r="7" spans="1:41" s="12" customFormat="1" ht="13" x14ac:dyDescent="0.25">
      <c r="A7" s="134" t="s">
        <v>63</v>
      </c>
      <c r="B7" s="134"/>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29" t="s">
        <v>55</v>
      </c>
      <c r="AC7" s="17"/>
      <c r="AD7" s="18"/>
      <c r="AE7" s="17"/>
      <c r="AF7" s="17"/>
      <c r="AG7" s="18"/>
      <c r="AH7" s="18"/>
      <c r="AI7" s="52" t="s">
        <v>96</v>
      </c>
      <c r="AJ7" s="53">
        <v>8.5</v>
      </c>
      <c r="AK7" s="54">
        <v>10.5</v>
      </c>
      <c r="AL7" s="11">
        <v>5</v>
      </c>
      <c r="AM7" s="12">
        <v>6.7</v>
      </c>
      <c r="AN7" s="11" t="s">
        <v>135</v>
      </c>
      <c r="AO7" s="98"/>
    </row>
    <row r="8" spans="1:41" ht="13" x14ac:dyDescent="0.25">
      <c r="A8" s="128" t="s">
        <v>2</v>
      </c>
      <c r="B8" s="128"/>
      <c r="C8" s="59" t="str">
        <f>Bryngwyn!C8</f>
        <v>1 (Ystrad)</v>
      </c>
      <c r="D8" s="59">
        <f>Bryngwyn!D8</f>
        <v>2</v>
      </c>
      <c r="E8" s="59">
        <f>Bryngwyn!E8</f>
        <v>3</v>
      </c>
      <c r="F8" s="59">
        <f>Bryngwyn!F8</f>
        <v>4</v>
      </c>
      <c r="G8" s="59">
        <f>Bryngwyn!G8</f>
        <v>5</v>
      </c>
      <c r="H8" s="59">
        <f>Bryngwyn!H8</f>
        <v>6</v>
      </c>
      <c r="I8" s="59">
        <f>Bryngwyn!I8</f>
        <v>7</v>
      </c>
      <c r="J8" s="59" t="str">
        <f>Bryngwyn!J8</f>
        <v xml:space="preserve">1 (Bwlch) </v>
      </c>
      <c r="K8" s="59">
        <f>Bryngwyn!K8</f>
        <v>20</v>
      </c>
      <c r="L8" s="59">
        <f>Bryngwyn!L8</f>
        <v>0</v>
      </c>
      <c r="M8" s="59">
        <f>Bryngwyn!M8</f>
        <v>0</v>
      </c>
      <c r="N8" s="59">
        <f>Bryngwyn!N8</f>
        <v>0</v>
      </c>
      <c r="O8" s="59">
        <f>Bryngwyn!O8</f>
        <v>0</v>
      </c>
      <c r="P8" s="59">
        <f>Bryngwyn!P8</f>
        <v>0</v>
      </c>
      <c r="Q8" s="59">
        <f>Bryngwyn!Q8</f>
        <v>0</v>
      </c>
      <c r="R8" s="59">
        <f>Bryngwyn!R8</f>
        <v>0</v>
      </c>
      <c r="S8" s="59">
        <f>Bryngwyn!S8</f>
        <v>0</v>
      </c>
      <c r="T8" s="59">
        <f>Bryngwyn!T8</f>
        <v>0</v>
      </c>
      <c r="U8" s="59">
        <f>Bryngwyn!U8</f>
        <v>0</v>
      </c>
      <c r="V8" s="59">
        <f>Bryngwyn!V8</f>
        <v>0</v>
      </c>
      <c r="AB8" s="60"/>
      <c r="AC8" s="60"/>
      <c r="AD8" s="18"/>
      <c r="AE8" s="17" t="s">
        <v>139</v>
      </c>
      <c r="AF8" s="17"/>
      <c r="AG8" s="18"/>
      <c r="AH8" s="18"/>
      <c r="AI8" s="52" t="s">
        <v>105</v>
      </c>
      <c r="AJ8" s="61">
        <v>1.4</v>
      </c>
      <c r="AK8" s="54">
        <v>4.4000000000000004</v>
      </c>
      <c r="AL8" s="11">
        <v>6</v>
      </c>
      <c r="AM8" s="11">
        <v>6.7</v>
      </c>
      <c r="AN8" s="11" t="s">
        <v>135</v>
      </c>
      <c r="AO8" s="78"/>
    </row>
    <row r="9" spans="1:41" ht="13" x14ac:dyDescent="0.25">
      <c r="A9" s="128" t="s">
        <v>3</v>
      </c>
      <c r="B9" s="128"/>
      <c r="C9" s="59" t="str">
        <f>Bryngwyn!C9</f>
        <v xml:space="preserve">Moderate </v>
      </c>
      <c r="D9" s="59" t="str">
        <f>Bryngwyn!D9</f>
        <v xml:space="preserve">Moderate </v>
      </c>
      <c r="E9" s="59" t="str">
        <f>Bryngwyn!E9</f>
        <v xml:space="preserve">Moderate </v>
      </c>
      <c r="F9" s="59" t="str">
        <f>Bryngwyn!F9</f>
        <v xml:space="preserve">Moderate </v>
      </c>
      <c r="G9" s="59" t="str">
        <f>Bryngwyn!G9</f>
        <v xml:space="preserve">Moderate </v>
      </c>
      <c r="H9" s="59" t="str">
        <f>Bryngwyn!H9</f>
        <v xml:space="preserve">Moderate </v>
      </c>
      <c r="I9" s="59" t="str">
        <f>Bryngwyn!I9</f>
        <v xml:space="preserve">Moderate </v>
      </c>
      <c r="J9" s="59" t="str">
        <f>Bryngwyn!J9</f>
        <v xml:space="preserve">Moderate </v>
      </c>
      <c r="K9" s="59" t="str">
        <f>Bryngwyn!K9</f>
        <v xml:space="preserve">Moderate </v>
      </c>
      <c r="L9" s="59">
        <f>Bryngwyn!L9</f>
        <v>0</v>
      </c>
      <c r="M9" s="59">
        <f>Bryngwyn!M9</f>
        <v>0</v>
      </c>
      <c r="N9" s="59">
        <f>Bryngwyn!N9</f>
        <v>0</v>
      </c>
      <c r="O9" s="59">
        <f>Bryngwyn!O9</f>
        <v>0</v>
      </c>
      <c r="P9" s="59">
        <f>Bryngwyn!P9</f>
        <v>0</v>
      </c>
      <c r="Q9" s="59">
        <f>Bryngwyn!Q9</f>
        <v>0</v>
      </c>
      <c r="R9" s="59">
        <f>Bryngwyn!R9</f>
        <v>0</v>
      </c>
      <c r="S9" s="59">
        <f>Bryngwyn!S9</f>
        <v>0</v>
      </c>
      <c r="T9" s="59">
        <f>Bryngwyn!T9</f>
        <v>0</v>
      </c>
      <c r="U9" s="59">
        <f>Bryngwyn!U9</f>
        <v>0</v>
      </c>
      <c r="V9" s="59">
        <f>Bryngwyn!V9</f>
        <v>0</v>
      </c>
      <c r="AB9" s="17"/>
      <c r="AC9" s="17"/>
      <c r="AD9" s="29" t="s">
        <v>137</v>
      </c>
      <c r="AE9" s="29">
        <v>4.5</v>
      </c>
      <c r="AF9" s="17"/>
      <c r="AG9" s="18"/>
      <c r="AH9" s="18"/>
      <c r="AI9" s="62" t="s">
        <v>103</v>
      </c>
      <c r="AJ9" s="63">
        <v>0.7</v>
      </c>
      <c r="AK9" s="64">
        <v>4</v>
      </c>
      <c r="AL9" s="28">
        <v>7</v>
      </c>
      <c r="AM9" s="11">
        <v>6.7</v>
      </c>
      <c r="AN9" s="11" t="s">
        <v>135</v>
      </c>
      <c r="AO9" s="98"/>
    </row>
    <row r="10" spans="1:41" ht="13" x14ac:dyDescent="0.25">
      <c r="A10" s="128" t="s">
        <v>4</v>
      </c>
      <c r="B10" s="128"/>
      <c r="C10" s="59">
        <f>Bryngwyn!C10</f>
        <v>6</v>
      </c>
      <c r="D10" s="59">
        <f>Bryngwyn!D10</f>
        <v>5.9</v>
      </c>
      <c r="E10" s="59">
        <f>Bryngwyn!E10</f>
        <v>5.8</v>
      </c>
      <c r="F10" s="59">
        <f>Bryngwyn!F10</f>
        <v>5.8</v>
      </c>
      <c r="G10" s="59">
        <f>Bryngwyn!G10</f>
        <v>5.8</v>
      </c>
      <c r="H10" s="59">
        <f>Bryngwyn!H10</f>
        <v>5.8</v>
      </c>
      <c r="I10" s="59">
        <f>Bryngwyn!I10</f>
        <v>5.8</v>
      </c>
      <c r="J10" s="59">
        <f>Bryngwyn!J10</f>
        <v>5.9</v>
      </c>
      <c r="K10" s="59">
        <f>Bryngwyn!K10</f>
        <v>5.3</v>
      </c>
      <c r="L10" s="59">
        <f>Bryngwyn!L10</f>
        <v>0</v>
      </c>
      <c r="M10" s="59">
        <f>Bryngwyn!M10</f>
        <v>0</v>
      </c>
      <c r="N10" s="59">
        <f>Bryngwyn!N10</f>
        <v>0</v>
      </c>
      <c r="O10" s="59">
        <f>Bryngwyn!O10</f>
        <v>0</v>
      </c>
      <c r="P10" s="59">
        <f>Bryngwyn!P10</f>
        <v>0</v>
      </c>
      <c r="Q10" s="59">
        <f>Bryngwyn!Q10</f>
        <v>0</v>
      </c>
      <c r="R10" s="59">
        <f>Bryngwyn!R10</f>
        <v>0</v>
      </c>
      <c r="S10" s="59">
        <f>Bryngwyn!S10</f>
        <v>0</v>
      </c>
      <c r="T10" s="59">
        <f>Bryngwyn!T10</f>
        <v>0</v>
      </c>
      <c r="U10" s="59">
        <f>Bryngwyn!U10</f>
        <v>0</v>
      </c>
      <c r="V10" s="59">
        <f>Bryngwyn!V10</f>
        <v>0</v>
      </c>
      <c r="AB10" s="17"/>
      <c r="AC10" s="17"/>
      <c r="AD10" s="29" t="s">
        <v>140</v>
      </c>
      <c r="AE10" s="29">
        <v>5</v>
      </c>
      <c r="AF10" s="17"/>
      <c r="AG10" s="18"/>
      <c r="AH10" s="18"/>
      <c r="AI10" s="52" t="s">
        <v>97</v>
      </c>
      <c r="AJ10" s="53">
        <v>9</v>
      </c>
      <c r="AK10" s="54">
        <v>16.5</v>
      </c>
      <c r="AL10" s="11">
        <v>8</v>
      </c>
      <c r="AM10" s="11">
        <v>6.7</v>
      </c>
      <c r="AN10" s="11" t="s">
        <v>135</v>
      </c>
    </row>
    <row r="11" spans="1:41" ht="13" x14ac:dyDescent="0.25">
      <c r="A11" s="128" t="s">
        <v>5</v>
      </c>
      <c r="B11" s="128"/>
      <c r="C11" s="59">
        <f>Bryngwyn!C11</f>
        <v>2</v>
      </c>
      <c r="D11" s="59">
        <f>Bryngwyn!D11</f>
        <v>2</v>
      </c>
      <c r="E11" s="59">
        <f>Bryngwyn!E11</f>
        <v>3</v>
      </c>
      <c r="F11" s="59">
        <f>Bryngwyn!F11</f>
        <v>3</v>
      </c>
      <c r="G11" s="59">
        <f>Bryngwyn!G11</f>
        <v>2</v>
      </c>
      <c r="H11" s="59">
        <f>Bryngwyn!H11</f>
        <v>2</v>
      </c>
      <c r="I11" s="59">
        <f>Bryngwyn!I11</f>
        <v>3</v>
      </c>
      <c r="J11" s="59">
        <f>Bryngwyn!J11</f>
        <v>1</v>
      </c>
      <c r="K11" s="59">
        <f>Bryngwyn!K11</f>
        <v>2</v>
      </c>
      <c r="L11" s="59">
        <f>Bryngwyn!L11</f>
        <v>0</v>
      </c>
      <c r="M11" s="59">
        <f>Bryngwyn!M11</f>
        <v>0</v>
      </c>
      <c r="N11" s="59">
        <f>Bryngwyn!N11</f>
        <v>0</v>
      </c>
      <c r="O11" s="59">
        <f>Bryngwyn!O11</f>
        <v>0</v>
      </c>
      <c r="P11" s="59">
        <f>Bryngwyn!P11</f>
        <v>0</v>
      </c>
      <c r="Q11" s="59">
        <f>Bryngwyn!Q11</f>
        <v>0</v>
      </c>
      <c r="R11" s="59">
        <f>Bryngwyn!R11</f>
        <v>0</v>
      </c>
      <c r="S11" s="59">
        <f>Bryngwyn!S11</f>
        <v>0</v>
      </c>
      <c r="T11" s="59">
        <f>Bryngwyn!T11</f>
        <v>0</v>
      </c>
      <c r="U11" s="59">
        <f>Bryngwyn!U11</f>
        <v>0</v>
      </c>
      <c r="V11" s="59">
        <f>Bryngwyn!V11</f>
        <v>0</v>
      </c>
      <c r="AB11" s="17"/>
      <c r="AC11" s="17"/>
      <c r="AD11" s="51" t="s">
        <v>141</v>
      </c>
      <c r="AE11" s="29">
        <v>6</v>
      </c>
      <c r="AF11" s="17"/>
      <c r="AG11" s="18"/>
      <c r="AH11" s="18"/>
      <c r="AI11" s="52" t="s">
        <v>122</v>
      </c>
      <c r="AJ11" s="53">
        <v>15</v>
      </c>
      <c r="AK11" s="54">
        <v>17.5</v>
      </c>
      <c r="AL11" s="11">
        <v>9</v>
      </c>
      <c r="AM11" s="11">
        <v>7</v>
      </c>
      <c r="AN11" s="11" t="s">
        <v>135</v>
      </c>
    </row>
    <row r="12" spans="1:41" ht="13" x14ac:dyDescent="0.25">
      <c r="A12" s="128" t="s">
        <v>6</v>
      </c>
      <c r="B12" s="128"/>
      <c r="C12" s="59">
        <f>Bryngwyn!C12</f>
        <v>2</v>
      </c>
      <c r="D12" s="59">
        <f>Bryngwyn!D12</f>
        <v>2</v>
      </c>
      <c r="E12" s="59">
        <f>Bryngwyn!E12</f>
        <v>2</v>
      </c>
      <c r="F12" s="59">
        <f>Bryngwyn!F12</f>
        <v>2</v>
      </c>
      <c r="G12" s="59">
        <f>Bryngwyn!G12</f>
        <v>2</v>
      </c>
      <c r="H12" s="59">
        <f>Bryngwyn!H12</f>
        <v>2</v>
      </c>
      <c r="I12" s="59">
        <f>Bryngwyn!I12</f>
        <v>2</v>
      </c>
      <c r="J12" s="59">
        <f>Bryngwyn!J12</f>
        <v>2</v>
      </c>
      <c r="K12" s="59">
        <f>Bryngwyn!K12</f>
        <v>1</v>
      </c>
      <c r="L12" s="59">
        <f>Bryngwyn!L12</f>
        <v>0</v>
      </c>
      <c r="M12" s="59">
        <f>Bryngwyn!M12</f>
        <v>0</v>
      </c>
      <c r="N12" s="59">
        <f>Bryngwyn!N12</f>
        <v>0</v>
      </c>
      <c r="O12" s="59">
        <f>Bryngwyn!O12</f>
        <v>0</v>
      </c>
      <c r="P12" s="59">
        <f>Bryngwyn!P12</f>
        <v>0</v>
      </c>
      <c r="Q12" s="59">
        <f>Bryngwyn!Q12</f>
        <v>0</v>
      </c>
      <c r="R12" s="59">
        <f>Bryngwyn!R12</f>
        <v>0</v>
      </c>
      <c r="S12" s="59">
        <f>Bryngwyn!S12</f>
        <v>0</v>
      </c>
      <c r="T12" s="59">
        <f>Bryngwyn!T12</f>
        <v>0</v>
      </c>
      <c r="U12" s="59">
        <f>Bryngwyn!U12</f>
        <v>0</v>
      </c>
      <c r="V12" s="59">
        <f>Bryngwyn!V12</f>
        <v>0</v>
      </c>
      <c r="AB12" s="17"/>
      <c r="AC12" s="17"/>
      <c r="AD12" s="51" t="s">
        <v>142</v>
      </c>
      <c r="AE12" s="29">
        <v>7.5</v>
      </c>
      <c r="AF12" s="17"/>
      <c r="AG12" s="18"/>
      <c r="AH12" s="18"/>
      <c r="AI12" s="52" t="s">
        <v>121</v>
      </c>
      <c r="AJ12" s="53">
        <v>14</v>
      </c>
      <c r="AK12" s="54">
        <v>11</v>
      </c>
      <c r="AL12" s="11">
        <v>10</v>
      </c>
      <c r="AM12" s="11">
        <v>7</v>
      </c>
      <c r="AN12" s="11" t="s">
        <v>135</v>
      </c>
    </row>
    <row r="13" spans="1:41" ht="13" x14ac:dyDescent="0.25">
      <c r="A13" s="128" t="s">
        <v>7</v>
      </c>
      <c r="B13" s="128"/>
      <c r="C13" s="59">
        <f>Bryngwyn!C13</f>
        <v>3</v>
      </c>
      <c r="D13" s="59">
        <f>Bryngwyn!D13</f>
        <v>3</v>
      </c>
      <c r="E13" s="59">
        <f>Bryngwyn!E13</f>
        <v>3</v>
      </c>
      <c r="F13" s="59">
        <f>Bryngwyn!F13</f>
        <v>3</v>
      </c>
      <c r="G13" s="59">
        <f>Bryngwyn!G13</f>
        <v>3</v>
      </c>
      <c r="H13" s="59">
        <f>Bryngwyn!H13</f>
        <v>2</v>
      </c>
      <c r="I13" s="59">
        <f>Bryngwyn!I13</f>
        <v>3</v>
      </c>
      <c r="J13" s="59">
        <f>Bryngwyn!J13</f>
        <v>2</v>
      </c>
      <c r="K13" s="59">
        <f>Bryngwyn!K13</f>
        <v>3</v>
      </c>
      <c r="L13" s="59">
        <f>Bryngwyn!L13</f>
        <v>0</v>
      </c>
      <c r="M13" s="59">
        <f>Bryngwyn!M13</f>
        <v>0</v>
      </c>
      <c r="N13" s="59">
        <f>Bryngwyn!N13</f>
        <v>0</v>
      </c>
      <c r="O13" s="59">
        <f>Bryngwyn!O13</f>
        <v>0</v>
      </c>
      <c r="P13" s="59">
        <f>Bryngwyn!P13</f>
        <v>0</v>
      </c>
      <c r="Q13" s="59">
        <f>Bryngwyn!Q13</f>
        <v>0</v>
      </c>
      <c r="R13" s="59">
        <f>Bryngwyn!R13</f>
        <v>0</v>
      </c>
      <c r="S13" s="59">
        <f>Bryngwyn!S13</f>
        <v>0</v>
      </c>
      <c r="T13" s="59">
        <f>Bryngwyn!T13</f>
        <v>0</v>
      </c>
      <c r="U13" s="59">
        <f>Bryngwyn!U13</f>
        <v>0</v>
      </c>
      <c r="V13" s="59">
        <f>Bryngwyn!V13</f>
        <v>0</v>
      </c>
      <c r="AB13" s="17"/>
      <c r="AC13" s="17"/>
      <c r="AD13" s="51" t="s">
        <v>143</v>
      </c>
      <c r="AE13" s="29">
        <v>12</v>
      </c>
      <c r="AF13" s="17"/>
      <c r="AG13" s="18"/>
      <c r="AH13" s="18"/>
      <c r="AI13" s="52" t="s">
        <v>120</v>
      </c>
      <c r="AJ13" s="53">
        <v>1.9</v>
      </c>
      <c r="AK13" s="54">
        <v>7.5</v>
      </c>
      <c r="AL13" s="11">
        <v>11</v>
      </c>
      <c r="AM13" s="11">
        <v>6.7</v>
      </c>
      <c r="AN13" s="11" t="s">
        <v>135</v>
      </c>
    </row>
    <row r="14" spans="1:41" ht="13" x14ac:dyDescent="0.25">
      <c r="A14" s="138" t="s">
        <v>8</v>
      </c>
      <c r="B14" s="138"/>
      <c r="C14" s="101" t="str">
        <f>Bryngwyn!C14</f>
        <v xml:space="preserve">Grass Silage (25% DM) </v>
      </c>
      <c r="D14" s="101" t="str">
        <f>Bryngwyn!D14</f>
        <v xml:space="preserve">Grass Silage (25% DM) </v>
      </c>
      <c r="E14" s="101" t="str">
        <f>Bryngwyn!E14</f>
        <v xml:space="preserve">Grass Silage (25% DM) </v>
      </c>
      <c r="F14" s="101" t="str">
        <f>Bryngwyn!F14</f>
        <v xml:space="preserve">Grass Silage (25% DM) </v>
      </c>
      <c r="G14" s="101" t="str">
        <f>Bryngwyn!G14</f>
        <v xml:space="preserve">Grass Silage (25% DM) </v>
      </c>
      <c r="H14" s="101" t="str">
        <f>Bryngwyn!H14</f>
        <v xml:space="preserve">Grass Silage (25% DM) </v>
      </c>
      <c r="I14" s="101" t="str">
        <f>Bryngwyn!I14</f>
        <v xml:space="preserve">Grass Silage (25% DM) </v>
      </c>
      <c r="J14" s="101" t="str">
        <f>Bryngwyn!J14</f>
        <v xml:space="preserve">Grass Silage (25% DM) </v>
      </c>
      <c r="K14" s="101" t="str">
        <f>Bryngwyn!K14</f>
        <v xml:space="preserve">Grass Silage (25% DM) </v>
      </c>
      <c r="L14" s="101">
        <f>Bryngwyn!L14</f>
        <v>0</v>
      </c>
      <c r="M14" s="101">
        <f>Bryngwyn!M14</f>
        <v>0</v>
      </c>
      <c r="N14" s="101">
        <f>Bryngwyn!N14</f>
        <v>0</v>
      </c>
      <c r="O14" s="101">
        <f>Bryngwyn!O14</f>
        <v>0</v>
      </c>
      <c r="P14" s="101">
        <f>Bryngwyn!P14</f>
        <v>0</v>
      </c>
      <c r="Q14" s="101">
        <f>Bryngwyn!Q14</f>
        <v>0</v>
      </c>
      <c r="R14" s="101">
        <f>Bryngwyn!R14</f>
        <v>0</v>
      </c>
      <c r="S14" s="101">
        <f>Bryngwyn!S14</f>
        <v>0</v>
      </c>
      <c r="T14" s="101">
        <f>Bryngwyn!T14</f>
        <v>0</v>
      </c>
      <c r="U14" s="101">
        <f>Bryngwyn!U14</f>
        <v>0</v>
      </c>
      <c r="V14" s="101">
        <f>Bryngwyn!V14</f>
        <v>0</v>
      </c>
      <c r="AD14" s="29" t="s">
        <v>138</v>
      </c>
      <c r="AE14" s="29">
        <v>6</v>
      </c>
      <c r="AI14" s="52" t="s">
        <v>119</v>
      </c>
      <c r="AJ14" s="53">
        <v>0.8</v>
      </c>
      <c r="AK14" s="54">
        <v>1.7</v>
      </c>
      <c r="AL14" s="11">
        <v>12</v>
      </c>
      <c r="AM14" s="11">
        <v>6.7</v>
      </c>
      <c r="AN14" s="11" t="s">
        <v>135</v>
      </c>
    </row>
    <row r="15" spans="1:41" ht="13" x14ac:dyDescent="0.25">
      <c r="A15" s="137" t="s">
        <v>9</v>
      </c>
      <c r="B15" s="137"/>
      <c r="C15" s="59">
        <f>Bryngwyn!C15</f>
        <v>38</v>
      </c>
      <c r="D15" s="59">
        <f>Bryngwyn!D15</f>
        <v>38</v>
      </c>
      <c r="E15" s="59">
        <f>Bryngwyn!E15</f>
        <v>38</v>
      </c>
      <c r="F15" s="59">
        <f>Bryngwyn!F15</f>
        <v>38</v>
      </c>
      <c r="G15" s="59">
        <f>Bryngwyn!G15</f>
        <v>38</v>
      </c>
      <c r="H15" s="59">
        <f>Bryngwyn!H15</f>
        <v>38</v>
      </c>
      <c r="I15" s="59">
        <f>Bryngwyn!I15</f>
        <v>38</v>
      </c>
      <c r="J15" s="59">
        <f>Bryngwyn!J15</f>
        <v>38</v>
      </c>
      <c r="K15" s="59">
        <f>Bryngwyn!K15</f>
        <v>38</v>
      </c>
      <c r="L15" s="59">
        <f>Bryngwyn!L15</f>
        <v>0</v>
      </c>
      <c r="M15" s="59">
        <f>Bryngwyn!M15</f>
        <v>0</v>
      </c>
      <c r="N15" s="59">
        <f>Bryngwyn!N15</f>
        <v>0</v>
      </c>
      <c r="O15" s="59">
        <f>Bryngwyn!O15</f>
        <v>0</v>
      </c>
      <c r="P15" s="59">
        <f>Bryngwyn!P15</f>
        <v>0</v>
      </c>
      <c r="Q15" s="59">
        <f>Bryngwyn!Q15</f>
        <v>0</v>
      </c>
      <c r="R15" s="59">
        <f>Bryngwyn!R15</f>
        <v>0</v>
      </c>
      <c r="S15" s="59">
        <f>Bryngwyn!S15</f>
        <v>0</v>
      </c>
      <c r="T15" s="59">
        <f>Bryngwyn!T15</f>
        <v>0</v>
      </c>
      <c r="U15" s="59">
        <f>Bryngwyn!U15</f>
        <v>0</v>
      </c>
      <c r="V15" s="59">
        <f>Bryngwyn!V15</f>
        <v>0</v>
      </c>
      <c r="AD15" s="29" t="s">
        <v>144</v>
      </c>
      <c r="AE15" s="29">
        <v>7</v>
      </c>
      <c r="AI15" s="52" t="s">
        <v>101</v>
      </c>
      <c r="AJ15" s="61">
        <v>1.8</v>
      </c>
      <c r="AK15" s="54">
        <v>5.4</v>
      </c>
      <c r="AL15" s="11">
        <v>13</v>
      </c>
      <c r="AM15" s="11">
        <v>6.7</v>
      </c>
      <c r="AN15" s="11" t="s">
        <v>135</v>
      </c>
    </row>
    <row r="16" spans="1:41" ht="13.5" thickBot="1" x14ac:dyDescent="0.3">
      <c r="A16" s="139" t="s">
        <v>44</v>
      </c>
      <c r="B16" s="139"/>
      <c r="C16" s="102" t="str">
        <f>Bryngwyn!C16</f>
        <v>Medium/Clay</v>
      </c>
      <c r="D16" s="102" t="str">
        <f>Bryngwyn!D16</f>
        <v>Medium/Clay</v>
      </c>
      <c r="E16" s="102" t="str">
        <f>Bryngwyn!E16</f>
        <v>Medium/Clay</v>
      </c>
      <c r="F16" s="102" t="str">
        <f>Bryngwyn!F16</f>
        <v>Medium/Clay</v>
      </c>
      <c r="G16" s="102" t="str">
        <f>Bryngwyn!G16</f>
        <v>Medium/Clay</v>
      </c>
      <c r="H16" s="102" t="str">
        <f>Bryngwyn!H16</f>
        <v>Medium/Clay</v>
      </c>
      <c r="I16" s="102" t="str">
        <f>Bryngwyn!I16</f>
        <v>Medium/Clay</v>
      </c>
      <c r="J16" s="102" t="str">
        <f>Bryngwyn!J16</f>
        <v>Medium/Clay</v>
      </c>
      <c r="K16" s="102" t="str">
        <f>Bryngwyn!K16</f>
        <v>Medium/Clay</v>
      </c>
      <c r="L16" s="102">
        <f>Bryngwyn!L16</f>
        <v>0</v>
      </c>
      <c r="M16" s="102">
        <f>Bryngwyn!M16</f>
        <v>0</v>
      </c>
      <c r="N16" s="102">
        <f>Bryngwyn!N16</f>
        <v>0</v>
      </c>
      <c r="O16" s="102">
        <f>Bryngwyn!O16</f>
        <v>0</v>
      </c>
      <c r="P16" s="102">
        <f>Bryngwyn!P16</f>
        <v>0</v>
      </c>
      <c r="Q16" s="102">
        <f>Bryngwyn!Q16</f>
        <v>0</v>
      </c>
      <c r="R16" s="102">
        <f>Bryngwyn!R16</f>
        <v>0</v>
      </c>
      <c r="S16" s="102">
        <f>Bryngwyn!S16</f>
        <v>0</v>
      </c>
      <c r="T16" s="102">
        <f>Bryngwyn!T16</f>
        <v>0</v>
      </c>
      <c r="U16" s="102">
        <f>Bryngwyn!U16</f>
        <v>0</v>
      </c>
      <c r="V16" s="102">
        <f>Bryngwyn!V16</f>
        <v>0</v>
      </c>
      <c r="AD16" s="51" t="s">
        <v>145</v>
      </c>
      <c r="AE16" s="29">
        <v>8</v>
      </c>
      <c r="AI16" s="52" t="s">
        <v>118</v>
      </c>
      <c r="AJ16" s="53">
        <v>8</v>
      </c>
      <c r="AK16" s="54">
        <v>5.5</v>
      </c>
      <c r="AL16" s="12">
        <v>14</v>
      </c>
      <c r="AM16" s="11">
        <v>6.7</v>
      </c>
      <c r="AN16" s="11" t="s">
        <v>135</v>
      </c>
    </row>
    <row r="17" spans="1:40" ht="13" x14ac:dyDescent="0.25">
      <c r="A17" s="135" t="s">
        <v>69</v>
      </c>
      <c r="B17" s="136"/>
      <c r="C17" s="27">
        <f>(VLOOKUP(C$14,$AI2:$AK26,2,FALSE))*C$15</f>
        <v>64.599999999999994</v>
      </c>
      <c r="D17" s="27">
        <f t="shared" ref="D17:V17" si="0">(VLOOKUP(D$14,$AI2:$AK26,2,FALSE))*D$15</f>
        <v>64.599999999999994</v>
      </c>
      <c r="E17" s="27">
        <f t="shared" si="0"/>
        <v>64.599999999999994</v>
      </c>
      <c r="F17" s="27">
        <f t="shared" si="0"/>
        <v>64.599999999999994</v>
      </c>
      <c r="G17" s="27">
        <f t="shared" si="0"/>
        <v>64.599999999999994</v>
      </c>
      <c r="H17" s="27">
        <f t="shared" si="0"/>
        <v>64.599999999999994</v>
      </c>
      <c r="I17" s="27">
        <f t="shared" si="0"/>
        <v>64.599999999999994</v>
      </c>
      <c r="J17" s="27">
        <f t="shared" si="0"/>
        <v>64.599999999999994</v>
      </c>
      <c r="K17" s="27">
        <f t="shared" si="0"/>
        <v>64.599999999999994</v>
      </c>
      <c r="L17" s="27" t="e">
        <f t="shared" si="0"/>
        <v>#N/A</v>
      </c>
      <c r="M17" s="27" t="e">
        <f t="shared" si="0"/>
        <v>#N/A</v>
      </c>
      <c r="N17" s="27" t="e">
        <f t="shared" si="0"/>
        <v>#N/A</v>
      </c>
      <c r="O17" s="27" t="e">
        <f t="shared" si="0"/>
        <v>#N/A</v>
      </c>
      <c r="P17" s="27" t="e">
        <f t="shared" si="0"/>
        <v>#N/A</v>
      </c>
      <c r="Q17" s="27" t="e">
        <f t="shared" si="0"/>
        <v>#N/A</v>
      </c>
      <c r="R17" s="27" t="e">
        <f t="shared" si="0"/>
        <v>#N/A</v>
      </c>
      <c r="S17" s="27" t="e">
        <f t="shared" si="0"/>
        <v>#N/A</v>
      </c>
      <c r="T17" s="27" t="e">
        <f t="shared" si="0"/>
        <v>#N/A</v>
      </c>
      <c r="U17" s="27" t="e">
        <f t="shared" si="0"/>
        <v>#N/A</v>
      </c>
      <c r="V17" s="27" t="e">
        <f t="shared" si="0"/>
        <v>#N/A</v>
      </c>
      <c r="AD17" s="51" t="s">
        <v>146</v>
      </c>
      <c r="AE17" s="29">
        <v>10</v>
      </c>
      <c r="AI17" s="47" t="s">
        <v>115</v>
      </c>
      <c r="AJ17" s="48">
        <v>1.4</v>
      </c>
      <c r="AK17" s="49">
        <v>4.8</v>
      </c>
      <c r="AL17" s="50">
        <v>15</v>
      </c>
      <c r="AM17" s="11">
        <v>6.2</v>
      </c>
      <c r="AN17" s="11" t="s">
        <v>112</v>
      </c>
    </row>
    <row r="18" spans="1:40" ht="13" x14ac:dyDescent="0.25">
      <c r="A18" s="133" t="s">
        <v>23</v>
      </c>
      <c r="B18" s="134"/>
      <c r="C18" s="16">
        <f>$D31</f>
        <v>22.213535999999998</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4">
        <f>$D50</f>
        <v>0</v>
      </c>
      <c r="AD18" s="51" t="s">
        <v>147</v>
      </c>
      <c r="AE18" s="29">
        <v>16</v>
      </c>
      <c r="AI18" s="47" t="s">
        <v>106</v>
      </c>
      <c r="AJ18" s="48">
        <v>5.9</v>
      </c>
      <c r="AK18" s="49">
        <v>18</v>
      </c>
      <c r="AL18" s="50">
        <v>16</v>
      </c>
      <c r="AM18" s="11">
        <v>6.2</v>
      </c>
      <c r="AN18" s="11" t="s">
        <v>112</v>
      </c>
    </row>
    <row r="19" spans="1:40" ht="13" x14ac:dyDescent="0.25">
      <c r="A19" s="133" t="s">
        <v>90</v>
      </c>
      <c r="B19" s="134"/>
      <c r="C19" s="16">
        <f>C18-C17</f>
        <v>-42.386463999999997</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4" t="e">
        <f t="shared" si="1"/>
        <v>#N/A</v>
      </c>
      <c r="AI19" s="47" t="s">
        <v>107</v>
      </c>
      <c r="AJ19" s="48">
        <v>3.2</v>
      </c>
      <c r="AK19" s="49">
        <v>10.5</v>
      </c>
      <c r="AL19" s="50">
        <v>17</v>
      </c>
      <c r="AM19" s="11">
        <v>6.2</v>
      </c>
      <c r="AN19" s="11" t="s">
        <v>112</v>
      </c>
    </row>
    <row r="20" spans="1:40" ht="13.5" thickBot="1" x14ac:dyDescent="0.3">
      <c r="A20" s="131" t="s">
        <v>91</v>
      </c>
      <c r="B20" s="132"/>
      <c r="C20" s="25" t="str">
        <f>IF($B31="","",IF(C$19&gt;=0,"INCREASE","DECREASE"))</f>
        <v>DECREASE</v>
      </c>
      <c r="D20" s="25" t="str">
        <f>IF($B32="","",IF(D$19&gt;=0,"INCREASE","DECREASE"))</f>
        <v/>
      </c>
      <c r="E20" s="25" t="str">
        <f>IF($B33="","",IF(E$19&gt;=0,"INCREASE","DECREASE"))</f>
        <v/>
      </c>
      <c r="F20" s="25" t="str">
        <f>IF($B34="","",IF(F$19&gt;=0,"INCREASE","DECREASE"))</f>
        <v/>
      </c>
      <c r="G20" s="25" t="str">
        <f>IF($B35="","",IF(G$19&gt;=0,"INCREASE","DECREASE"))</f>
        <v/>
      </c>
      <c r="H20" s="25" t="str">
        <f>IF($B36="","",IF(H$19&gt;=0,"INCREASE","DECREASE"))</f>
        <v/>
      </c>
      <c r="I20" s="25" t="str">
        <f>IF($B37="","",IF(I$19&gt;=0,"INCREASE","DECREASE"))</f>
        <v/>
      </c>
      <c r="J20" s="25" t="str">
        <f>IF($B38="","",IF(J$19&gt;=0,"INCREASE","DECREASE"))</f>
        <v/>
      </c>
      <c r="K20" s="25" t="str">
        <f>IF($B39="","",IF(K$19&gt;=0,"INCREASE","DECREASE"))</f>
        <v/>
      </c>
      <c r="L20" s="25" t="str">
        <f>IF($B40="","",IF(L$19&gt;=0,"INCREASE","DECREASE"))</f>
        <v/>
      </c>
      <c r="M20" s="25" t="str">
        <f>IF($B41="","",IF(M$19&gt;=0,"INCREASE","DECREASE"))</f>
        <v/>
      </c>
      <c r="N20" s="25" t="str">
        <f>IF($B42="","",IF(N$19&gt;=0,"INCREASE","DECREASE"))</f>
        <v/>
      </c>
      <c r="O20" s="25" t="str">
        <f>IF($B43="","",IF(O$19&gt;=0,"INCREASE","DECREASE"))</f>
        <v/>
      </c>
      <c r="P20" s="25" t="str">
        <f>IF($B44="","",IF(P$19&gt;=0,"INCREASE","DECREASE"))</f>
        <v/>
      </c>
      <c r="Q20" s="25" t="str">
        <f>IF($B45="","",IF(Q$19&gt;=0,"INCREASE","DECREASE"))</f>
        <v/>
      </c>
      <c r="R20" s="25" t="str">
        <f>IF($B46="","",IF(R$19&gt;=0,"INCREASE","DECREASE"))</f>
        <v/>
      </c>
      <c r="S20" s="25" t="str">
        <f>IF($B47="","",IF(S$19&gt;=0,"INCREASE","DECREASE"))</f>
        <v/>
      </c>
      <c r="T20" s="25" t="str">
        <f>IF($B48="","",IF(T$19&gt;=0,"INCREASE","DECREASE"))</f>
        <v/>
      </c>
      <c r="U20" s="25" t="str">
        <f>IF($B49="","",IF(U$19&gt;=0,"INCREASE","DECREASE"))</f>
        <v/>
      </c>
      <c r="V20" s="26" t="str">
        <f>IF($B50="","",IF(V$19&gt;=0,"INCREASE","DECREASE"))</f>
        <v/>
      </c>
      <c r="AI20" s="47" t="s">
        <v>114</v>
      </c>
      <c r="AJ20" s="48">
        <v>2.1</v>
      </c>
      <c r="AK20" s="49">
        <v>7.2</v>
      </c>
      <c r="AL20" s="50">
        <v>18</v>
      </c>
      <c r="AM20" s="11">
        <v>6.2</v>
      </c>
      <c r="AN20" s="11" t="s">
        <v>112</v>
      </c>
    </row>
    <row r="21" spans="1:40" ht="13" x14ac:dyDescent="0.25">
      <c r="A21" s="135" t="s">
        <v>88</v>
      </c>
      <c r="B21" s="136"/>
      <c r="C21" s="27">
        <f>(VLOOKUP(C$14,$AI2:$AK26,3,FALSE))*C$15</f>
        <v>228</v>
      </c>
      <c r="D21" s="27">
        <f t="shared" ref="D21:V21" si="2">(VLOOKUP(D$14,$AI2:$AK26,3,FALSE))*D$15</f>
        <v>228</v>
      </c>
      <c r="E21" s="27">
        <f t="shared" si="2"/>
        <v>228</v>
      </c>
      <c r="F21" s="27">
        <f t="shared" si="2"/>
        <v>228</v>
      </c>
      <c r="G21" s="27">
        <f t="shared" si="2"/>
        <v>228</v>
      </c>
      <c r="H21" s="27">
        <f t="shared" si="2"/>
        <v>228</v>
      </c>
      <c r="I21" s="27">
        <f t="shared" si="2"/>
        <v>228</v>
      </c>
      <c r="J21" s="27">
        <f t="shared" si="2"/>
        <v>228</v>
      </c>
      <c r="K21" s="27">
        <f t="shared" si="2"/>
        <v>228</v>
      </c>
      <c r="L21" s="27" t="e">
        <f t="shared" si="2"/>
        <v>#N/A</v>
      </c>
      <c r="M21" s="27" t="e">
        <f t="shared" si="2"/>
        <v>#N/A</v>
      </c>
      <c r="N21" s="27" t="e">
        <f t="shared" si="2"/>
        <v>#N/A</v>
      </c>
      <c r="O21" s="27" t="e">
        <f t="shared" si="2"/>
        <v>#N/A</v>
      </c>
      <c r="P21" s="27" t="e">
        <f t="shared" si="2"/>
        <v>#N/A</v>
      </c>
      <c r="Q21" s="27" t="e">
        <f t="shared" si="2"/>
        <v>#N/A</v>
      </c>
      <c r="R21" s="27" t="e">
        <f t="shared" si="2"/>
        <v>#N/A</v>
      </c>
      <c r="S21" s="27" t="e">
        <f t="shared" si="2"/>
        <v>#N/A</v>
      </c>
      <c r="T21" s="27" t="e">
        <f t="shared" si="2"/>
        <v>#N/A</v>
      </c>
      <c r="U21" s="27" t="e">
        <f t="shared" si="2"/>
        <v>#N/A</v>
      </c>
      <c r="V21" s="27" t="e">
        <f t="shared" si="2"/>
        <v>#N/A</v>
      </c>
      <c r="AI21" s="62" t="s">
        <v>100</v>
      </c>
      <c r="AJ21" s="65">
        <v>11</v>
      </c>
      <c r="AK21" s="64">
        <v>12</v>
      </c>
      <c r="AL21" s="28">
        <v>19</v>
      </c>
      <c r="AM21" s="11">
        <v>6.7</v>
      </c>
      <c r="AN21" s="11" t="s">
        <v>135</v>
      </c>
    </row>
    <row r="22" spans="1:40" ht="13" x14ac:dyDescent="0.25">
      <c r="A22" s="133" t="s">
        <v>89</v>
      </c>
      <c r="B22" s="134"/>
      <c r="C22" s="16">
        <f>$E31</f>
        <v>5.1477599999999981</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2" t="s">
        <v>102</v>
      </c>
      <c r="AJ22" s="63">
        <v>1.2</v>
      </c>
      <c r="AK22" s="64">
        <v>5</v>
      </c>
      <c r="AL22" s="28">
        <v>20</v>
      </c>
      <c r="AM22" s="11">
        <v>6.7</v>
      </c>
      <c r="AN22" s="11" t="s">
        <v>135</v>
      </c>
    </row>
    <row r="23" spans="1:40" ht="13" x14ac:dyDescent="0.25">
      <c r="A23" s="133" t="s">
        <v>92</v>
      </c>
      <c r="B23" s="134"/>
      <c r="C23" s="16">
        <f>C22-C21</f>
        <v>-222.85223999999999</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2" t="s">
        <v>98</v>
      </c>
      <c r="AJ23" s="65">
        <v>9</v>
      </c>
      <c r="AK23" s="64">
        <v>10</v>
      </c>
      <c r="AL23" s="28">
        <v>21</v>
      </c>
      <c r="AM23" s="11">
        <v>6.7</v>
      </c>
      <c r="AN23" s="11" t="s">
        <v>135</v>
      </c>
    </row>
    <row r="24" spans="1:40" ht="13.5" thickBot="1" x14ac:dyDescent="0.3">
      <c r="A24" s="131" t="s">
        <v>93</v>
      </c>
      <c r="B24" s="132"/>
      <c r="C24" s="25" t="str">
        <f>IF($B31="","",IF(C$23&gt;=0,"INCREASE","DECREASE"))</f>
        <v>DECREASE</v>
      </c>
      <c r="D24" s="25" t="str">
        <f t="shared" ref="D24:V24" si="4">IF($B31="","",IF(D$23&gt;=0,"INCREASE","DECREASE"))</f>
        <v>DECREASE</v>
      </c>
      <c r="E24" s="25" t="str">
        <f t="shared" si="4"/>
        <v>DECREASE</v>
      </c>
      <c r="F24" s="25" t="str">
        <f t="shared" si="4"/>
        <v>DECREASE</v>
      </c>
      <c r="G24" s="25" t="str">
        <f t="shared" si="4"/>
        <v>DECREASE</v>
      </c>
      <c r="H24" s="25" t="str">
        <f t="shared" si="4"/>
        <v>DECREASE</v>
      </c>
      <c r="I24" s="25" t="str">
        <f t="shared" si="4"/>
        <v>DECREASE</v>
      </c>
      <c r="J24" s="25" t="str">
        <f t="shared" si="4"/>
        <v>DECREASE</v>
      </c>
      <c r="K24" s="25" t="str">
        <f t="shared" si="4"/>
        <v>DECREASE</v>
      </c>
      <c r="L24" s="25" t="e">
        <f t="shared" si="4"/>
        <v>#N/A</v>
      </c>
      <c r="M24" s="25" t="e">
        <f t="shared" si="4"/>
        <v>#N/A</v>
      </c>
      <c r="N24" s="25" t="e">
        <f t="shared" si="4"/>
        <v>#N/A</v>
      </c>
      <c r="O24" s="25" t="e">
        <f t="shared" si="4"/>
        <v>#N/A</v>
      </c>
      <c r="P24" s="25" t="e">
        <f t="shared" si="4"/>
        <v>#N/A</v>
      </c>
      <c r="Q24" s="25" t="e">
        <f t="shared" si="4"/>
        <v>#N/A</v>
      </c>
      <c r="R24" s="25" t="e">
        <f t="shared" si="4"/>
        <v>#N/A</v>
      </c>
      <c r="S24" s="25" t="e">
        <f t="shared" si="4"/>
        <v>#N/A</v>
      </c>
      <c r="T24" s="25" t="e">
        <f t="shared" si="4"/>
        <v>#N/A</v>
      </c>
      <c r="U24" s="25" t="e">
        <f t="shared" si="4"/>
        <v>#N/A</v>
      </c>
      <c r="V24" s="25" t="e">
        <f t="shared" si="4"/>
        <v>#N/A</v>
      </c>
      <c r="AI24" s="62" t="s">
        <v>99</v>
      </c>
      <c r="AJ24" s="65">
        <v>1.5</v>
      </c>
      <c r="AK24" s="64">
        <v>3</v>
      </c>
      <c r="AL24" s="28">
        <v>22</v>
      </c>
      <c r="AM24" s="11">
        <v>6.7</v>
      </c>
      <c r="AN24" s="11" t="s">
        <v>135</v>
      </c>
    </row>
    <row r="25" spans="1:40" x14ac:dyDescent="0.25">
      <c r="C25" s="56"/>
      <c r="D25" s="66"/>
      <c r="E25" s="66"/>
      <c r="F25" s="66"/>
      <c r="AI25" s="62" t="s">
        <v>117</v>
      </c>
      <c r="AJ25" s="65">
        <v>1</v>
      </c>
      <c r="AK25" s="64">
        <v>5.8</v>
      </c>
      <c r="AL25" s="28">
        <v>23</v>
      </c>
      <c r="AM25" s="11">
        <v>6.7</v>
      </c>
      <c r="AN25" s="11" t="s">
        <v>135</v>
      </c>
    </row>
    <row r="26" spans="1:40" s="10" customFormat="1" ht="13" x14ac:dyDescent="0.25">
      <c r="A26" s="103"/>
      <c r="B26" s="3" t="s">
        <v>10</v>
      </c>
      <c r="C26" s="3" t="s">
        <v>75</v>
      </c>
      <c r="D26" s="104" t="s">
        <v>11</v>
      </c>
      <c r="E26" s="104" t="s">
        <v>12</v>
      </c>
      <c r="F26" s="104" t="s">
        <v>13</v>
      </c>
      <c r="G26" s="3" t="s">
        <v>14</v>
      </c>
      <c r="H26" s="104" t="s">
        <v>15</v>
      </c>
      <c r="I26" s="104" t="s">
        <v>16</v>
      </c>
      <c r="J26" s="3" t="s">
        <v>17</v>
      </c>
      <c r="K26" s="3" t="s">
        <v>18</v>
      </c>
      <c r="L26" s="3" t="s">
        <v>19</v>
      </c>
      <c r="M26" s="3" t="s">
        <v>20</v>
      </c>
      <c r="N26" s="3" t="s">
        <v>61</v>
      </c>
      <c r="O26" s="3" t="s">
        <v>62</v>
      </c>
      <c r="P26" s="104" t="s">
        <v>39</v>
      </c>
      <c r="Q26" s="104" t="s">
        <v>40</v>
      </c>
      <c r="R26" s="104" t="s">
        <v>35</v>
      </c>
      <c r="S26" s="104" t="s">
        <v>36</v>
      </c>
      <c r="T26" s="104" t="s">
        <v>37</v>
      </c>
      <c r="U26" s="104" t="s">
        <v>38</v>
      </c>
      <c r="AI26" s="67" t="s">
        <v>116</v>
      </c>
      <c r="AJ26" s="68">
        <v>0.7</v>
      </c>
      <c r="AK26" s="69">
        <v>2.4</v>
      </c>
      <c r="AL26" s="28">
        <v>24</v>
      </c>
      <c r="AM26" s="10">
        <v>6.7</v>
      </c>
      <c r="AN26" s="11" t="s">
        <v>135</v>
      </c>
    </row>
    <row r="27" spans="1:40" s="56" customFormat="1" x14ac:dyDescent="0.35">
      <c r="A27" s="105"/>
      <c r="B27" s="70" t="s">
        <v>46</v>
      </c>
      <c r="C27" s="106" t="s">
        <v>57</v>
      </c>
      <c r="D27" s="106" t="s">
        <v>57</v>
      </c>
      <c r="E27" s="106" t="s">
        <v>57</v>
      </c>
      <c r="F27" s="106" t="s">
        <v>55</v>
      </c>
      <c r="G27" s="106" t="s">
        <v>55</v>
      </c>
      <c r="H27" s="106" t="s">
        <v>55</v>
      </c>
      <c r="I27" s="106" t="s">
        <v>55</v>
      </c>
      <c r="J27" s="106" t="s">
        <v>55</v>
      </c>
      <c r="K27" s="106" t="s">
        <v>55</v>
      </c>
      <c r="L27" s="106" t="s">
        <v>55</v>
      </c>
      <c r="M27" s="106" t="s">
        <v>55</v>
      </c>
      <c r="N27" s="106" t="s">
        <v>55</v>
      </c>
      <c r="O27" s="106" t="s">
        <v>55</v>
      </c>
      <c r="P27" s="106"/>
      <c r="Q27" s="106" t="s">
        <v>55</v>
      </c>
      <c r="R27" s="106" t="s">
        <v>55</v>
      </c>
      <c r="S27" s="106" t="s">
        <v>55</v>
      </c>
      <c r="T27" s="106"/>
      <c r="U27" s="106"/>
    </row>
    <row r="28" spans="1:40" s="56" customFormat="1" x14ac:dyDescent="0.35">
      <c r="A28" s="107"/>
      <c r="B28" s="23">
        <v>3.84</v>
      </c>
      <c r="C28" s="15">
        <v>0.63600000000000001</v>
      </c>
      <c r="D28" s="15">
        <v>0.10100000000000001</v>
      </c>
      <c r="E28" s="15">
        <v>4.4499999999999998E-2</v>
      </c>
      <c r="F28" s="15">
        <v>1080</v>
      </c>
      <c r="G28" s="15">
        <v>21.1</v>
      </c>
      <c r="H28" s="15">
        <v>52.2</v>
      </c>
      <c r="I28" s="15">
        <v>6.2</v>
      </c>
      <c r="J28" s="15">
        <v>0.25</v>
      </c>
      <c r="K28" s="15">
        <v>0.53</v>
      </c>
      <c r="L28" s="15">
        <v>5.0999999999999996</v>
      </c>
      <c r="M28" s="15">
        <v>4.3</v>
      </c>
      <c r="N28" s="15">
        <v>104000</v>
      </c>
      <c r="O28" s="15">
        <v>7840</v>
      </c>
      <c r="P28" s="15"/>
      <c r="Q28" s="15">
        <v>3810</v>
      </c>
      <c r="R28" s="15"/>
      <c r="S28" s="15">
        <v>40.700000000000003</v>
      </c>
      <c r="T28" s="15"/>
      <c r="U28" s="15"/>
    </row>
    <row r="29" spans="1:40" s="7" customFormat="1" ht="28" x14ac:dyDescent="0.35">
      <c r="A29" s="140"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41"/>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1" customFormat="1" ht="13" x14ac:dyDescent="0.35">
      <c r="A31" s="13" t="str">
        <f>C8</f>
        <v>1 (Ystrad)</v>
      </c>
      <c r="B31" s="15">
        <v>250</v>
      </c>
      <c r="C31" s="76">
        <f>IF(C$27="%w/w SAR",((C$28*10)*$B31),IF(C$27="%w/w DM",(((C$28*10)*($B$28/100))*$B31),IF(C$27="kg/t SAR",(C$28*$B31),IF(C$27="kg/t DM",((C$28*($B$28/100))*$B31),IF(C$27="mg/kg SAR",((C$28*0.001)*$B31),IF(C$27="mg/kg DM",(((C$28*0.001)*($B$28/100))*$B31),0))))))</f>
        <v>61.055999999999997</v>
      </c>
      <c r="D31" s="76">
        <f>(IF(D$27="%w/w SAR",((D$28*10)*$B31),IF(D$27="%w/w DM",(((D$28*10)*($B$28/100))*$B31),IF(D$27="kg/t SAR",(D$28*$B31),IF(D$27="kg/t DM",((D$28*($B$28/100))*$B31),IF(D$27="mg/kg SAR",((D$28*0.001)*$B31),IF(D$27="mg/kg DM",(((D$28*0.001)*($B$28/100))*$B31),"0")))))))*2.291</f>
        <v>22.213535999999998</v>
      </c>
      <c r="E31" s="76">
        <f>(IF(E$27="%w/w SAR",((E$28*10)*$B31),IF(E$27="%w/w DM",(((E$28*10)*($B$28/100))*$B31),IF(E$27="kg/t SAR",(E$28*$B31),IF(E$27="kg/t DM",((E$28*($B$28/100))*$B31),IF(E$27="mg/kg SAR",((E$28*0.001)*$B31),IF(E$27="mg/kg DM",(((E$28*0.001)*($B$28/100))*$B31),"0")))))))*1.205</f>
        <v>5.1477599999999981</v>
      </c>
      <c r="F31" s="76">
        <f>(IF(F$27="%w/w SAR",((F$28*10)*$B31),IF(F$27="%w/w DM",(((F$28*10)*($B$28/100))*$B31),IF(F$27="kg/t SAR",(F$28*$B31),IF(F$27="kg/t DM",((F$28*($B$28/100))*$B31),IF(F$27="mg/kg SAR",((F$28*0.001)*$B31),IF(F$27="mg/kg DM",(((F$28*0.001)*($B$28/100))*$B31),"0")))))))*1.658</f>
        <v>17.190144</v>
      </c>
      <c r="G31" s="76">
        <f t="shared" ref="G31:P46" si="5">IF(G$27="%w/w SAR",((G$28*10)*$B31),IF(G$27="%w/w DM",(((G$28*10)*($B$28/100))*$B31),IF(G$27="kg/t SAR",(G$28*$B31),IF(G$27="kg/t DM",((G$28*($B$28/100))*$B31),IF(G$27="mg/kg SAR",((G$28*0.001)*$B31),IF(G$27="mg/kg DM",(((G$28*0.001)*($B$28/100))*$B31),0))))))</f>
        <v>0.20255999999999999</v>
      </c>
      <c r="H31" s="76">
        <f t="shared" si="5"/>
        <v>0.50112000000000001</v>
      </c>
      <c r="I31" s="76">
        <f t="shared" si="5"/>
        <v>5.9519999999999997E-2</v>
      </c>
      <c r="J31" s="76">
        <f t="shared" si="5"/>
        <v>2.3999999999999998E-3</v>
      </c>
      <c r="K31" s="76">
        <f t="shared" si="5"/>
        <v>5.0880000000000005E-3</v>
      </c>
      <c r="L31" s="76">
        <f t="shared" si="5"/>
        <v>4.895999999999999E-2</v>
      </c>
      <c r="M31" s="76">
        <f t="shared" si="5"/>
        <v>4.1279999999999997E-2</v>
      </c>
      <c r="N31" s="76">
        <f t="shared" si="5"/>
        <v>998.4</v>
      </c>
      <c r="O31" s="76">
        <f t="shared" si="5"/>
        <v>75.263999999999996</v>
      </c>
      <c r="P31" s="76">
        <f t="shared" si="5"/>
        <v>0</v>
      </c>
      <c r="Q31" s="76">
        <f>(IF(Q$27="%w/w SAR",((Q$28*10)*$B31),IF(Q$27="%w/w DM",(((Q$28*10)*($B$28/100))*$B31),IF(Q$27="kg/t SAR",(Q$28*$B31),IF(Q$27="kg/t DM",((Q$28*($B$28/100))*$B31),IF(Q$27="mg/kg SAR",((Q$28*0.001)*$B31),IF(Q$27="mg/kg DM",(((Q$28*0.001)*($B$28/100))*$B31),0)))))))*2.5</f>
        <v>91.44</v>
      </c>
      <c r="R31" s="76">
        <f>IF(R$27="%w/w SAR",((R$28*10)*$B31),IF(R$27="%w/w DM",(((R$28*10)*($B$28/100))*$B31),IF(R$27="kg/t SAR",(R$28*$B31),IF(R$27="kg/t DM",((R$28*($B$28/100))*$B31),IF(R$27="mg/kg SAR",((R$28*0.001)*$B31),IF(R$27="mg/kg DM",(((R$28*0.001)*($B$28/100))*$B31),0))))))</f>
        <v>0</v>
      </c>
      <c r="S31" s="76">
        <f>IF(S$27="%w/w SAR",((S$28*10)*$B31),IF(S$27="%w/w DM",(((S$28*10)*($B$28/100))*$B31),IF(S$27="kg/t SAR",(S$28*$B31),IF(S$27="kg/t DM",((S$28*($B$28/100))*$B31),IF(S$27="mg/kg SAR",((S$28*0.001)*$B31),IF(S$27="mg/kg DM",(((S$28*0.001)*($B$28/100))*$B31),0))))))</f>
        <v>0.39072000000000007</v>
      </c>
      <c r="T31" s="76">
        <f>IF(T$27="%w/w SAR",((T$28*10)*$B31),IF(T$27="%w/w DM",(((T$28*10)*($B$28/100))*$B31),IF(T$27="kg/t SAR",(T$28*$B31),IF(T$27="kg/t DM",((T$28*($B$28/100))*$B31),IF(T$27="mg/kg SAR",((T$28*0.001)*$B31),IF(T$27="mg/kg DM",(((T$28*0.001)*($B$28/100))*$B31),0))))))</f>
        <v>0</v>
      </c>
      <c r="U31" s="76">
        <f>IF(U$27="%w/w SAR",((U$28*10)*$B31),IF(U$27="%w/w DM",(((U$28*10)*($B$28/100))*$B31),IF(U$27="kg/t SAR",(U$28*$B31),IF(U$27="kg/t DM",((U$28*($B$28/100))*$B31),IF(U$27="mg/kg SAR",((U$28*0.001)*$B31),IF(U$27="mg/kg DM",(((U$28*0.001)*($B$28/100))*$B31),0))))))</f>
        <v>0</v>
      </c>
      <c r="AB31" s="58"/>
      <c r="AC31" s="58"/>
      <c r="AD31" s="58"/>
      <c r="AE31" s="58"/>
      <c r="AF31" s="58"/>
      <c r="AG31" s="58"/>
      <c r="AH31" s="58"/>
      <c r="AI31" s="58"/>
    </row>
    <row r="32" spans="1:40" s="71" customFormat="1" ht="13" x14ac:dyDescent="0.35">
      <c r="A32" s="13">
        <f>D8</f>
        <v>2</v>
      </c>
      <c r="B32" s="15"/>
      <c r="C32" s="76">
        <f t="shared" ref="C32:C50" si="6">IF(C$27="%w/w SAR",((C$28*10)*$B32),IF(C$27="%w/w DM",(((C$28*10)*($B$28/100))*$B32),IF(C$27="kg/t SAR",(C$28*$B32),IF(C$27="kg/t DM",((C$28*($B$28/100))*$B32),IF(C$27="mg/kg SAR",((C$28*0.001)*$B32),IF(C$27="mg/kg DM",(((C$28*0.001)*($B$28/100))*$B32),0))))))</f>
        <v>0</v>
      </c>
      <c r="D32" s="76">
        <f t="shared" ref="D32:D50" si="7">(IF(D$27="%w/w SAR",((D$28*10)*$B32),IF(D$27="%w/w DM",(((D$28*10)*($B$28/100))*$B32),IF(D$27="kg/t SAR",(D$28*$B32),IF(D$27="kg/t DM",((D$28*($B$28/100))*$B32),IF(D$27="mg/kg SAR",((D$28*0.001)*$B32),IF(D$27="mg/kg DM",(((D$28*0.001)*($B$28/100))*$B32),"0")))))))*2.291</f>
        <v>0</v>
      </c>
      <c r="E32" s="76">
        <f t="shared" ref="E32:E50" si="8">(IF(E$27="%w/w SAR",((E$28*10)*$B32),IF(E$27="%w/w DM",(((E$28*10)*($B$28/100))*$B32),IF(E$27="kg/t SAR",(E$28*$B32),IF(E$27="kg/t DM",((E$28*($B$28/100))*$B32),IF(E$27="mg/kg SAR",((E$28*0.001)*$B32),IF(E$27="mg/kg DM",(((E$28*0.001)*($B$28/100))*$B32),"0")))))))*1.205</f>
        <v>0</v>
      </c>
      <c r="F32" s="76">
        <f t="shared" ref="F32:F50" si="9">(IF(F$27="%w/w SAR",((F$28*10)*$B32),IF(F$27="%w/w DM",(((F$28*10)*($B$28/100))*$B32),IF(F$27="kg/t SAR",(F$28*$B32),IF(F$27="kg/t DM",((F$28*($B$28/100))*$B32),IF(F$27="mg/kg SAR",((F$28*0.001)*$B32),IF(F$27="mg/kg DM",(((F$28*0.001)*($B$28/100))*$B32),"0")))))))*1.658</f>
        <v>0</v>
      </c>
      <c r="G32" s="76">
        <f t="shared" si="5"/>
        <v>0</v>
      </c>
      <c r="H32" s="76">
        <f t="shared" si="5"/>
        <v>0</v>
      </c>
      <c r="I32" s="76">
        <f t="shared" si="5"/>
        <v>0</v>
      </c>
      <c r="J32" s="76">
        <f t="shared" si="5"/>
        <v>0</v>
      </c>
      <c r="K32" s="76">
        <f t="shared" si="5"/>
        <v>0</v>
      </c>
      <c r="L32" s="76">
        <f t="shared" si="5"/>
        <v>0</v>
      </c>
      <c r="M32" s="76">
        <f t="shared" si="5"/>
        <v>0</v>
      </c>
      <c r="N32" s="76">
        <f t="shared" si="5"/>
        <v>0</v>
      </c>
      <c r="O32" s="76">
        <f t="shared" si="5"/>
        <v>0</v>
      </c>
      <c r="P32" s="76">
        <f t="shared" si="5"/>
        <v>0</v>
      </c>
      <c r="Q32" s="76">
        <f t="shared" ref="Q32:Q50" si="10">(IF(Q$27="%w/w SAR",((Q$28*10)*$B32),IF(Q$27="%w/w DM",(((Q$28*10)*($B$28/100))*$B32),IF(Q$27="kg/t SAR",(Q$28*$B32),IF(Q$27="kg/t DM",((Q$28*($B$28/100))*$B32),IF(Q$27="mg/kg SAR",((Q$28*0.001)*$B32),IF(Q$27="mg/kg DM",(((Q$28*0.001)*($B$28/100))*$B32),0)))))))*2.5</f>
        <v>0</v>
      </c>
      <c r="R32" s="76">
        <f t="shared" ref="R32:U50" si="11">IF(R$27="%w/w SAR",((R$28*10)*$B32),IF(R$27="%w/w DM",(((R$28*10)*($B$28/100))*$B32),IF(R$27="kg/t SAR",(R$28*$B32),IF(R$27="kg/t DM",((R$28*($B$28/100))*$B32),IF(R$27="mg/kg SAR",((R$28*0.001)*$B32),IF(R$27="mg/kg DM",(((R$28*0.001)*($B$28/100))*$B32),0))))))</f>
        <v>0</v>
      </c>
      <c r="S32" s="76">
        <f t="shared" si="11"/>
        <v>0</v>
      </c>
      <c r="T32" s="76">
        <f t="shared" si="11"/>
        <v>0</v>
      </c>
      <c r="U32" s="76">
        <f t="shared" si="11"/>
        <v>0</v>
      </c>
      <c r="AB32" s="58"/>
      <c r="AC32" s="58"/>
      <c r="AD32" s="58"/>
      <c r="AE32" s="58"/>
      <c r="AF32" s="58"/>
      <c r="AG32" s="58"/>
      <c r="AH32" s="58"/>
      <c r="AI32" s="58"/>
    </row>
    <row r="33" spans="1:35" s="71" customFormat="1" ht="13" x14ac:dyDescent="0.35">
      <c r="A33" s="13">
        <f>E8</f>
        <v>3</v>
      </c>
      <c r="B33" s="15"/>
      <c r="C33" s="76">
        <f t="shared" si="6"/>
        <v>0</v>
      </c>
      <c r="D33" s="76">
        <f t="shared" si="7"/>
        <v>0</v>
      </c>
      <c r="E33" s="76">
        <f t="shared" si="8"/>
        <v>0</v>
      </c>
      <c r="F33" s="76">
        <f t="shared" si="9"/>
        <v>0</v>
      </c>
      <c r="G33" s="76">
        <f t="shared" si="5"/>
        <v>0</v>
      </c>
      <c r="H33" s="76">
        <f t="shared" si="5"/>
        <v>0</v>
      </c>
      <c r="I33" s="76">
        <f t="shared" si="5"/>
        <v>0</v>
      </c>
      <c r="J33" s="76">
        <f t="shared" si="5"/>
        <v>0</v>
      </c>
      <c r="K33" s="76">
        <f t="shared" si="5"/>
        <v>0</v>
      </c>
      <c r="L33" s="76">
        <f t="shared" si="5"/>
        <v>0</v>
      </c>
      <c r="M33" s="76">
        <f t="shared" si="5"/>
        <v>0</v>
      </c>
      <c r="N33" s="76">
        <f t="shared" si="5"/>
        <v>0</v>
      </c>
      <c r="O33" s="76">
        <f t="shared" si="5"/>
        <v>0</v>
      </c>
      <c r="P33" s="76">
        <f t="shared" si="5"/>
        <v>0</v>
      </c>
      <c r="Q33" s="76">
        <f t="shared" si="10"/>
        <v>0</v>
      </c>
      <c r="R33" s="76">
        <f t="shared" si="11"/>
        <v>0</v>
      </c>
      <c r="S33" s="76">
        <f t="shared" si="11"/>
        <v>0</v>
      </c>
      <c r="T33" s="76">
        <f t="shared" si="11"/>
        <v>0</v>
      </c>
      <c r="U33" s="76">
        <f t="shared" si="11"/>
        <v>0</v>
      </c>
      <c r="AB33" s="58"/>
      <c r="AC33" s="58"/>
      <c r="AD33" s="58"/>
      <c r="AE33" s="58"/>
      <c r="AF33" s="58"/>
      <c r="AG33" s="58"/>
      <c r="AH33" s="58"/>
      <c r="AI33" s="58"/>
    </row>
    <row r="34" spans="1:35" s="71" customFormat="1" ht="13" x14ac:dyDescent="0.35">
      <c r="A34" s="13">
        <f>F8</f>
        <v>4</v>
      </c>
      <c r="B34" s="15"/>
      <c r="C34" s="76">
        <f t="shared" si="6"/>
        <v>0</v>
      </c>
      <c r="D34" s="76">
        <f t="shared" si="7"/>
        <v>0</v>
      </c>
      <c r="E34" s="76">
        <f t="shared" si="8"/>
        <v>0</v>
      </c>
      <c r="F34" s="76">
        <f t="shared" si="9"/>
        <v>0</v>
      </c>
      <c r="G34" s="76">
        <f t="shared" si="5"/>
        <v>0</v>
      </c>
      <c r="H34" s="76">
        <f t="shared" si="5"/>
        <v>0</v>
      </c>
      <c r="I34" s="76">
        <f t="shared" si="5"/>
        <v>0</v>
      </c>
      <c r="J34" s="76">
        <f t="shared" si="5"/>
        <v>0</v>
      </c>
      <c r="K34" s="76">
        <f t="shared" si="5"/>
        <v>0</v>
      </c>
      <c r="L34" s="76">
        <f t="shared" si="5"/>
        <v>0</v>
      </c>
      <c r="M34" s="76">
        <f t="shared" si="5"/>
        <v>0</v>
      </c>
      <c r="N34" s="76">
        <f t="shared" si="5"/>
        <v>0</v>
      </c>
      <c r="O34" s="76">
        <f t="shared" si="5"/>
        <v>0</v>
      </c>
      <c r="P34" s="76">
        <f t="shared" si="5"/>
        <v>0</v>
      </c>
      <c r="Q34" s="76">
        <f t="shared" si="10"/>
        <v>0</v>
      </c>
      <c r="R34" s="76">
        <f t="shared" si="11"/>
        <v>0</v>
      </c>
      <c r="S34" s="76">
        <f t="shared" si="11"/>
        <v>0</v>
      </c>
      <c r="T34" s="76">
        <f t="shared" si="11"/>
        <v>0</v>
      </c>
      <c r="U34" s="76">
        <f t="shared" si="11"/>
        <v>0</v>
      </c>
      <c r="AB34" s="58"/>
      <c r="AC34" s="58"/>
      <c r="AD34" s="58"/>
      <c r="AE34" s="58"/>
      <c r="AF34" s="58"/>
      <c r="AG34" s="58"/>
      <c r="AH34" s="58"/>
      <c r="AI34" s="58"/>
    </row>
    <row r="35" spans="1:35" s="71" customFormat="1" ht="13" x14ac:dyDescent="0.35">
      <c r="A35" s="13">
        <f>G8</f>
        <v>5</v>
      </c>
      <c r="B35" s="15"/>
      <c r="C35" s="76">
        <f t="shared" si="6"/>
        <v>0</v>
      </c>
      <c r="D35" s="76">
        <f t="shared" si="7"/>
        <v>0</v>
      </c>
      <c r="E35" s="76">
        <f t="shared" si="8"/>
        <v>0</v>
      </c>
      <c r="F35" s="76">
        <f t="shared" si="9"/>
        <v>0</v>
      </c>
      <c r="G35" s="76">
        <f t="shared" si="5"/>
        <v>0</v>
      </c>
      <c r="H35" s="76">
        <f t="shared" si="5"/>
        <v>0</v>
      </c>
      <c r="I35" s="76">
        <f t="shared" si="5"/>
        <v>0</v>
      </c>
      <c r="J35" s="76">
        <f t="shared" si="5"/>
        <v>0</v>
      </c>
      <c r="K35" s="76">
        <f t="shared" si="5"/>
        <v>0</v>
      </c>
      <c r="L35" s="76">
        <f t="shared" si="5"/>
        <v>0</v>
      </c>
      <c r="M35" s="76">
        <f t="shared" si="5"/>
        <v>0</v>
      </c>
      <c r="N35" s="76">
        <f t="shared" si="5"/>
        <v>0</v>
      </c>
      <c r="O35" s="76">
        <f t="shared" si="5"/>
        <v>0</v>
      </c>
      <c r="P35" s="76">
        <f t="shared" si="5"/>
        <v>0</v>
      </c>
      <c r="Q35" s="76">
        <f t="shared" si="10"/>
        <v>0</v>
      </c>
      <c r="R35" s="76">
        <f t="shared" si="11"/>
        <v>0</v>
      </c>
      <c r="S35" s="76">
        <f t="shared" si="11"/>
        <v>0</v>
      </c>
      <c r="T35" s="76">
        <f t="shared" si="11"/>
        <v>0</v>
      </c>
      <c r="U35" s="76">
        <f t="shared" si="11"/>
        <v>0</v>
      </c>
      <c r="AB35" s="58"/>
      <c r="AC35" s="58"/>
      <c r="AD35" s="58"/>
      <c r="AE35" s="58"/>
      <c r="AF35" s="58"/>
      <c r="AG35" s="58"/>
      <c r="AH35" s="58"/>
      <c r="AI35" s="58"/>
    </row>
    <row r="36" spans="1:35" s="71" customFormat="1" ht="13" x14ac:dyDescent="0.35">
      <c r="A36" s="13">
        <f>H8</f>
        <v>6</v>
      </c>
      <c r="B36" s="15"/>
      <c r="C36" s="76">
        <f t="shared" si="6"/>
        <v>0</v>
      </c>
      <c r="D36" s="76">
        <f t="shared" si="7"/>
        <v>0</v>
      </c>
      <c r="E36" s="76">
        <f t="shared" si="8"/>
        <v>0</v>
      </c>
      <c r="F36" s="76">
        <f t="shared" si="9"/>
        <v>0</v>
      </c>
      <c r="G36" s="76">
        <f t="shared" si="5"/>
        <v>0</v>
      </c>
      <c r="H36" s="76">
        <f t="shared" si="5"/>
        <v>0</v>
      </c>
      <c r="I36" s="76">
        <f t="shared" si="5"/>
        <v>0</v>
      </c>
      <c r="J36" s="76">
        <f t="shared" si="5"/>
        <v>0</v>
      </c>
      <c r="K36" s="76">
        <f t="shared" si="5"/>
        <v>0</v>
      </c>
      <c r="L36" s="76">
        <f t="shared" si="5"/>
        <v>0</v>
      </c>
      <c r="M36" s="76">
        <f t="shared" si="5"/>
        <v>0</v>
      </c>
      <c r="N36" s="76">
        <f t="shared" si="5"/>
        <v>0</v>
      </c>
      <c r="O36" s="76">
        <f t="shared" si="5"/>
        <v>0</v>
      </c>
      <c r="P36" s="76">
        <f t="shared" si="5"/>
        <v>0</v>
      </c>
      <c r="Q36" s="76">
        <f t="shared" si="10"/>
        <v>0</v>
      </c>
      <c r="R36" s="76">
        <f t="shared" si="11"/>
        <v>0</v>
      </c>
      <c r="S36" s="76">
        <f t="shared" si="11"/>
        <v>0</v>
      </c>
      <c r="T36" s="76">
        <f t="shared" si="11"/>
        <v>0</v>
      </c>
      <c r="U36" s="76">
        <f t="shared" si="11"/>
        <v>0</v>
      </c>
      <c r="AB36" s="58"/>
      <c r="AC36" s="58"/>
      <c r="AD36" s="58"/>
      <c r="AE36" s="58"/>
      <c r="AF36" s="58"/>
      <c r="AG36" s="58"/>
      <c r="AH36" s="58"/>
      <c r="AI36" s="58"/>
    </row>
    <row r="37" spans="1:35" s="71" customFormat="1" ht="13" x14ac:dyDescent="0.35">
      <c r="A37" s="13">
        <f>I8</f>
        <v>7</v>
      </c>
      <c r="B37" s="15"/>
      <c r="C37" s="76">
        <f t="shared" si="6"/>
        <v>0</v>
      </c>
      <c r="D37" s="76">
        <f t="shared" si="7"/>
        <v>0</v>
      </c>
      <c r="E37" s="76">
        <f t="shared" si="8"/>
        <v>0</v>
      </c>
      <c r="F37" s="76">
        <f t="shared" si="9"/>
        <v>0</v>
      </c>
      <c r="G37" s="76">
        <f t="shared" si="5"/>
        <v>0</v>
      </c>
      <c r="H37" s="76">
        <f t="shared" si="5"/>
        <v>0</v>
      </c>
      <c r="I37" s="76">
        <f t="shared" si="5"/>
        <v>0</v>
      </c>
      <c r="J37" s="76">
        <f t="shared" si="5"/>
        <v>0</v>
      </c>
      <c r="K37" s="76">
        <f t="shared" si="5"/>
        <v>0</v>
      </c>
      <c r="L37" s="76">
        <f t="shared" si="5"/>
        <v>0</v>
      </c>
      <c r="M37" s="76">
        <f t="shared" si="5"/>
        <v>0</v>
      </c>
      <c r="N37" s="76">
        <f t="shared" si="5"/>
        <v>0</v>
      </c>
      <c r="O37" s="76">
        <f t="shared" si="5"/>
        <v>0</v>
      </c>
      <c r="P37" s="76">
        <f t="shared" si="5"/>
        <v>0</v>
      </c>
      <c r="Q37" s="76">
        <f t="shared" si="10"/>
        <v>0</v>
      </c>
      <c r="R37" s="76">
        <f t="shared" si="11"/>
        <v>0</v>
      </c>
      <c r="S37" s="76">
        <f t="shared" si="11"/>
        <v>0</v>
      </c>
      <c r="T37" s="76">
        <f t="shared" si="11"/>
        <v>0</v>
      </c>
      <c r="U37" s="76">
        <f t="shared" si="11"/>
        <v>0</v>
      </c>
      <c r="AB37" s="58"/>
      <c r="AC37" s="58"/>
      <c r="AD37" s="58"/>
      <c r="AE37" s="58"/>
      <c r="AF37" s="58"/>
      <c r="AG37" s="58"/>
      <c r="AH37" s="58"/>
      <c r="AI37" s="58"/>
    </row>
    <row r="38" spans="1:35" s="71" customFormat="1" ht="13" x14ac:dyDescent="0.35">
      <c r="A38" s="13" t="str">
        <f>J8</f>
        <v xml:space="preserve">1 (Bwlch) </v>
      </c>
      <c r="B38" s="15"/>
      <c r="C38" s="76">
        <f t="shared" si="6"/>
        <v>0</v>
      </c>
      <c r="D38" s="76">
        <f t="shared" si="7"/>
        <v>0</v>
      </c>
      <c r="E38" s="76">
        <f t="shared" si="8"/>
        <v>0</v>
      </c>
      <c r="F38" s="76">
        <f t="shared" si="9"/>
        <v>0</v>
      </c>
      <c r="G38" s="76">
        <f t="shared" si="5"/>
        <v>0</v>
      </c>
      <c r="H38" s="76">
        <f t="shared" si="5"/>
        <v>0</v>
      </c>
      <c r="I38" s="76">
        <f t="shared" si="5"/>
        <v>0</v>
      </c>
      <c r="J38" s="76">
        <f t="shared" si="5"/>
        <v>0</v>
      </c>
      <c r="K38" s="76">
        <f t="shared" si="5"/>
        <v>0</v>
      </c>
      <c r="L38" s="76">
        <f t="shared" si="5"/>
        <v>0</v>
      </c>
      <c r="M38" s="76">
        <f t="shared" si="5"/>
        <v>0</v>
      </c>
      <c r="N38" s="76">
        <f t="shared" si="5"/>
        <v>0</v>
      </c>
      <c r="O38" s="76">
        <f t="shared" si="5"/>
        <v>0</v>
      </c>
      <c r="P38" s="76">
        <f t="shared" si="5"/>
        <v>0</v>
      </c>
      <c r="Q38" s="76">
        <f t="shared" si="10"/>
        <v>0</v>
      </c>
      <c r="R38" s="76">
        <f t="shared" si="11"/>
        <v>0</v>
      </c>
      <c r="S38" s="76">
        <f t="shared" si="11"/>
        <v>0</v>
      </c>
      <c r="T38" s="76">
        <f t="shared" si="11"/>
        <v>0</v>
      </c>
      <c r="U38" s="76">
        <f t="shared" si="11"/>
        <v>0</v>
      </c>
      <c r="AB38" s="58"/>
      <c r="AC38" s="58"/>
      <c r="AD38" s="58"/>
      <c r="AE38" s="58"/>
      <c r="AF38" s="58"/>
      <c r="AG38" s="58"/>
      <c r="AH38" s="58"/>
      <c r="AI38" s="58"/>
    </row>
    <row r="39" spans="1:35" s="71" customFormat="1" ht="13" x14ac:dyDescent="0.35">
      <c r="A39" s="13">
        <f>K8</f>
        <v>20</v>
      </c>
      <c r="B39" s="15"/>
      <c r="C39" s="76">
        <f t="shared" si="6"/>
        <v>0</v>
      </c>
      <c r="D39" s="76">
        <f t="shared" si="7"/>
        <v>0</v>
      </c>
      <c r="E39" s="76">
        <f t="shared" si="8"/>
        <v>0</v>
      </c>
      <c r="F39" s="76">
        <f t="shared" si="9"/>
        <v>0</v>
      </c>
      <c r="G39" s="76">
        <f t="shared" si="5"/>
        <v>0</v>
      </c>
      <c r="H39" s="76">
        <f t="shared" si="5"/>
        <v>0</v>
      </c>
      <c r="I39" s="76">
        <f t="shared" si="5"/>
        <v>0</v>
      </c>
      <c r="J39" s="76">
        <f t="shared" si="5"/>
        <v>0</v>
      </c>
      <c r="K39" s="76">
        <f t="shared" si="5"/>
        <v>0</v>
      </c>
      <c r="L39" s="76">
        <f t="shared" si="5"/>
        <v>0</v>
      </c>
      <c r="M39" s="76">
        <f t="shared" si="5"/>
        <v>0</v>
      </c>
      <c r="N39" s="76">
        <f t="shared" si="5"/>
        <v>0</v>
      </c>
      <c r="O39" s="76">
        <f t="shared" si="5"/>
        <v>0</v>
      </c>
      <c r="P39" s="76">
        <f t="shared" si="5"/>
        <v>0</v>
      </c>
      <c r="Q39" s="76">
        <f t="shared" si="10"/>
        <v>0</v>
      </c>
      <c r="R39" s="76">
        <f t="shared" si="11"/>
        <v>0</v>
      </c>
      <c r="S39" s="76">
        <f t="shared" si="11"/>
        <v>0</v>
      </c>
      <c r="T39" s="76">
        <f t="shared" si="11"/>
        <v>0</v>
      </c>
      <c r="U39" s="76">
        <f t="shared" si="11"/>
        <v>0</v>
      </c>
      <c r="AB39" s="58"/>
      <c r="AC39" s="58"/>
      <c r="AD39" s="58"/>
      <c r="AE39" s="58"/>
      <c r="AF39" s="58"/>
      <c r="AG39" s="58"/>
      <c r="AH39" s="58"/>
      <c r="AI39" s="58"/>
    </row>
    <row r="40" spans="1:35" s="71" customFormat="1" ht="13" x14ac:dyDescent="0.35">
      <c r="A40" s="13">
        <f>L8</f>
        <v>0</v>
      </c>
      <c r="B40" s="15"/>
      <c r="C40" s="76">
        <f t="shared" si="6"/>
        <v>0</v>
      </c>
      <c r="D40" s="76">
        <f t="shared" si="7"/>
        <v>0</v>
      </c>
      <c r="E40" s="76">
        <f t="shared" si="8"/>
        <v>0</v>
      </c>
      <c r="F40" s="76">
        <f t="shared" si="9"/>
        <v>0</v>
      </c>
      <c r="G40" s="76">
        <f t="shared" si="5"/>
        <v>0</v>
      </c>
      <c r="H40" s="76">
        <f t="shared" si="5"/>
        <v>0</v>
      </c>
      <c r="I40" s="76">
        <f t="shared" si="5"/>
        <v>0</v>
      </c>
      <c r="J40" s="76">
        <f t="shared" si="5"/>
        <v>0</v>
      </c>
      <c r="K40" s="76">
        <f t="shared" si="5"/>
        <v>0</v>
      </c>
      <c r="L40" s="76">
        <f t="shared" si="5"/>
        <v>0</v>
      </c>
      <c r="M40" s="76">
        <f t="shared" si="5"/>
        <v>0</v>
      </c>
      <c r="N40" s="76">
        <f t="shared" si="5"/>
        <v>0</v>
      </c>
      <c r="O40" s="76">
        <f t="shared" si="5"/>
        <v>0</v>
      </c>
      <c r="P40" s="76">
        <f t="shared" si="5"/>
        <v>0</v>
      </c>
      <c r="Q40" s="76">
        <f t="shared" si="10"/>
        <v>0</v>
      </c>
      <c r="R40" s="76">
        <f t="shared" si="11"/>
        <v>0</v>
      </c>
      <c r="S40" s="76">
        <f t="shared" si="11"/>
        <v>0</v>
      </c>
      <c r="T40" s="76">
        <f t="shared" si="11"/>
        <v>0</v>
      </c>
      <c r="U40" s="76">
        <f t="shared" si="11"/>
        <v>0</v>
      </c>
      <c r="AB40" s="58"/>
      <c r="AC40" s="58"/>
      <c r="AD40" s="58"/>
      <c r="AE40" s="58"/>
      <c r="AF40" s="58"/>
      <c r="AG40" s="58"/>
      <c r="AH40" s="58"/>
      <c r="AI40" s="58"/>
    </row>
    <row r="41" spans="1:35" s="71" customFormat="1" ht="13" x14ac:dyDescent="0.35">
      <c r="A41" s="13">
        <f>M8</f>
        <v>0</v>
      </c>
      <c r="B41" s="15"/>
      <c r="C41" s="76">
        <f t="shared" si="6"/>
        <v>0</v>
      </c>
      <c r="D41" s="76">
        <f t="shared" si="7"/>
        <v>0</v>
      </c>
      <c r="E41" s="76">
        <f t="shared" si="8"/>
        <v>0</v>
      </c>
      <c r="F41" s="76">
        <f t="shared" si="9"/>
        <v>0</v>
      </c>
      <c r="G41" s="76">
        <f t="shared" si="5"/>
        <v>0</v>
      </c>
      <c r="H41" s="76">
        <f t="shared" si="5"/>
        <v>0</v>
      </c>
      <c r="I41" s="76">
        <f t="shared" si="5"/>
        <v>0</v>
      </c>
      <c r="J41" s="76">
        <f t="shared" si="5"/>
        <v>0</v>
      </c>
      <c r="K41" s="76">
        <f t="shared" si="5"/>
        <v>0</v>
      </c>
      <c r="L41" s="76">
        <f t="shared" si="5"/>
        <v>0</v>
      </c>
      <c r="M41" s="76">
        <f t="shared" si="5"/>
        <v>0</v>
      </c>
      <c r="N41" s="76">
        <f t="shared" si="5"/>
        <v>0</v>
      </c>
      <c r="O41" s="76">
        <f t="shared" si="5"/>
        <v>0</v>
      </c>
      <c r="P41" s="76">
        <f t="shared" si="5"/>
        <v>0</v>
      </c>
      <c r="Q41" s="76">
        <f t="shared" si="10"/>
        <v>0</v>
      </c>
      <c r="R41" s="76">
        <f t="shared" si="11"/>
        <v>0</v>
      </c>
      <c r="S41" s="76">
        <f t="shared" si="11"/>
        <v>0</v>
      </c>
      <c r="T41" s="76">
        <f t="shared" si="11"/>
        <v>0</v>
      </c>
      <c r="U41" s="76">
        <f t="shared" si="11"/>
        <v>0</v>
      </c>
      <c r="AB41" s="58"/>
      <c r="AC41" s="58"/>
      <c r="AD41" s="58"/>
      <c r="AE41" s="58"/>
      <c r="AF41" s="58"/>
      <c r="AG41" s="58"/>
      <c r="AH41" s="58"/>
      <c r="AI41" s="58"/>
    </row>
    <row r="42" spans="1:35" s="71" customFormat="1" ht="13" x14ac:dyDescent="0.35">
      <c r="A42" s="13">
        <f>N8</f>
        <v>0</v>
      </c>
      <c r="B42" s="15"/>
      <c r="C42" s="76">
        <f t="shared" si="6"/>
        <v>0</v>
      </c>
      <c r="D42" s="76">
        <f t="shared" si="7"/>
        <v>0</v>
      </c>
      <c r="E42" s="76">
        <f t="shared" si="8"/>
        <v>0</v>
      </c>
      <c r="F42" s="76">
        <f t="shared" si="9"/>
        <v>0</v>
      </c>
      <c r="G42" s="76">
        <f t="shared" si="5"/>
        <v>0</v>
      </c>
      <c r="H42" s="76">
        <f t="shared" si="5"/>
        <v>0</v>
      </c>
      <c r="I42" s="76">
        <f t="shared" si="5"/>
        <v>0</v>
      </c>
      <c r="J42" s="76">
        <f t="shared" si="5"/>
        <v>0</v>
      </c>
      <c r="K42" s="76">
        <f t="shared" si="5"/>
        <v>0</v>
      </c>
      <c r="L42" s="76">
        <f t="shared" si="5"/>
        <v>0</v>
      </c>
      <c r="M42" s="76">
        <f t="shared" si="5"/>
        <v>0</v>
      </c>
      <c r="N42" s="76">
        <f t="shared" si="5"/>
        <v>0</v>
      </c>
      <c r="O42" s="76">
        <f t="shared" si="5"/>
        <v>0</v>
      </c>
      <c r="P42" s="76">
        <f t="shared" si="5"/>
        <v>0</v>
      </c>
      <c r="Q42" s="76">
        <f t="shared" si="10"/>
        <v>0</v>
      </c>
      <c r="R42" s="76">
        <f t="shared" si="11"/>
        <v>0</v>
      </c>
      <c r="S42" s="76">
        <f t="shared" si="11"/>
        <v>0</v>
      </c>
      <c r="T42" s="76">
        <f t="shared" si="11"/>
        <v>0</v>
      </c>
      <c r="U42" s="76">
        <f t="shared" si="11"/>
        <v>0</v>
      </c>
      <c r="AB42" s="58"/>
      <c r="AC42" s="58"/>
      <c r="AD42" s="58"/>
      <c r="AE42" s="58"/>
      <c r="AF42" s="58"/>
      <c r="AG42" s="58"/>
      <c r="AH42" s="58"/>
      <c r="AI42" s="58"/>
    </row>
    <row r="43" spans="1:35" s="71" customFormat="1" ht="13" x14ac:dyDescent="0.35">
      <c r="A43" s="13">
        <f>O8</f>
        <v>0</v>
      </c>
      <c r="B43" s="15"/>
      <c r="C43" s="76">
        <f t="shared" si="6"/>
        <v>0</v>
      </c>
      <c r="D43" s="76">
        <f t="shared" si="7"/>
        <v>0</v>
      </c>
      <c r="E43" s="76">
        <f t="shared" si="8"/>
        <v>0</v>
      </c>
      <c r="F43" s="76">
        <f t="shared" si="9"/>
        <v>0</v>
      </c>
      <c r="G43" s="76">
        <f t="shared" si="5"/>
        <v>0</v>
      </c>
      <c r="H43" s="76">
        <f t="shared" si="5"/>
        <v>0</v>
      </c>
      <c r="I43" s="76">
        <f t="shared" si="5"/>
        <v>0</v>
      </c>
      <c r="J43" s="76">
        <f t="shared" si="5"/>
        <v>0</v>
      </c>
      <c r="K43" s="76">
        <f t="shared" si="5"/>
        <v>0</v>
      </c>
      <c r="L43" s="76">
        <f t="shared" si="5"/>
        <v>0</v>
      </c>
      <c r="M43" s="76">
        <f t="shared" si="5"/>
        <v>0</v>
      </c>
      <c r="N43" s="76">
        <f t="shared" si="5"/>
        <v>0</v>
      </c>
      <c r="O43" s="76">
        <f t="shared" si="5"/>
        <v>0</v>
      </c>
      <c r="P43" s="76">
        <f t="shared" si="5"/>
        <v>0</v>
      </c>
      <c r="Q43" s="76">
        <f t="shared" si="10"/>
        <v>0</v>
      </c>
      <c r="R43" s="76">
        <f t="shared" si="11"/>
        <v>0</v>
      </c>
      <c r="S43" s="76">
        <f t="shared" si="11"/>
        <v>0</v>
      </c>
      <c r="T43" s="76">
        <f t="shared" si="11"/>
        <v>0</v>
      </c>
      <c r="U43" s="76">
        <f t="shared" si="11"/>
        <v>0</v>
      </c>
      <c r="AB43" s="58"/>
      <c r="AC43" s="58"/>
      <c r="AD43" s="58"/>
      <c r="AE43" s="58"/>
      <c r="AF43" s="58"/>
      <c r="AG43" s="58"/>
      <c r="AH43" s="58"/>
      <c r="AI43" s="58"/>
    </row>
    <row r="44" spans="1:35" s="71" customFormat="1" ht="13" x14ac:dyDescent="0.35">
      <c r="A44" s="13">
        <f>P8</f>
        <v>0</v>
      </c>
      <c r="B44" s="15"/>
      <c r="C44" s="76">
        <f t="shared" si="6"/>
        <v>0</v>
      </c>
      <c r="D44" s="76">
        <f t="shared" si="7"/>
        <v>0</v>
      </c>
      <c r="E44" s="76">
        <f t="shared" si="8"/>
        <v>0</v>
      </c>
      <c r="F44" s="76">
        <f t="shared" si="9"/>
        <v>0</v>
      </c>
      <c r="G44" s="76">
        <f t="shared" si="5"/>
        <v>0</v>
      </c>
      <c r="H44" s="76">
        <f t="shared" si="5"/>
        <v>0</v>
      </c>
      <c r="I44" s="76">
        <f t="shared" si="5"/>
        <v>0</v>
      </c>
      <c r="J44" s="76">
        <f t="shared" si="5"/>
        <v>0</v>
      </c>
      <c r="K44" s="76">
        <f t="shared" si="5"/>
        <v>0</v>
      </c>
      <c r="L44" s="76">
        <f t="shared" si="5"/>
        <v>0</v>
      </c>
      <c r="M44" s="76">
        <f t="shared" si="5"/>
        <v>0</v>
      </c>
      <c r="N44" s="76">
        <f t="shared" si="5"/>
        <v>0</v>
      </c>
      <c r="O44" s="76">
        <f t="shared" si="5"/>
        <v>0</v>
      </c>
      <c r="P44" s="76">
        <f t="shared" si="5"/>
        <v>0</v>
      </c>
      <c r="Q44" s="76">
        <f t="shared" si="10"/>
        <v>0</v>
      </c>
      <c r="R44" s="76">
        <f t="shared" si="11"/>
        <v>0</v>
      </c>
      <c r="S44" s="76">
        <f t="shared" si="11"/>
        <v>0</v>
      </c>
      <c r="T44" s="76">
        <f t="shared" si="11"/>
        <v>0</v>
      </c>
      <c r="U44" s="76">
        <f t="shared" si="11"/>
        <v>0</v>
      </c>
      <c r="AB44" s="58"/>
      <c r="AC44" s="58"/>
      <c r="AD44" s="58"/>
      <c r="AE44" s="58"/>
      <c r="AF44" s="58"/>
      <c r="AG44" s="58"/>
      <c r="AH44" s="58"/>
      <c r="AI44" s="58"/>
    </row>
    <row r="45" spans="1:35" s="71" customFormat="1" ht="13" x14ac:dyDescent="0.35">
      <c r="A45" s="13">
        <f>Q8</f>
        <v>0</v>
      </c>
      <c r="B45" s="15"/>
      <c r="C45" s="76">
        <f t="shared" si="6"/>
        <v>0</v>
      </c>
      <c r="D45" s="76">
        <f t="shared" si="7"/>
        <v>0</v>
      </c>
      <c r="E45" s="76">
        <f t="shared" si="8"/>
        <v>0</v>
      </c>
      <c r="F45" s="76">
        <f t="shared" si="9"/>
        <v>0</v>
      </c>
      <c r="G45" s="76">
        <f t="shared" si="5"/>
        <v>0</v>
      </c>
      <c r="H45" s="76">
        <f t="shared" si="5"/>
        <v>0</v>
      </c>
      <c r="I45" s="76">
        <f t="shared" si="5"/>
        <v>0</v>
      </c>
      <c r="J45" s="76">
        <f t="shared" si="5"/>
        <v>0</v>
      </c>
      <c r="K45" s="76">
        <f t="shared" si="5"/>
        <v>0</v>
      </c>
      <c r="L45" s="76">
        <f t="shared" si="5"/>
        <v>0</v>
      </c>
      <c r="M45" s="76">
        <f t="shared" si="5"/>
        <v>0</v>
      </c>
      <c r="N45" s="76">
        <f t="shared" si="5"/>
        <v>0</v>
      </c>
      <c r="O45" s="76">
        <f t="shared" si="5"/>
        <v>0</v>
      </c>
      <c r="P45" s="76">
        <f t="shared" si="5"/>
        <v>0</v>
      </c>
      <c r="Q45" s="76">
        <f t="shared" si="10"/>
        <v>0</v>
      </c>
      <c r="R45" s="76">
        <f t="shared" si="11"/>
        <v>0</v>
      </c>
      <c r="S45" s="76">
        <f t="shared" si="11"/>
        <v>0</v>
      </c>
      <c r="T45" s="76">
        <f t="shared" si="11"/>
        <v>0</v>
      </c>
      <c r="U45" s="76">
        <f t="shared" si="11"/>
        <v>0</v>
      </c>
      <c r="AB45" s="58"/>
      <c r="AC45" s="58"/>
      <c r="AD45" s="58"/>
      <c r="AE45" s="58"/>
      <c r="AF45" s="58"/>
      <c r="AG45" s="58"/>
      <c r="AH45" s="58"/>
      <c r="AI45" s="58"/>
    </row>
    <row r="46" spans="1:35" s="71" customFormat="1" ht="13" x14ac:dyDescent="0.35">
      <c r="A46" s="13">
        <f>R8</f>
        <v>0</v>
      </c>
      <c r="B46" s="15"/>
      <c r="C46" s="76">
        <f t="shared" si="6"/>
        <v>0</v>
      </c>
      <c r="D46" s="76">
        <f t="shared" si="7"/>
        <v>0</v>
      </c>
      <c r="E46" s="76">
        <f t="shared" si="8"/>
        <v>0</v>
      </c>
      <c r="F46" s="76">
        <f t="shared" si="9"/>
        <v>0</v>
      </c>
      <c r="G46" s="76">
        <f t="shared" si="5"/>
        <v>0</v>
      </c>
      <c r="H46" s="76">
        <f t="shared" si="5"/>
        <v>0</v>
      </c>
      <c r="I46" s="76">
        <f t="shared" si="5"/>
        <v>0</v>
      </c>
      <c r="J46" s="76">
        <f t="shared" si="5"/>
        <v>0</v>
      </c>
      <c r="K46" s="76">
        <f t="shared" si="5"/>
        <v>0</v>
      </c>
      <c r="L46" s="76">
        <f t="shared" si="5"/>
        <v>0</v>
      </c>
      <c r="M46" s="76">
        <f t="shared" si="5"/>
        <v>0</v>
      </c>
      <c r="N46" s="76">
        <f t="shared" si="5"/>
        <v>0</v>
      </c>
      <c r="O46" s="76">
        <f t="shared" si="5"/>
        <v>0</v>
      </c>
      <c r="P46" s="76">
        <f t="shared" si="5"/>
        <v>0</v>
      </c>
      <c r="Q46" s="76">
        <f t="shared" si="10"/>
        <v>0</v>
      </c>
      <c r="R46" s="76">
        <f t="shared" si="11"/>
        <v>0</v>
      </c>
      <c r="S46" s="76">
        <f t="shared" si="11"/>
        <v>0</v>
      </c>
      <c r="T46" s="76">
        <f t="shared" si="11"/>
        <v>0</v>
      </c>
      <c r="U46" s="76">
        <f t="shared" si="11"/>
        <v>0</v>
      </c>
      <c r="AB46" s="58"/>
      <c r="AC46" s="58"/>
      <c r="AD46" s="58"/>
      <c r="AE46" s="58"/>
      <c r="AF46" s="58"/>
      <c r="AG46" s="58"/>
      <c r="AH46" s="58"/>
      <c r="AI46" s="58"/>
    </row>
    <row r="47" spans="1:35" s="71" customFormat="1" ht="13" x14ac:dyDescent="0.35">
      <c r="A47" s="13">
        <f>S8</f>
        <v>0</v>
      </c>
      <c r="B47" s="15"/>
      <c r="C47" s="76">
        <f t="shared" si="6"/>
        <v>0</v>
      </c>
      <c r="D47" s="76">
        <f t="shared" si="7"/>
        <v>0</v>
      </c>
      <c r="E47" s="76">
        <f t="shared" si="8"/>
        <v>0</v>
      </c>
      <c r="F47" s="76">
        <f t="shared" si="9"/>
        <v>0</v>
      </c>
      <c r="G47" s="76">
        <f t="shared" ref="G47:P50" si="12">IF(G$27="%w/w SAR",((G$28*10)*$B47),IF(G$27="%w/w DM",(((G$28*10)*($B$28/100))*$B47),IF(G$27="kg/t SAR",(G$28*$B47),IF(G$27="kg/t DM",((G$28*($B$28/100))*$B47),IF(G$27="mg/kg SAR",((G$28*0.001)*$B47),IF(G$27="mg/kg DM",(((G$28*0.001)*($B$28/100))*$B47),0))))))</f>
        <v>0</v>
      </c>
      <c r="H47" s="76">
        <f t="shared" si="12"/>
        <v>0</v>
      </c>
      <c r="I47" s="76">
        <f t="shared" si="12"/>
        <v>0</v>
      </c>
      <c r="J47" s="76">
        <f t="shared" si="12"/>
        <v>0</v>
      </c>
      <c r="K47" s="76">
        <f t="shared" si="12"/>
        <v>0</v>
      </c>
      <c r="L47" s="76">
        <f t="shared" si="12"/>
        <v>0</v>
      </c>
      <c r="M47" s="76">
        <f t="shared" si="12"/>
        <v>0</v>
      </c>
      <c r="N47" s="76">
        <f t="shared" si="12"/>
        <v>0</v>
      </c>
      <c r="O47" s="76">
        <f t="shared" si="12"/>
        <v>0</v>
      </c>
      <c r="P47" s="76">
        <f t="shared" si="12"/>
        <v>0</v>
      </c>
      <c r="Q47" s="76">
        <f t="shared" si="10"/>
        <v>0</v>
      </c>
      <c r="R47" s="76">
        <f t="shared" si="11"/>
        <v>0</v>
      </c>
      <c r="S47" s="76">
        <f t="shared" si="11"/>
        <v>0</v>
      </c>
      <c r="T47" s="76">
        <f t="shared" si="11"/>
        <v>0</v>
      </c>
      <c r="U47" s="76">
        <f t="shared" si="11"/>
        <v>0</v>
      </c>
      <c r="AB47" s="58"/>
      <c r="AC47" s="58"/>
      <c r="AD47" s="58"/>
      <c r="AE47" s="58"/>
      <c r="AF47" s="58"/>
      <c r="AG47" s="58"/>
      <c r="AH47" s="58"/>
      <c r="AI47" s="58"/>
    </row>
    <row r="48" spans="1:35" s="71" customFormat="1" ht="13" x14ac:dyDescent="0.35">
      <c r="A48" s="13">
        <f>T8</f>
        <v>0</v>
      </c>
      <c r="B48" s="15"/>
      <c r="C48" s="76">
        <f t="shared" si="6"/>
        <v>0</v>
      </c>
      <c r="D48" s="76">
        <f t="shared" si="7"/>
        <v>0</v>
      </c>
      <c r="E48" s="76">
        <f t="shared" si="8"/>
        <v>0</v>
      </c>
      <c r="F48" s="76">
        <f t="shared" si="9"/>
        <v>0</v>
      </c>
      <c r="G48" s="76">
        <f t="shared" si="12"/>
        <v>0</v>
      </c>
      <c r="H48" s="76">
        <f t="shared" si="12"/>
        <v>0</v>
      </c>
      <c r="I48" s="76">
        <f t="shared" si="12"/>
        <v>0</v>
      </c>
      <c r="J48" s="76">
        <f t="shared" si="12"/>
        <v>0</v>
      </c>
      <c r="K48" s="76">
        <f t="shared" si="12"/>
        <v>0</v>
      </c>
      <c r="L48" s="76">
        <f t="shared" si="12"/>
        <v>0</v>
      </c>
      <c r="M48" s="76">
        <f t="shared" si="12"/>
        <v>0</v>
      </c>
      <c r="N48" s="76">
        <f t="shared" si="12"/>
        <v>0</v>
      </c>
      <c r="O48" s="76">
        <f t="shared" si="12"/>
        <v>0</v>
      </c>
      <c r="P48" s="76">
        <f t="shared" si="12"/>
        <v>0</v>
      </c>
      <c r="Q48" s="76">
        <f t="shared" si="10"/>
        <v>0</v>
      </c>
      <c r="R48" s="76">
        <f t="shared" si="11"/>
        <v>0</v>
      </c>
      <c r="S48" s="76">
        <f t="shared" si="11"/>
        <v>0</v>
      </c>
      <c r="T48" s="76">
        <f t="shared" si="11"/>
        <v>0</v>
      </c>
      <c r="U48" s="76">
        <f t="shared" si="11"/>
        <v>0</v>
      </c>
      <c r="AB48" s="58"/>
      <c r="AC48" s="58"/>
      <c r="AD48" s="58"/>
      <c r="AE48" s="58"/>
      <c r="AF48" s="58"/>
      <c r="AG48" s="58"/>
      <c r="AH48" s="58"/>
      <c r="AI48" s="58"/>
    </row>
    <row r="49" spans="1:35" s="71" customFormat="1" ht="13" x14ac:dyDescent="0.35">
      <c r="A49" s="13">
        <f>U8</f>
        <v>0</v>
      </c>
      <c r="B49" s="15"/>
      <c r="C49" s="76">
        <f t="shared" si="6"/>
        <v>0</v>
      </c>
      <c r="D49" s="76">
        <f t="shared" si="7"/>
        <v>0</v>
      </c>
      <c r="E49" s="76">
        <f t="shared" si="8"/>
        <v>0</v>
      </c>
      <c r="F49" s="76">
        <f t="shared" si="9"/>
        <v>0</v>
      </c>
      <c r="G49" s="76">
        <f t="shared" si="12"/>
        <v>0</v>
      </c>
      <c r="H49" s="76">
        <f t="shared" si="12"/>
        <v>0</v>
      </c>
      <c r="I49" s="76">
        <f t="shared" si="12"/>
        <v>0</v>
      </c>
      <c r="J49" s="76">
        <f t="shared" si="12"/>
        <v>0</v>
      </c>
      <c r="K49" s="76">
        <f t="shared" si="12"/>
        <v>0</v>
      </c>
      <c r="L49" s="76">
        <f t="shared" si="12"/>
        <v>0</v>
      </c>
      <c r="M49" s="76">
        <f t="shared" si="12"/>
        <v>0</v>
      </c>
      <c r="N49" s="76">
        <f t="shared" si="12"/>
        <v>0</v>
      </c>
      <c r="O49" s="76">
        <f t="shared" si="12"/>
        <v>0</v>
      </c>
      <c r="P49" s="76">
        <f t="shared" si="12"/>
        <v>0</v>
      </c>
      <c r="Q49" s="76">
        <f t="shared" si="10"/>
        <v>0</v>
      </c>
      <c r="R49" s="76">
        <f t="shared" si="11"/>
        <v>0</v>
      </c>
      <c r="S49" s="76">
        <f t="shared" si="11"/>
        <v>0</v>
      </c>
      <c r="T49" s="76">
        <f t="shared" si="11"/>
        <v>0</v>
      </c>
      <c r="U49" s="76">
        <f t="shared" si="11"/>
        <v>0</v>
      </c>
      <c r="AB49" s="58"/>
      <c r="AC49" s="58"/>
      <c r="AD49" s="58"/>
      <c r="AE49" s="58"/>
      <c r="AF49" s="58"/>
      <c r="AG49" s="58"/>
      <c r="AH49" s="58"/>
      <c r="AI49" s="58"/>
    </row>
    <row r="50" spans="1:35" s="71" customFormat="1" ht="13.5" thickBot="1" x14ac:dyDescent="0.4">
      <c r="A50" s="14">
        <f>V8</f>
        <v>0</v>
      </c>
      <c r="B50" s="15"/>
      <c r="C50" s="97">
        <f t="shared" si="6"/>
        <v>0</v>
      </c>
      <c r="D50" s="97">
        <f t="shared" si="7"/>
        <v>0</v>
      </c>
      <c r="E50" s="97">
        <f t="shared" si="8"/>
        <v>0</v>
      </c>
      <c r="F50" s="97">
        <f t="shared" si="9"/>
        <v>0</v>
      </c>
      <c r="G50" s="97">
        <f t="shared" si="12"/>
        <v>0</v>
      </c>
      <c r="H50" s="97">
        <f t="shared" si="12"/>
        <v>0</v>
      </c>
      <c r="I50" s="97">
        <f t="shared" si="12"/>
        <v>0</v>
      </c>
      <c r="J50" s="97">
        <f t="shared" si="12"/>
        <v>0</v>
      </c>
      <c r="K50" s="97">
        <f t="shared" si="12"/>
        <v>0</v>
      </c>
      <c r="L50" s="97">
        <f t="shared" si="12"/>
        <v>0</v>
      </c>
      <c r="M50" s="97">
        <f t="shared" si="12"/>
        <v>0</v>
      </c>
      <c r="N50" s="97">
        <f t="shared" si="12"/>
        <v>0</v>
      </c>
      <c r="O50" s="97">
        <f t="shared" si="12"/>
        <v>0</v>
      </c>
      <c r="P50" s="97">
        <f t="shared" si="12"/>
        <v>0</v>
      </c>
      <c r="Q50" s="97">
        <f t="shared" si="10"/>
        <v>0</v>
      </c>
      <c r="R50" s="97">
        <f t="shared" si="11"/>
        <v>0</v>
      </c>
      <c r="S50" s="97">
        <f t="shared" si="11"/>
        <v>0</v>
      </c>
      <c r="T50" s="97">
        <f t="shared" si="11"/>
        <v>0</v>
      </c>
      <c r="U50" s="97">
        <f t="shared" si="11"/>
        <v>0</v>
      </c>
      <c r="AB50" s="58"/>
      <c r="AC50" s="58"/>
      <c r="AD50" s="58"/>
      <c r="AE50" s="58"/>
      <c r="AF50" s="58"/>
      <c r="AG50" s="58"/>
      <c r="AH50" s="58"/>
      <c r="AI50" s="58"/>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8"/>
      <c r="B54" s="112" t="s">
        <v>149</v>
      </c>
      <c r="C54" s="112" t="s">
        <v>150</v>
      </c>
      <c r="D54" s="112" t="s">
        <v>127</v>
      </c>
      <c r="E54" s="112" t="s">
        <v>128</v>
      </c>
      <c r="F54" s="112" t="s">
        <v>151</v>
      </c>
      <c r="G54" s="112" t="s">
        <v>129</v>
      </c>
      <c r="H54" s="113"/>
      <c r="I54" s="113"/>
      <c r="J54" s="113"/>
      <c r="K54" s="113"/>
      <c r="L54" s="113"/>
      <c r="M54" s="113"/>
      <c r="N54" s="113"/>
      <c r="O54" s="113"/>
      <c r="P54" s="113"/>
      <c r="Q54" s="113"/>
      <c r="R54" s="113"/>
      <c r="S54" s="113"/>
      <c r="T54" s="113"/>
      <c r="U54" s="113"/>
    </row>
    <row r="55" spans="1:35" x14ac:dyDescent="0.25">
      <c r="A55" s="109"/>
      <c r="B55" s="114"/>
      <c r="C55" s="115"/>
      <c r="D55" s="116">
        <f>(B55/100)*C55</f>
        <v>0</v>
      </c>
      <c r="E55" s="116">
        <f>G55</f>
        <v>0</v>
      </c>
      <c r="F55" s="115"/>
      <c r="G55" s="116">
        <f>(B55/100)*F55</f>
        <v>0</v>
      </c>
      <c r="H55" s="113"/>
      <c r="I55" s="113"/>
      <c r="J55" s="113"/>
      <c r="K55" s="113"/>
      <c r="L55" s="113"/>
      <c r="M55" s="113"/>
      <c r="N55" s="113"/>
      <c r="O55" s="113"/>
      <c r="P55" s="113"/>
      <c r="Q55" s="113"/>
      <c r="R55" s="113"/>
      <c r="S55" s="113"/>
      <c r="T55" s="113"/>
      <c r="U55" s="113"/>
    </row>
    <row r="56" spans="1:35" s="19" customFormat="1" ht="13" x14ac:dyDescent="0.3">
      <c r="A56" s="91" t="s">
        <v>63</v>
      </c>
      <c r="B56" s="8">
        <v>1</v>
      </c>
      <c r="C56" s="72">
        <v>2</v>
      </c>
      <c r="D56" s="73">
        <v>3</v>
      </c>
      <c r="E56" s="73">
        <v>4</v>
      </c>
      <c r="F56" s="72">
        <v>5</v>
      </c>
      <c r="G56" s="73">
        <v>6</v>
      </c>
      <c r="H56" s="74">
        <v>7</v>
      </c>
      <c r="I56" s="74">
        <v>8</v>
      </c>
      <c r="J56" s="74">
        <v>9</v>
      </c>
      <c r="K56" s="72">
        <v>10</v>
      </c>
      <c r="L56" s="72">
        <v>11</v>
      </c>
      <c r="M56" s="73">
        <v>12</v>
      </c>
      <c r="N56" s="73">
        <v>13</v>
      </c>
      <c r="O56" s="72">
        <v>14</v>
      </c>
      <c r="P56" s="73">
        <v>15</v>
      </c>
      <c r="Q56" s="74">
        <v>16</v>
      </c>
      <c r="R56" s="74">
        <v>17</v>
      </c>
      <c r="S56" s="74">
        <v>18</v>
      </c>
      <c r="T56" s="72">
        <v>19</v>
      </c>
      <c r="U56" s="72">
        <v>20</v>
      </c>
    </row>
    <row r="57" spans="1:35" s="19" customFormat="1" ht="13" x14ac:dyDescent="0.35">
      <c r="A57" s="91" t="s">
        <v>2</v>
      </c>
      <c r="B57" s="8" t="str">
        <f>C8</f>
        <v>1 (Ystrad)</v>
      </c>
      <c r="C57" s="8">
        <f t="shared" ref="C57:U57" si="13">D8</f>
        <v>2</v>
      </c>
      <c r="D57" s="8">
        <f t="shared" si="13"/>
        <v>3</v>
      </c>
      <c r="E57" s="8">
        <f t="shared" si="13"/>
        <v>4</v>
      </c>
      <c r="F57" s="8">
        <f t="shared" si="13"/>
        <v>5</v>
      </c>
      <c r="G57" s="8">
        <f t="shared" si="13"/>
        <v>6</v>
      </c>
      <c r="H57" s="8">
        <f t="shared" si="13"/>
        <v>7</v>
      </c>
      <c r="I57" s="8" t="str">
        <f t="shared" si="13"/>
        <v xml:space="preserve">1 (Bwlch) </v>
      </c>
      <c r="J57" s="8">
        <f t="shared" si="13"/>
        <v>20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1"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str">
        <f>J16&amp;" I "&amp;(VLOOKUP(J14,Table24567[],6,FALSE))</f>
        <v>Medium/Clay I Grass</v>
      </c>
      <c r="J58" s="13" t="str">
        <f>K16&amp;" I "&amp;(VLOOKUP(K14,Table24567[],6,FALSE))</f>
        <v>Medium/Clay I Grass</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0" t="s">
        <v>132</v>
      </c>
      <c r="B59" s="75">
        <f>VLOOKUP(C$14,Table24567[],5,FALSE)</f>
        <v>6.2</v>
      </c>
      <c r="C59" s="75">
        <f>VLOOKUP(D$14,Table24567[],5,FALSE)</f>
        <v>6.2</v>
      </c>
      <c r="D59" s="75">
        <f>VLOOKUP(E$14,Table24567[],5,FALSE)</f>
        <v>6.2</v>
      </c>
      <c r="E59" s="75">
        <f>VLOOKUP(F$14,Table24567[],5,FALSE)</f>
        <v>6.2</v>
      </c>
      <c r="F59" s="75">
        <f>VLOOKUP(G$14,Table24567[],5,FALSE)</f>
        <v>6.2</v>
      </c>
      <c r="G59" s="75">
        <f>VLOOKUP(H$14,Table24567[],5,FALSE)</f>
        <v>6.2</v>
      </c>
      <c r="H59" s="75">
        <f>VLOOKUP(I$14,Table24567[],5,FALSE)</f>
        <v>6.2</v>
      </c>
      <c r="I59" s="75">
        <f>VLOOKUP(J$14,Table24567[],5,FALSE)</f>
        <v>6.2</v>
      </c>
      <c r="J59" s="75">
        <f>VLOOKUP(K$14,Table24567[],5,FALSE)</f>
        <v>6.2</v>
      </c>
      <c r="K59" s="75" t="e">
        <f>VLOOKUP(L$14,Table24567[],5,FALSE)</f>
        <v>#N/A</v>
      </c>
      <c r="L59" s="75" t="e">
        <f>VLOOKUP(M$14,Table24567[],5,FALSE)</f>
        <v>#N/A</v>
      </c>
      <c r="M59" s="75" t="e">
        <f>VLOOKUP(N$14,Table24567[],5,FALSE)</f>
        <v>#N/A</v>
      </c>
      <c r="N59" s="75" t="e">
        <f>VLOOKUP(O$14,Table24567[],5,FALSE)</f>
        <v>#N/A</v>
      </c>
      <c r="O59" s="75" t="e">
        <f>VLOOKUP(P$14,Table24567[],5,FALSE)</f>
        <v>#N/A</v>
      </c>
      <c r="P59" s="75" t="e">
        <f>VLOOKUP(Q$14,Table24567[],5,FALSE)</f>
        <v>#N/A</v>
      </c>
      <c r="Q59" s="75" t="e">
        <f>VLOOKUP(R$14,Table24567[],5,FALSE)</f>
        <v>#N/A</v>
      </c>
      <c r="R59" s="75" t="e">
        <f>VLOOKUP(S$14,Table24567[],5,FALSE)</f>
        <v>#N/A</v>
      </c>
      <c r="S59" s="75" t="e">
        <f>VLOOKUP(T$14,Table24567[],5,FALSE)</f>
        <v>#N/A</v>
      </c>
      <c r="T59" s="75" t="e">
        <f>VLOOKUP(U$14,Table24567[],5,FALSE)</f>
        <v>#N/A</v>
      </c>
      <c r="U59" s="75" t="e">
        <f>VLOOKUP(V$14,Table24567[],5,FALSE)</f>
        <v>#N/A</v>
      </c>
    </row>
    <row r="60" spans="1:35" s="19" customFormat="1" ht="13" x14ac:dyDescent="0.3">
      <c r="A60" s="110" t="s">
        <v>4</v>
      </c>
      <c r="B60" s="75">
        <f>C10</f>
        <v>6</v>
      </c>
      <c r="C60" s="75">
        <f t="shared" ref="C60:U60" si="14">D10</f>
        <v>5.9</v>
      </c>
      <c r="D60" s="75">
        <f t="shared" si="14"/>
        <v>5.8</v>
      </c>
      <c r="E60" s="75">
        <f t="shared" si="14"/>
        <v>5.8</v>
      </c>
      <c r="F60" s="75">
        <f t="shared" si="14"/>
        <v>5.8</v>
      </c>
      <c r="G60" s="75">
        <f t="shared" si="14"/>
        <v>5.8</v>
      </c>
      <c r="H60" s="75">
        <f t="shared" si="14"/>
        <v>5.8</v>
      </c>
      <c r="I60" s="75">
        <f t="shared" si="14"/>
        <v>5.9</v>
      </c>
      <c r="J60" s="75">
        <f t="shared" si="14"/>
        <v>5.3</v>
      </c>
      <c r="K60" s="75">
        <f t="shared" si="14"/>
        <v>0</v>
      </c>
      <c r="L60" s="75">
        <f t="shared" si="14"/>
        <v>0</v>
      </c>
      <c r="M60" s="75">
        <f t="shared" si="14"/>
        <v>0</v>
      </c>
      <c r="N60" s="75">
        <f t="shared" si="14"/>
        <v>0</v>
      </c>
      <c r="O60" s="75">
        <f t="shared" si="14"/>
        <v>0</v>
      </c>
      <c r="P60" s="75">
        <f t="shared" si="14"/>
        <v>0</v>
      </c>
      <c r="Q60" s="75">
        <f t="shared" si="14"/>
        <v>0</v>
      </c>
      <c r="R60" s="75">
        <f t="shared" si="14"/>
        <v>0</v>
      </c>
      <c r="S60" s="75">
        <f t="shared" si="14"/>
        <v>0</v>
      </c>
      <c r="T60" s="75">
        <f t="shared" si="14"/>
        <v>0</v>
      </c>
      <c r="U60" s="75">
        <f t="shared" si="14"/>
        <v>0</v>
      </c>
    </row>
    <row r="61" spans="1:35" s="19" customFormat="1" ht="13" x14ac:dyDescent="0.3">
      <c r="A61" s="110" t="s">
        <v>133</v>
      </c>
      <c r="B61" s="75">
        <f t="shared" ref="B61:U61" si="15">VLOOKUP(B58,$AD9:$AE18,2,FALSE)</f>
        <v>6</v>
      </c>
      <c r="C61" s="75">
        <f t="shared" si="15"/>
        <v>6</v>
      </c>
      <c r="D61" s="75">
        <f t="shared" si="15"/>
        <v>6</v>
      </c>
      <c r="E61" s="75">
        <f t="shared" si="15"/>
        <v>6</v>
      </c>
      <c r="F61" s="75">
        <f t="shared" si="15"/>
        <v>6</v>
      </c>
      <c r="G61" s="75">
        <f t="shared" si="15"/>
        <v>6</v>
      </c>
      <c r="H61" s="75">
        <f t="shared" si="15"/>
        <v>6</v>
      </c>
      <c r="I61" s="75">
        <f t="shared" si="15"/>
        <v>6</v>
      </c>
      <c r="J61" s="75">
        <f t="shared" si="15"/>
        <v>6</v>
      </c>
      <c r="K61" s="75" t="e">
        <f t="shared" si="15"/>
        <v>#N/A</v>
      </c>
      <c r="L61" s="75" t="e">
        <f t="shared" si="15"/>
        <v>#N/A</v>
      </c>
      <c r="M61" s="75" t="e">
        <f t="shared" si="15"/>
        <v>#N/A</v>
      </c>
      <c r="N61" s="75" t="e">
        <f t="shared" si="15"/>
        <v>#N/A</v>
      </c>
      <c r="O61" s="75" t="e">
        <f t="shared" si="15"/>
        <v>#N/A</v>
      </c>
      <c r="P61" s="75" t="e">
        <f t="shared" si="15"/>
        <v>#N/A</v>
      </c>
      <c r="Q61" s="75" t="e">
        <f t="shared" si="15"/>
        <v>#N/A</v>
      </c>
      <c r="R61" s="75" t="e">
        <f t="shared" si="15"/>
        <v>#N/A</v>
      </c>
      <c r="S61" s="75" t="e">
        <f t="shared" si="15"/>
        <v>#N/A</v>
      </c>
      <c r="T61" s="75" t="e">
        <f t="shared" si="15"/>
        <v>#N/A</v>
      </c>
      <c r="U61" s="75" t="e">
        <f t="shared" si="15"/>
        <v>#N/A</v>
      </c>
    </row>
    <row r="62" spans="1:35" s="19" customFormat="1" ht="13" x14ac:dyDescent="0.3">
      <c r="A62" s="110" t="s">
        <v>134</v>
      </c>
      <c r="B62" s="76">
        <f>B31</f>
        <v>250</v>
      </c>
      <c r="C62" s="76">
        <f>B32</f>
        <v>0</v>
      </c>
      <c r="D62" s="76">
        <f>B33</f>
        <v>0</v>
      </c>
      <c r="E62" s="76">
        <f>B34</f>
        <v>0</v>
      </c>
      <c r="F62" s="76">
        <f>B35</f>
        <v>0</v>
      </c>
      <c r="G62" s="76">
        <f>B36</f>
        <v>0</v>
      </c>
      <c r="H62" s="76">
        <f>B37</f>
        <v>0</v>
      </c>
      <c r="I62" s="76">
        <f>B38</f>
        <v>0</v>
      </c>
      <c r="J62" s="76">
        <f>B39</f>
        <v>0</v>
      </c>
      <c r="K62" s="76">
        <f>B40</f>
        <v>0</v>
      </c>
      <c r="L62" s="76">
        <f>B41</f>
        <v>0</v>
      </c>
      <c r="M62" s="76">
        <f>B42</f>
        <v>0</v>
      </c>
      <c r="N62" s="76">
        <f>B43</f>
        <v>0</v>
      </c>
      <c r="O62" s="76">
        <f>B44</f>
        <v>0</v>
      </c>
      <c r="P62" s="76">
        <f>B45</f>
        <v>0</v>
      </c>
      <c r="Q62" s="76">
        <f>B46</f>
        <v>0</v>
      </c>
      <c r="R62" s="76">
        <f>B47</f>
        <v>0</v>
      </c>
      <c r="S62" s="76">
        <f>B48</f>
        <v>0</v>
      </c>
      <c r="T62" s="76">
        <f>B49</f>
        <v>0</v>
      </c>
      <c r="U62" s="76">
        <f>B50</f>
        <v>0</v>
      </c>
    </row>
    <row r="63" spans="1:35" s="19" customFormat="1" ht="39" x14ac:dyDescent="0.3">
      <c r="A63" s="111" t="s">
        <v>155</v>
      </c>
      <c r="B63" s="76">
        <f>$E55*(B62/100)</f>
        <v>0</v>
      </c>
      <c r="C63" s="76">
        <f t="shared" ref="C63:U63" si="16">$E55*(C62/100)</f>
        <v>0</v>
      </c>
      <c r="D63" s="76">
        <f t="shared" si="16"/>
        <v>0</v>
      </c>
      <c r="E63" s="76">
        <f t="shared" si="16"/>
        <v>0</v>
      </c>
      <c r="F63" s="76">
        <f>$E55*(F62/100)</f>
        <v>0</v>
      </c>
      <c r="G63" s="76">
        <f t="shared" si="16"/>
        <v>0</v>
      </c>
      <c r="H63" s="76">
        <f t="shared" si="16"/>
        <v>0</v>
      </c>
      <c r="I63" s="76">
        <f t="shared" si="16"/>
        <v>0</v>
      </c>
      <c r="J63" s="76">
        <f t="shared" si="16"/>
        <v>0</v>
      </c>
      <c r="K63" s="76">
        <f t="shared" si="16"/>
        <v>0</v>
      </c>
      <c r="L63" s="76">
        <f t="shared" si="16"/>
        <v>0</v>
      </c>
      <c r="M63" s="76">
        <f t="shared" si="16"/>
        <v>0</v>
      </c>
      <c r="N63" s="76">
        <f t="shared" si="16"/>
        <v>0</v>
      </c>
      <c r="O63" s="76">
        <f t="shared" si="16"/>
        <v>0</v>
      </c>
      <c r="P63" s="76">
        <f t="shared" si="16"/>
        <v>0</v>
      </c>
      <c r="Q63" s="76">
        <f t="shared" si="16"/>
        <v>0</v>
      </c>
      <c r="R63" s="76">
        <f t="shared" si="16"/>
        <v>0</v>
      </c>
      <c r="S63" s="76">
        <f t="shared" si="16"/>
        <v>0</v>
      </c>
      <c r="T63" s="76">
        <f t="shared" si="16"/>
        <v>0</v>
      </c>
      <c r="U63" s="76">
        <f t="shared" si="16"/>
        <v>0</v>
      </c>
    </row>
    <row r="64" spans="1:35" s="19" customFormat="1" ht="52" x14ac:dyDescent="0.3">
      <c r="A64" s="111" t="s">
        <v>156</v>
      </c>
      <c r="B64" s="76">
        <f>(B59-B60)*B61</f>
        <v>1.2000000000000011</v>
      </c>
      <c r="C64" s="76">
        <f t="shared" ref="C64:U64" si="17">(C59-C60)*C61</f>
        <v>1.7999999999999989</v>
      </c>
      <c r="D64" s="76">
        <f t="shared" si="17"/>
        <v>2.4000000000000021</v>
      </c>
      <c r="E64" s="76">
        <f t="shared" si="17"/>
        <v>2.4000000000000021</v>
      </c>
      <c r="F64" s="76">
        <f t="shared" si="17"/>
        <v>2.4000000000000021</v>
      </c>
      <c r="G64" s="76">
        <f t="shared" si="17"/>
        <v>2.4000000000000021</v>
      </c>
      <c r="H64" s="76">
        <f t="shared" si="17"/>
        <v>2.4000000000000021</v>
      </c>
      <c r="I64" s="76">
        <f t="shared" si="17"/>
        <v>1.7999999999999989</v>
      </c>
      <c r="J64" s="76">
        <f t="shared" si="17"/>
        <v>5.4000000000000021</v>
      </c>
      <c r="K64" s="76" t="e">
        <f t="shared" si="17"/>
        <v>#N/A</v>
      </c>
      <c r="L64" s="76" t="e">
        <f t="shared" si="17"/>
        <v>#N/A</v>
      </c>
      <c r="M64" s="76" t="e">
        <f t="shared" si="17"/>
        <v>#N/A</v>
      </c>
      <c r="N64" s="76" t="e">
        <f t="shared" si="17"/>
        <v>#N/A</v>
      </c>
      <c r="O64" s="76" t="e">
        <f t="shared" si="17"/>
        <v>#N/A</v>
      </c>
      <c r="P64" s="76" t="e">
        <f t="shared" si="17"/>
        <v>#N/A</v>
      </c>
      <c r="Q64" s="76" t="e">
        <f t="shared" si="17"/>
        <v>#N/A</v>
      </c>
      <c r="R64" s="76" t="e">
        <f t="shared" si="17"/>
        <v>#N/A</v>
      </c>
      <c r="S64" s="76" t="e">
        <f t="shared" si="17"/>
        <v>#N/A</v>
      </c>
      <c r="T64" s="76" t="e">
        <f t="shared" si="17"/>
        <v>#N/A</v>
      </c>
      <c r="U64" s="76" t="e">
        <f t="shared" si="17"/>
        <v>#N/A</v>
      </c>
    </row>
    <row r="65" spans="1:21" s="19" customFormat="1" ht="52" x14ac:dyDescent="0.3">
      <c r="A65" s="111" t="s">
        <v>157</v>
      </c>
      <c r="B65" s="76">
        <f>B63-B64</f>
        <v>-1.2000000000000011</v>
      </c>
      <c r="C65" s="76">
        <f t="shared" ref="C65:U65" si="18">C63-C64</f>
        <v>-1.7999999999999989</v>
      </c>
      <c r="D65" s="76">
        <f t="shared" si="18"/>
        <v>-2.4000000000000021</v>
      </c>
      <c r="E65" s="76">
        <f t="shared" si="18"/>
        <v>-2.4000000000000021</v>
      </c>
      <c r="F65" s="76">
        <f t="shared" si="18"/>
        <v>-2.4000000000000021</v>
      </c>
      <c r="G65" s="76">
        <f t="shared" si="18"/>
        <v>-2.4000000000000021</v>
      </c>
      <c r="H65" s="76">
        <f t="shared" si="18"/>
        <v>-2.4000000000000021</v>
      </c>
      <c r="I65" s="76">
        <f t="shared" si="18"/>
        <v>-1.7999999999999989</v>
      </c>
      <c r="J65" s="76">
        <f t="shared" si="18"/>
        <v>-5.4000000000000021</v>
      </c>
      <c r="K65" s="76" t="e">
        <f t="shared" si="18"/>
        <v>#N/A</v>
      </c>
      <c r="L65" s="76" t="e">
        <f t="shared" si="18"/>
        <v>#N/A</v>
      </c>
      <c r="M65" s="76" t="e">
        <f t="shared" si="18"/>
        <v>#N/A</v>
      </c>
      <c r="N65" s="76" t="e">
        <f t="shared" si="18"/>
        <v>#N/A</v>
      </c>
      <c r="O65" s="76" t="e">
        <f t="shared" si="18"/>
        <v>#N/A</v>
      </c>
      <c r="P65" s="76" t="e">
        <f t="shared" si="18"/>
        <v>#N/A</v>
      </c>
      <c r="Q65" s="76" t="e">
        <f t="shared" si="18"/>
        <v>#N/A</v>
      </c>
      <c r="R65" s="76" t="e">
        <f t="shared" si="18"/>
        <v>#N/A</v>
      </c>
      <c r="S65" s="76" t="e">
        <f t="shared" si="18"/>
        <v>#N/A</v>
      </c>
      <c r="T65" s="76" t="e">
        <f t="shared" si="18"/>
        <v>#N/A</v>
      </c>
      <c r="U65" s="76" t="e">
        <f t="shared" si="18"/>
        <v>#N/A</v>
      </c>
    </row>
    <row r="66" spans="1:21" s="19" customFormat="1" ht="26" x14ac:dyDescent="0.3">
      <c r="A66" s="111" t="s">
        <v>148</v>
      </c>
      <c r="B66" s="77" t="str">
        <f>IF(B64&lt;=B63,"OVER","UNDER")</f>
        <v>UNDER</v>
      </c>
      <c r="C66" s="77" t="str">
        <f t="shared" ref="C66:U66" si="19">IF(C64&lt;=C63,"OVER","UNDER")</f>
        <v>UNDER</v>
      </c>
      <c r="D66" s="77" t="str">
        <f t="shared" si="19"/>
        <v>UNDER</v>
      </c>
      <c r="E66" s="77" t="str">
        <f t="shared" si="19"/>
        <v>UNDER</v>
      </c>
      <c r="F66" s="77" t="str">
        <f t="shared" si="19"/>
        <v>UNDER</v>
      </c>
      <c r="G66" s="77" t="str">
        <f t="shared" si="19"/>
        <v>UNDER</v>
      </c>
      <c r="H66" s="77" t="str">
        <f t="shared" si="19"/>
        <v>UNDER</v>
      </c>
      <c r="I66" s="77" t="str">
        <f t="shared" si="19"/>
        <v>UNDER</v>
      </c>
      <c r="J66" s="77" t="str">
        <f t="shared" si="19"/>
        <v>UNDER</v>
      </c>
      <c r="K66" s="77" t="e">
        <f t="shared" si="19"/>
        <v>#N/A</v>
      </c>
      <c r="L66" s="77" t="e">
        <f t="shared" si="19"/>
        <v>#N/A</v>
      </c>
      <c r="M66" s="77" t="e">
        <f t="shared" si="19"/>
        <v>#N/A</v>
      </c>
      <c r="N66" s="77" t="e">
        <f t="shared" si="19"/>
        <v>#N/A</v>
      </c>
      <c r="O66" s="77" t="e">
        <f t="shared" si="19"/>
        <v>#N/A</v>
      </c>
      <c r="P66" s="77" t="e">
        <f t="shared" si="19"/>
        <v>#N/A</v>
      </c>
      <c r="Q66" s="77" t="e">
        <f t="shared" si="19"/>
        <v>#N/A</v>
      </c>
      <c r="R66" s="77" t="e">
        <f t="shared" si="19"/>
        <v>#N/A</v>
      </c>
      <c r="S66" s="77" t="e">
        <f t="shared" si="19"/>
        <v>#N/A</v>
      </c>
      <c r="T66" s="77" t="e">
        <f t="shared" si="19"/>
        <v>#N/A</v>
      </c>
      <c r="U66" s="77"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62:U66 B31:B50">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U11" sqref="U11"/>
    </sheetView>
  </sheetViews>
  <sheetFormatPr defaultColWidth="9.1796875" defaultRowHeight="12.5" x14ac:dyDescent="0.25"/>
  <cols>
    <col min="1" max="13" width="9.1796875" style="78"/>
    <col min="14" max="14" width="9.7265625" style="78" bestFit="1" customWidth="1"/>
    <col min="15" max="19" width="9.1796875" style="78"/>
    <col min="20" max="20" width="10" style="78" bestFit="1" customWidth="1"/>
    <col min="21" max="16384" width="9.1796875" style="78"/>
  </cols>
  <sheetData>
    <row r="1" spans="1:21" ht="37.5" x14ac:dyDescent="0.25">
      <c r="A1" s="146" t="s">
        <v>84</v>
      </c>
      <c r="B1" s="37" t="str">
        <f>Bryngwyn!B29</f>
        <v>Application Rate</v>
      </c>
      <c r="C1" s="37" t="str">
        <f>Bryngwyn!C29</f>
        <v>Nitrogen Addition</v>
      </c>
      <c r="D1" s="37" t="str">
        <f>Bryngwyn!D29</f>
        <v>Phosphate Addition</v>
      </c>
      <c r="E1" s="37" t="str">
        <f>Bryngwyn!E29</f>
        <v>Potash  Addition</v>
      </c>
      <c r="F1" s="37" t="str">
        <f>Bryngwyn!F29</f>
        <v>Mg Oxide Addition</v>
      </c>
      <c r="G1" s="37" t="str">
        <f>Bryngwyn!G29</f>
        <v>Copper Addition</v>
      </c>
      <c r="H1" s="37" t="str">
        <f>Bryngwyn!H29</f>
        <v>Zinc Addition</v>
      </c>
      <c r="I1" s="37" t="str">
        <f>Bryngwyn!I29</f>
        <v>Lead Addition</v>
      </c>
      <c r="J1" s="37" t="str">
        <f>Bryngwyn!J29</f>
        <v>Cadmium Addition</v>
      </c>
      <c r="K1" s="37" t="str">
        <f>Bryngwyn!K29</f>
        <v>Mercury Addition</v>
      </c>
      <c r="L1" s="37" t="str">
        <f>Bryngwyn!L29</f>
        <v>Nickel Addition</v>
      </c>
      <c r="M1" s="37" t="str">
        <f>Bryngwyn!M29</f>
        <v>Chromium Addition</v>
      </c>
      <c r="N1" s="37" t="str">
        <f>Bryngwyn!N29</f>
        <v>Aluminium Addition</v>
      </c>
      <c r="O1" s="37" t="str">
        <f>Bryngwyn!O29</f>
        <v>Iron Addition</v>
      </c>
      <c r="P1" s="37" t="str">
        <f>Bryngwyn!P29</f>
        <v xml:space="preserve">Sodium Addition                 </v>
      </c>
      <c r="Q1" s="37" t="str">
        <f>Bryngwyn!Q29</f>
        <v>SO3  Addition                             kg/ha</v>
      </c>
      <c r="R1" s="37" t="str">
        <f>Bryngwyn!R29</f>
        <v xml:space="preserve">Selenium Addition </v>
      </c>
      <c r="S1" s="37" t="str">
        <f>Bryngwyn!S29</f>
        <v xml:space="preserve">Arsenic  Addition  </v>
      </c>
      <c r="T1" s="37" t="str">
        <f>Bryngwyn!T29</f>
        <v xml:space="preserve">Molybdenum Addition  </v>
      </c>
      <c r="U1" s="37" t="str">
        <f>Bryngwyn!U29</f>
        <v xml:space="preserve">Fluoride Addition </v>
      </c>
    </row>
    <row r="2" spans="1:21" ht="25" x14ac:dyDescent="0.25">
      <c r="A2" s="146"/>
      <c r="B2" s="37" t="str">
        <f>Bryngwyn!B30</f>
        <v>tonnes/ha</v>
      </c>
      <c r="C2" s="37" t="str">
        <f>Bryngwyn!C30</f>
        <v>kg/ha</v>
      </c>
      <c r="D2" s="37" t="str">
        <f>Bryngwyn!D30</f>
        <v>P2O5 
kg/ha</v>
      </c>
      <c r="E2" s="37" t="str">
        <f>Bryngwyn!E30</f>
        <v>K2O 
kg/ha</v>
      </c>
      <c r="F2" s="37" t="str">
        <f>Bryngwyn!F30</f>
        <v>MgO 
kg/ha</v>
      </c>
      <c r="G2" s="37" t="str">
        <f>Bryngwyn!G30</f>
        <v>kg/ha</v>
      </c>
      <c r="H2" s="37" t="str">
        <f>Bryngwyn!H30</f>
        <v>kg/ha</v>
      </c>
      <c r="I2" s="37" t="str">
        <f>Bryngwyn!I30</f>
        <v>kg/ha</v>
      </c>
      <c r="J2" s="37" t="str">
        <f>Bryngwyn!J30</f>
        <v>kg/ha</v>
      </c>
      <c r="K2" s="37" t="str">
        <f>Bryngwyn!K30</f>
        <v>kg/ha</v>
      </c>
      <c r="L2" s="37" t="str">
        <f>Bryngwyn!L30</f>
        <v>kg/ha</v>
      </c>
      <c r="M2" s="37" t="str">
        <f>Bryngwyn!M30</f>
        <v>kg/ha</v>
      </c>
      <c r="N2" s="37" t="str">
        <f>Bryngwyn!N30</f>
        <v>kg/ha</v>
      </c>
      <c r="O2" s="37" t="str">
        <f>Bryngwyn!O30</f>
        <v>kg/ha</v>
      </c>
      <c r="P2" s="37" t="str">
        <f>Bryngwyn!P30</f>
        <v>kg/ha</v>
      </c>
      <c r="Q2" s="37" t="str">
        <f>Bryngwyn!Q30</f>
        <v>kg/ha</v>
      </c>
      <c r="R2" s="37" t="str">
        <f>Bryngwyn!R30</f>
        <v>kg/ha</v>
      </c>
      <c r="S2" s="37" t="str">
        <f>Bryngwyn!S30</f>
        <v>kg/ha</v>
      </c>
      <c r="T2" s="37" t="str">
        <f>Bryngwyn!T30</f>
        <v>kg/ha</v>
      </c>
      <c r="U2" s="37" t="str">
        <f>Bryngwyn!U30</f>
        <v>kg/ha</v>
      </c>
    </row>
    <row r="3" spans="1:21" x14ac:dyDescent="0.25">
      <c r="A3" s="35">
        <v>1</v>
      </c>
      <c r="B3" s="32">
        <f>Bryngwyn!B31</f>
        <v>250</v>
      </c>
      <c r="C3" s="32">
        <f>Bryngwyn!C31</f>
        <v>50</v>
      </c>
      <c r="D3" s="32">
        <f>Bryngwyn!D31</f>
        <v>20.504449999999999</v>
      </c>
      <c r="E3" s="32">
        <f>Bryngwyn!E31</f>
        <v>3.0125000000000002</v>
      </c>
      <c r="F3" s="32">
        <f>Bryngwyn!F31</f>
        <v>4.1449999999999996</v>
      </c>
      <c r="G3" s="32">
        <f>Bryngwyn!G31</f>
        <v>0.185</v>
      </c>
      <c r="H3" s="32">
        <f>Bryngwyn!H31</f>
        <v>0.84250000000000003</v>
      </c>
      <c r="I3" s="32">
        <f>Bryngwyn!I31</f>
        <v>0.125</v>
      </c>
      <c r="J3" s="32">
        <f>Bryngwyn!J31</f>
        <v>4.0000000000000001E-3</v>
      </c>
      <c r="K3" s="32">
        <f>Bryngwyn!K31</f>
        <v>1.2500000000000001E-2</v>
      </c>
      <c r="L3" s="32">
        <f>Bryngwyn!L31</f>
        <v>0.193</v>
      </c>
      <c r="M3" s="32">
        <f>Bryngwyn!M31</f>
        <v>0.22875000000000001</v>
      </c>
      <c r="N3" s="32">
        <f>Bryngwyn!N31</f>
        <v>11.75</v>
      </c>
      <c r="O3" s="32">
        <f>Bryngwyn!O31</f>
        <v>2670.2500000000005</v>
      </c>
      <c r="P3" s="32">
        <f>Bryngwyn!P31</f>
        <v>0</v>
      </c>
      <c r="Q3" s="32">
        <f>Bryngwyn!Q31</f>
        <v>51.625</v>
      </c>
      <c r="R3" s="32">
        <f>Bryngwyn!R31</f>
        <v>0</v>
      </c>
      <c r="S3" s="32">
        <f>Bryngwyn!S31</f>
        <v>0.125</v>
      </c>
      <c r="T3" s="32">
        <f>Bryngwyn!T31</f>
        <v>1.4E-2</v>
      </c>
      <c r="U3" s="32">
        <f>Bryngwyn!U31</f>
        <v>2.5</v>
      </c>
    </row>
    <row r="4" spans="1:21" x14ac:dyDescent="0.25">
      <c r="A4" s="35">
        <v>2</v>
      </c>
      <c r="B4" s="32">
        <f>'Capel Dewi'!B31</f>
        <v>250</v>
      </c>
      <c r="C4" s="32">
        <f>'Capel Dewi'!C31</f>
        <v>87.69</v>
      </c>
      <c r="D4" s="32">
        <f>'Capel Dewi'!D31</f>
        <v>12.524324250000003</v>
      </c>
      <c r="E4" s="32">
        <f>'Capel Dewi'!E31</f>
        <v>0.92959725000000004</v>
      </c>
      <c r="F4" s="32">
        <f>'Capel Dewi'!F31</f>
        <v>4.7297766000000001</v>
      </c>
      <c r="G4" s="32">
        <f>'Capel Dewi'!G31</f>
        <v>4.3290000000000002E-2</v>
      </c>
      <c r="H4" s="32">
        <f>'Capel Dewi'!H31</f>
        <v>6.8264999999999992E-2</v>
      </c>
      <c r="I4" s="32">
        <f>'Capel Dewi'!I31</f>
        <v>3.4410000000000003E-2</v>
      </c>
      <c r="J4" s="32">
        <f>'Capel Dewi'!J31</f>
        <v>1.9425E-3</v>
      </c>
      <c r="K4" s="32">
        <f>'Capel Dewi'!K31</f>
        <v>5.0505000000000003E-3</v>
      </c>
      <c r="L4" s="32">
        <f>'Capel Dewi'!L31</f>
        <v>2.8304999999999997E-2</v>
      </c>
      <c r="M4" s="32">
        <f>'Capel Dewi'!M31</f>
        <v>2.3865000000000004E-2</v>
      </c>
      <c r="N4" s="32">
        <f>'Capel Dewi'!N31</f>
        <v>11.988000000000001</v>
      </c>
      <c r="O4" s="32">
        <f>'Capel Dewi'!O31</f>
        <v>2342.1000000000004</v>
      </c>
      <c r="P4" s="32">
        <f>'Capel Dewi'!P31</f>
        <v>0</v>
      </c>
      <c r="Q4" s="32">
        <f>'Capel Dewi'!Q31</f>
        <v>30.38625</v>
      </c>
      <c r="R4" s="32">
        <f>'Capel Dewi'!R31</f>
        <v>0</v>
      </c>
      <c r="S4" s="32">
        <f>'Capel Dewi'!S31</f>
        <v>0.37462500000000004</v>
      </c>
      <c r="T4" s="32">
        <f>'Capel Dewi'!T31</f>
        <v>0</v>
      </c>
      <c r="U4" s="32">
        <f>'Capel Dewi'!U31</f>
        <v>0</v>
      </c>
    </row>
    <row r="5" spans="1:21" x14ac:dyDescent="0.25">
      <c r="A5" s="35">
        <v>3</v>
      </c>
      <c r="B5" s="32">
        <f>Crai!B31</f>
        <v>250</v>
      </c>
      <c r="C5" s="32">
        <f>Crai!C31</f>
        <v>60.434000000000005</v>
      </c>
      <c r="D5" s="32">
        <f>Crai!D31</f>
        <v>14.4440677</v>
      </c>
      <c r="E5" s="32">
        <f>Crai!E31</f>
        <v>0.70239450000000003</v>
      </c>
      <c r="F5" s="32">
        <f>Crai!F31</f>
        <v>4.8877839999999999</v>
      </c>
      <c r="G5" s="32">
        <f>Crai!G31</f>
        <v>0.13467000000000004</v>
      </c>
      <c r="H5" s="32">
        <f>Crai!H31</f>
        <v>0.76380000000000003</v>
      </c>
      <c r="I5" s="32">
        <f>Crai!I31</f>
        <v>0.11256000000000002</v>
      </c>
      <c r="J5" s="32">
        <f>Crai!J31</f>
        <v>6.365E-3</v>
      </c>
      <c r="K5" s="32">
        <f>Crai!K31</f>
        <v>5.025E-3</v>
      </c>
      <c r="L5" s="32">
        <f>Crai!L31</f>
        <v>9.3800000000000008E-2</v>
      </c>
      <c r="M5" s="32">
        <f>Crai!M31</f>
        <v>7.9060000000000019E-2</v>
      </c>
      <c r="N5" s="32">
        <f>Crai!N31</f>
        <v>19.765000000000001</v>
      </c>
      <c r="O5" s="32">
        <f>Crai!O31</f>
        <v>2834.1000000000004</v>
      </c>
      <c r="P5" s="32">
        <f>Crai!P31</f>
        <v>0</v>
      </c>
      <c r="Q5" s="32">
        <f>Crai!Q31</f>
        <v>58.625000000000007</v>
      </c>
      <c r="R5" s="32">
        <f>Crai!R31</f>
        <v>0</v>
      </c>
      <c r="S5" s="32">
        <f>Crai!S31</f>
        <v>0.29547000000000001</v>
      </c>
      <c r="T5" s="32">
        <f>Crai!T31</f>
        <v>0</v>
      </c>
      <c r="U5" s="32">
        <f>Crai!U31</f>
        <v>0</v>
      </c>
    </row>
    <row r="6" spans="1:21" x14ac:dyDescent="0.25">
      <c r="A6" s="35">
        <v>4</v>
      </c>
      <c r="B6" s="32">
        <f>'Elan Valley'!B31</f>
        <v>250</v>
      </c>
      <c r="C6" s="32">
        <f>'Elan Valley'!C31</f>
        <v>69</v>
      </c>
      <c r="D6" s="32">
        <f>'Elan Valley'!D31</f>
        <v>6.8867459999999996</v>
      </c>
      <c r="E6" s="32">
        <f>'Elan Valley'!E31</f>
        <v>2.6461800000000002</v>
      </c>
      <c r="F6" s="32">
        <f>'Elan Valley'!F31</f>
        <v>6.5258880000000001</v>
      </c>
      <c r="G6" s="32">
        <f>'Elan Valley'!G31</f>
        <v>0.21899999999999997</v>
      </c>
      <c r="H6" s="32">
        <f>'Elan Valley'!H31</f>
        <v>0.95399999999999996</v>
      </c>
      <c r="I6" s="32">
        <f>'Elan Valley'!I31</f>
        <v>0.15600000000000003</v>
      </c>
      <c r="J6" s="32">
        <f>'Elan Valley'!J31</f>
        <v>5.4000000000000012E-3</v>
      </c>
      <c r="K6" s="32">
        <f>'Elan Valley'!K31</f>
        <v>5.0400000000000002E-3</v>
      </c>
      <c r="L6" s="32">
        <f>'Elan Valley'!L31</f>
        <v>4.9800000000000004E-2</v>
      </c>
      <c r="M6" s="32">
        <f>'Elan Valley'!M31</f>
        <v>5.3280000000000008E-2</v>
      </c>
      <c r="N6" s="32">
        <f>'Elan Valley'!N31</f>
        <v>16.38</v>
      </c>
      <c r="O6" s="32">
        <f>'Elan Valley'!O31</f>
        <v>2424</v>
      </c>
      <c r="P6" s="32">
        <f>'Elan Valley'!P31</f>
        <v>0</v>
      </c>
      <c r="Q6" s="32">
        <f>'Elan Valley'!Q31</f>
        <v>99.600000000000023</v>
      </c>
      <c r="R6" s="32">
        <f>'Elan Valley'!R31</f>
        <v>0</v>
      </c>
      <c r="S6" s="32">
        <f>'Elan Valley'!S31</f>
        <v>0.53580000000000005</v>
      </c>
      <c r="T6" s="32">
        <f>'Elan Valley'!T31</f>
        <v>0</v>
      </c>
      <c r="U6" s="32">
        <f>'Elan Valley'!U31</f>
        <v>0</v>
      </c>
    </row>
    <row r="7" spans="1:21" x14ac:dyDescent="0.25">
      <c r="A7" s="35">
        <v>5</v>
      </c>
      <c r="B7" s="32">
        <f>Hirwaun!B31</f>
        <v>250</v>
      </c>
      <c r="C7" s="32">
        <f>Hirwaun!C31</f>
        <v>53.534999999999997</v>
      </c>
      <c r="D7" s="32">
        <f>Hirwaun!D31</f>
        <v>10.6105374</v>
      </c>
      <c r="E7" s="32">
        <f>Hirwaun!E31</f>
        <v>2.3103465000000001</v>
      </c>
      <c r="F7" s="32">
        <f>Hirwaun!F31</f>
        <v>6.4196931000000008</v>
      </c>
      <c r="G7" s="32">
        <f>Hirwaun!G31</f>
        <v>0.25335750000000007</v>
      </c>
      <c r="H7" s="32">
        <f>Hirwaun!H31</f>
        <v>1.38195</v>
      </c>
      <c r="I7" s="32">
        <f>Hirwaun!I31</f>
        <v>0.15251250000000002</v>
      </c>
      <c r="J7" s="32">
        <f>Hirwaun!J31</f>
        <v>5.4157500000000004E-3</v>
      </c>
      <c r="K7" s="32">
        <f>Hirwaun!K31</f>
        <v>4.9800000000000009E-3</v>
      </c>
      <c r="L7" s="32">
        <f>Hirwaun!L31</f>
        <v>9.0885000000000007E-2</v>
      </c>
      <c r="M7" s="32">
        <f>Hirwaun!M31</f>
        <v>9.3997500000000012E-2</v>
      </c>
      <c r="N7" s="32">
        <f>Hirwaun!N31</f>
        <v>13.695000000000002</v>
      </c>
      <c r="O7" s="32">
        <f>Hirwaun!O31</f>
        <v>2359.2750000000001</v>
      </c>
      <c r="P7" s="32">
        <f>Hirwaun!P31</f>
        <v>0</v>
      </c>
      <c r="Q7" s="32">
        <f>Hirwaun!Q31</f>
        <v>91.351875000000007</v>
      </c>
      <c r="R7" s="32">
        <f>Hirwaun!R31</f>
        <v>0</v>
      </c>
      <c r="S7" s="32">
        <f>Hirwaun!S31</f>
        <v>0.25273500000000004</v>
      </c>
      <c r="T7" s="32">
        <f>Hirwaun!T31</f>
        <v>0</v>
      </c>
      <c r="U7" s="32">
        <f>Hirwaun!U31</f>
        <v>0</v>
      </c>
    </row>
    <row r="8" spans="1:21" x14ac:dyDescent="0.25">
      <c r="A8" s="35">
        <v>6</v>
      </c>
      <c r="B8" s="32">
        <f>Bontgoch!B31</f>
        <v>150</v>
      </c>
      <c r="C8" s="32">
        <f>Bontgoch!C31</f>
        <v>31.891500000000001</v>
      </c>
      <c r="D8" s="32">
        <f>Bontgoch!D31</f>
        <v>74.532530249999994</v>
      </c>
      <c r="E8" s="32">
        <f>Bontgoch!E31</f>
        <v>0.65937600000000007</v>
      </c>
      <c r="F8" s="32">
        <f>Bontgoch!F31</f>
        <v>9.3560939999999988</v>
      </c>
      <c r="G8" s="32">
        <f>Bontgoch!G31</f>
        <v>3.3345E-2</v>
      </c>
      <c r="H8" s="32">
        <f>Bontgoch!H31</f>
        <v>2.6975249999999997</v>
      </c>
      <c r="I8" s="32">
        <f>Bontgoch!I31</f>
        <v>0.15774750000000001</v>
      </c>
      <c r="J8" s="32">
        <f>Bontgoch!J31</f>
        <v>1.0473750000000002E-2</v>
      </c>
      <c r="K8" s="32">
        <f>Bontgoch!K31</f>
        <v>3.0352500000000002E-3</v>
      </c>
      <c r="L8" s="32">
        <f>Bontgoch!L31</f>
        <v>0.16800749999999998</v>
      </c>
      <c r="M8" s="32">
        <f>Bontgoch!M31</f>
        <v>5.1300000000000005E-2</v>
      </c>
      <c r="N8" s="32">
        <f>Bontgoch!N31</f>
        <v>25.906500000000005</v>
      </c>
      <c r="O8" s="32">
        <f>Bontgoch!O31</f>
        <v>1444.95</v>
      </c>
      <c r="P8" s="32">
        <f>Bontgoch!P31</f>
        <v>0</v>
      </c>
      <c r="Q8" s="32">
        <f>Bontgoch!Q31</f>
        <v>26.825625000000002</v>
      </c>
      <c r="R8" s="32">
        <f>Bontgoch!R31</f>
        <v>0</v>
      </c>
      <c r="S8" s="32">
        <f>Bontgoch!S31</f>
        <v>7.0109999999999992E-2</v>
      </c>
      <c r="T8" s="32">
        <f>Bontgoch!T31</f>
        <v>0</v>
      </c>
      <c r="U8" s="32">
        <f>Bontgoch!U31</f>
        <v>0</v>
      </c>
    </row>
    <row r="9" spans="1:21" x14ac:dyDescent="0.25">
      <c r="A9" s="35">
        <v>7</v>
      </c>
      <c r="B9" s="32">
        <f>'Strata Florida'!B31</f>
        <v>250</v>
      </c>
      <c r="C9" s="32">
        <f>'Strata Florida'!C31</f>
        <v>48.45</v>
      </c>
      <c r="D9" s="32">
        <f>'Strata Florida'!D31</f>
        <v>26.776062499999998</v>
      </c>
      <c r="E9" s="32">
        <f>'Strata Florida'!E31</f>
        <v>0.72209625</v>
      </c>
      <c r="F9" s="32">
        <f>'Strata Florida'!F31</f>
        <v>0.67012214999999997</v>
      </c>
      <c r="G9" s="32">
        <f>'Strata Florida'!G31</f>
        <v>3.3149999999999999E-2</v>
      </c>
      <c r="H9" s="32">
        <f>'Strata Florida'!H31</f>
        <v>0.14875000000000005</v>
      </c>
      <c r="I9" s="32">
        <f>'Strata Florida'!I31</f>
        <v>2.6350000000000002E-2</v>
      </c>
      <c r="J9" s="32">
        <f>'Strata Florida'!J31</f>
        <v>4.6750000000000003E-4</v>
      </c>
      <c r="K9" s="32">
        <f>'Strata Florida'!K31</f>
        <v>5.0150000000000004E-3</v>
      </c>
      <c r="L9" s="32">
        <f>'Strata Florida'!L31</f>
        <v>2.1675E-2</v>
      </c>
      <c r="M9" s="32">
        <f>'Strata Florida'!M31</f>
        <v>1.8275E-2</v>
      </c>
      <c r="N9" s="32">
        <f>'Strata Florida'!N31</f>
        <v>633.25000000000011</v>
      </c>
      <c r="O9" s="32">
        <f>'Strata Florida'!O31</f>
        <v>72.675000000000011</v>
      </c>
      <c r="P9" s="32">
        <f>'Strata Florida'!P31</f>
        <v>0</v>
      </c>
      <c r="Q9" s="32">
        <f>'Strata Florida'!Q31</f>
        <v>47.812500000000007</v>
      </c>
      <c r="R9" s="32">
        <f>'Strata Florida'!R31</f>
        <v>0</v>
      </c>
      <c r="S9" s="32">
        <f>'Strata Florida'!S31</f>
        <v>0.13005000000000003</v>
      </c>
      <c r="T9" s="32">
        <f>'Strata Florida'!T31</f>
        <v>0</v>
      </c>
      <c r="U9" s="32">
        <f>'Strata Florida'!U31</f>
        <v>0</v>
      </c>
    </row>
    <row r="10" spans="1:21" x14ac:dyDescent="0.25">
      <c r="A10" s="35">
        <v>8</v>
      </c>
      <c r="B10" s="32">
        <f>Llechryd!B31</f>
        <v>47</v>
      </c>
      <c r="C10" s="32">
        <f>Llechryd!C31</f>
        <v>91.679610000000011</v>
      </c>
      <c r="D10" s="32">
        <f>Llechryd!D31</f>
        <v>37.358535150000002</v>
      </c>
      <c r="E10" s="32">
        <f>Llechryd!E31</f>
        <v>14.555195000000001</v>
      </c>
      <c r="F10" s="32">
        <f>Llechryd!F31</f>
        <v>58.278517619999995</v>
      </c>
      <c r="G10" s="32">
        <f>Llechryd!G31</f>
        <v>0.45417040000000003</v>
      </c>
      <c r="H10" s="32">
        <f>Llechryd!H31</f>
        <v>2.0171930000000002</v>
      </c>
      <c r="I10" s="32">
        <f>Llechryd!I31</f>
        <v>0.5737525</v>
      </c>
      <c r="J10" s="32">
        <f>Llechryd!J31</f>
        <v>4.1068600000000004E-3</v>
      </c>
      <c r="K10" s="32">
        <f>Llechryd!K31</f>
        <v>2.4158000000000001E-3</v>
      </c>
      <c r="L10" s="32">
        <f>Llechryd!L31</f>
        <v>0.30197499999999999</v>
      </c>
      <c r="M10" s="32">
        <f>Llechryd!M31</f>
        <v>0.26453009999999999</v>
      </c>
      <c r="N10" s="32">
        <f>Llechryd!N31</f>
        <v>148.57170000000002</v>
      </c>
      <c r="O10" s="32">
        <f>Llechryd!O31</f>
        <v>3599.5419999999999</v>
      </c>
      <c r="P10" s="32">
        <f>Llechryd!P31</f>
        <v>0</v>
      </c>
      <c r="Q10" s="32">
        <f>Llechryd!Q31</f>
        <v>67.642400000000009</v>
      </c>
      <c r="R10" s="32">
        <f>Llechryd!R31</f>
        <v>0</v>
      </c>
      <c r="S10" s="32">
        <f>Llechryd!S31</f>
        <v>0.24882739999999998</v>
      </c>
      <c r="T10" s="32">
        <f>Llechryd!T31</f>
        <v>0</v>
      </c>
      <c r="U10" s="32">
        <f>Llechryd!U31</f>
        <v>0</v>
      </c>
    </row>
    <row r="11" spans="1:21" x14ac:dyDescent="0.25">
      <c r="A11" s="35">
        <v>9</v>
      </c>
      <c r="B11" s="32">
        <f>Llyswen!B31</f>
        <v>250</v>
      </c>
      <c r="C11" s="32">
        <f>Llyswen!C31</f>
        <v>61.055999999999997</v>
      </c>
      <c r="D11" s="32">
        <f>Llyswen!D31</f>
        <v>22.213535999999998</v>
      </c>
      <c r="E11" s="32">
        <f>Llyswen!E31</f>
        <v>5.1477599999999981</v>
      </c>
      <c r="F11" s="32">
        <f>Llyswen!F31</f>
        <v>17.190144</v>
      </c>
      <c r="G11" s="32">
        <f>Llyswen!G31</f>
        <v>0.20255999999999999</v>
      </c>
      <c r="H11" s="32">
        <f>Llyswen!H31</f>
        <v>0.50112000000000001</v>
      </c>
      <c r="I11" s="32">
        <f>Llyswen!I31</f>
        <v>5.9519999999999997E-2</v>
      </c>
      <c r="J11" s="32">
        <f>Llyswen!J31</f>
        <v>2.3999999999999998E-3</v>
      </c>
      <c r="K11" s="32">
        <f>Llyswen!K31</f>
        <v>5.0880000000000005E-3</v>
      </c>
      <c r="L11" s="32">
        <f>Llyswen!L31</f>
        <v>4.895999999999999E-2</v>
      </c>
      <c r="M11" s="32">
        <f>Llyswen!M31</f>
        <v>4.1279999999999997E-2</v>
      </c>
      <c r="N11" s="32">
        <f>Llyswen!N31</f>
        <v>998.4</v>
      </c>
      <c r="O11" s="32">
        <f>Llyswen!O31</f>
        <v>75.263999999999996</v>
      </c>
      <c r="P11" s="32">
        <f>Llyswen!P31</f>
        <v>0</v>
      </c>
      <c r="Q11" s="32">
        <f>Llyswen!Q31</f>
        <v>91.44</v>
      </c>
      <c r="R11" s="32">
        <f>Llyswen!R31</f>
        <v>0</v>
      </c>
      <c r="S11" s="32">
        <f>Llyswen!S31</f>
        <v>0.39072000000000007</v>
      </c>
      <c r="T11" s="32">
        <f>Llyswen!T31</f>
        <v>0</v>
      </c>
      <c r="U11" s="32">
        <f>Llyswen!U31</f>
        <v>0</v>
      </c>
    </row>
    <row r="12" spans="1:21" x14ac:dyDescent="0.25">
      <c r="A12" s="35">
        <v>10</v>
      </c>
      <c r="B12" s="32"/>
      <c r="C12" s="32"/>
      <c r="D12" s="32"/>
      <c r="E12" s="32"/>
      <c r="F12" s="32"/>
      <c r="G12" s="32"/>
      <c r="H12" s="32"/>
      <c r="I12" s="32"/>
      <c r="J12" s="32"/>
      <c r="K12" s="32"/>
      <c r="L12" s="32"/>
      <c r="M12" s="32"/>
      <c r="N12" s="32"/>
      <c r="O12" s="32"/>
      <c r="P12" s="32"/>
      <c r="Q12" s="32"/>
      <c r="R12" s="32"/>
      <c r="S12" s="32"/>
      <c r="T12" s="32"/>
      <c r="U12" s="32"/>
    </row>
    <row r="13" spans="1:21" s="81" customFormat="1" ht="15.5" x14ac:dyDescent="0.35">
      <c r="A13" s="79" t="s">
        <v>85</v>
      </c>
      <c r="B13" s="80">
        <f>SUM(B3:B12)</f>
        <v>1947</v>
      </c>
      <c r="C13" s="80">
        <f t="shared" ref="C13:U13" si="0">SUM(C3:C12)</f>
        <v>553.73611000000005</v>
      </c>
      <c r="D13" s="80">
        <f t="shared" si="0"/>
        <v>225.85078924999999</v>
      </c>
      <c r="E13" s="80">
        <f t="shared" si="0"/>
        <v>30.6854455</v>
      </c>
      <c r="F13" s="80">
        <f t="shared" si="0"/>
        <v>112.20301946999999</v>
      </c>
      <c r="G13" s="80">
        <f t="shared" si="0"/>
        <v>1.5585429000000002</v>
      </c>
      <c r="H13" s="80">
        <f t="shared" si="0"/>
        <v>9.3751029999999993</v>
      </c>
      <c r="I13" s="80">
        <f t="shared" si="0"/>
        <v>1.3978525000000002</v>
      </c>
      <c r="J13" s="80">
        <f t="shared" si="0"/>
        <v>4.0571360000000001E-2</v>
      </c>
      <c r="K13" s="80">
        <f t="shared" si="0"/>
        <v>4.8149550000000006E-2</v>
      </c>
      <c r="L13" s="80">
        <f t="shared" si="0"/>
        <v>0.9964075</v>
      </c>
      <c r="M13" s="80">
        <f t="shared" si="0"/>
        <v>0.85433760000000003</v>
      </c>
      <c r="N13" s="80">
        <f t="shared" si="0"/>
        <v>1879.7062000000001</v>
      </c>
      <c r="O13" s="80">
        <f t="shared" si="0"/>
        <v>17822.155999999999</v>
      </c>
      <c r="P13" s="80">
        <f t="shared" si="0"/>
        <v>0</v>
      </c>
      <c r="Q13" s="80">
        <f t="shared" si="0"/>
        <v>565.30865000000006</v>
      </c>
      <c r="R13" s="80">
        <f t="shared" si="0"/>
        <v>0</v>
      </c>
      <c r="S13" s="80">
        <f t="shared" si="0"/>
        <v>2.4233374000000003</v>
      </c>
      <c r="T13" s="80">
        <f t="shared" si="0"/>
        <v>1.4E-2</v>
      </c>
      <c r="U13" s="80">
        <f t="shared" si="0"/>
        <v>2.5</v>
      </c>
    </row>
  </sheetData>
  <mergeCells count="1">
    <mergeCell ref="A1:A2"/>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8"/>
    <col min="3" max="3" width="11" style="78" customWidth="1"/>
    <col min="4" max="4" width="9.1796875" style="78"/>
    <col min="5" max="5" width="9.7265625" style="78" customWidth="1"/>
    <col min="6" max="14" width="9.1796875" style="78"/>
    <col min="15" max="15" width="9.7265625" style="78" bestFit="1" customWidth="1"/>
    <col min="16" max="20" width="9.1796875" style="78"/>
    <col min="21" max="21" width="10" style="78" bestFit="1" customWidth="1"/>
    <col min="22" max="16384" width="9.1796875" style="78"/>
  </cols>
  <sheetData>
    <row r="1" spans="1:22" s="82" customFormat="1" ht="37.5" x14ac:dyDescent="0.35">
      <c r="A1" s="147" t="s">
        <v>84</v>
      </c>
      <c r="B1" s="33" t="s">
        <v>152</v>
      </c>
      <c r="C1" s="34" t="str">
        <f>Bryngwyn!B29</f>
        <v>Application Rate</v>
      </c>
      <c r="D1" s="34" t="str">
        <f>Bryngwyn!C29</f>
        <v>Nitrogen Addition</v>
      </c>
      <c r="E1" s="34" t="str">
        <f>Bryngwyn!D29</f>
        <v>Phosphate Addition</v>
      </c>
      <c r="F1" s="34" t="str">
        <f>Bryngwyn!E29</f>
        <v>Potash  Addition</v>
      </c>
      <c r="G1" s="34" t="str">
        <f>Bryngwyn!F29</f>
        <v>Mg Oxide Addition</v>
      </c>
      <c r="H1" s="34" t="str">
        <f>Bryngwyn!G29</f>
        <v>Copper Addition</v>
      </c>
      <c r="I1" s="34" t="str">
        <f>Bryngwyn!H29</f>
        <v>Zinc Addition</v>
      </c>
      <c r="J1" s="34" t="str">
        <f>Bryngwyn!I29</f>
        <v>Lead Addition</v>
      </c>
      <c r="K1" s="34" t="str">
        <f>Bryngwyn!J29</f>
        <v>Cadmium Addition</v>
      </c>
      <c r="L1" s="34" t="str">
        <f>Bryngwyn!K29</f>
        <v>Mercury Addition</v>
      </c>
      <c r="M1" s="34" t="str">
        <f>Bryngwyn!L29</f>
        <v>Nickel Addition</v>
      </c>
      <c r="N1" s="34" t="str">
        <f>Bryngwyn!M29</f>
        <v>Chromium Addition</v>
      </c>
      <c r="O1" s="34" t="str">
        <f>Bryngwyn!N29</f>
        <v>Aluminium Addition</v>
      </c>
      <c r="P1" s="34" t="str">
        <f>Bryngwyn!O29</f>
        <v>Iron Addition</v>
      </c>
      <c r="Q1" s="34" t="str">
        <f>Bryngwyn!P29</f>
        <v xml:space="preserve">Sodium Addition                 </v>
      </c>
      <c r="R1" s="34" t="str">
        <f>Bryngwyn!Q29</f>
        <v>SO3  Addition                             kg/ha</v>
      </c>
      <c r="S1" s="34" t="str">
        <f>Bryngwyn!R29</f>
        <v xml:space="preserve">Selenium Addition </v>
      </c>
      <c r="T1" s="34" t="str">
        <f>Bryngwyn!S29</f>
        <v xml:space="preserve">Arsenic  Addition  </v>
      </c>
      <c r="U1" s="34" t="str">
        <f>Bryngwyn!T29</f>
        <v xml:space="preserve">Molybdenum Addition  </v>
      </c>
      <c r="V1" s="34" t="str">
        <f>Bryngwyn!U29</f>
        <v xml:space="preserve">Fluoride Addition </v>
      </c>
    </row>
    <row r="2" spans="1:22" s="82" customFormat="1" ht="25" x14ac:dyDescent="0.35">
      <c r="A2" s="147"/>
      <c r="B2" s="31" t="s">
        <v>46</v>
      </c>
      <c r="C2" s="34" t="str">
        <f>Bryngwyn!B30</f>
        <v>tonnes/ha</v>
      </c>
      <c r="D2" s="34" t="str">
        <f>Bryngwyn!C30</f>
        <v>kg/ha</v>
      </c>
      <c r="E2" s="34" t="str">
        <f>Bryngwyn!D30</f>
        <v>P2O5 
kg/ha</v>
      </c>
      <c r="F2" s="34" t="str">
        <f>Bryngwyn!E30</f>
        <v>K2O 
kg/ha</v>
      </c>
      <c r="G2" s="34" t="str">
        <f>Bryngwyn!F30</f>
        <v>MgO 
kg/ha</v>
      </c>
      <c r="H2" s="34" t="str">
        <f>Bryngwyn!G30</f>
        <v>kg/ha</v>
      </c>
      <c r="I2" s="34" t="str">
        <f>Bryngwyn!H30</f>
        <v>kg/ha</v>
      </c>
      <c r="J2" s="34" t="str">
        <f>Bryngwyn!I30</f>
        <v>kg/ha</v>
      </c>
      <c r="K2" s="34" t="str">
        <f>Bryngwyn!J30</f>
        <v>kg/ha</v>
      </c>
      <c r="L2" s="34" t="str">
        <f>Bryngwyn!K30</f>
        <v>kg/ha</v>
      </c>
      <c r="M2" s="34" t="str">
        <f>Bryngwyn!L30</f>
        <v>kg/ha</v>
      </c>
      <c r="N2" s="34" t="str">
        <f>Bryngwyn!M30</f>
        <v>kg/ha</v>
      </c>
      <c r="O2" s="34" t="str">
        <f>Bryngwyn!N30</f>
        <v>kg/ha</v>
      </c>
      <c r="P2" s="34" t="str">
        <f>Bryngwyn!O30</f>
        <v>kg/ha</v>
      </c>
      <c r="Q2" s="34" t="str">
        <f>Bryngwyn!P30</f>
        <v>kg/ha</v>
      </c>
      <c r="R2" s="34" t="str">
        <f>Bryngwyn!Q30</f>
        <v>kg/ha</v>
      </c>
      <c r="S2" s="34" t="str">
        <f>Bryngwyn!R30</f>
        <v>kg/ha</v>
      </c>
      <c r="T2" s="34" t="str">
        <f>Bryngwyn!S30</f>
        <v>kg/ha</v>
      </c>
      <c r="U2" s="34" t="str">
        <f>Bryngwyn!T30</f>
        <v>kg/ha</v>
      </c>
      <c r="V2" s="34" t="str">
        <f>Bryngwyn!U30</f>
        <v>kg/ha</v>
      </c>
    </row>
    <row r="3" spans="1:22" x14ac:dyDescent="0.25">
      <c r="A3" s="35">
        <v>1</v>
      </c>
      <c r="B3" s="90"/>
      <c r="C3" s="32">
        <f>Bryngwyn!B31</f>
        <v>250</v>
      </c>
      <c r="D3" s="32">
        <f>Bryngwyn!C31</f>
        <v>50</v>
      </c>
      <c r="E3" s="32">
        <f>Bryngwyn!D31</f>
        <v>20.504449999999999</v>
      </c>
      <c r="F3" s="32">
        <f>Bryngwyn!E31</f>
        <v>3.0125000000000002</v>
      </c>
      <c r="G3" s="32">
        <f>Bryngwyn!F31</f>
        <v>4.1449999999999996</v>
      </c>
      <c r="H3" s="32">
        <f>Bryngwyn!G31</f>
        <v>0.185</v>
      </c>
      <c r="I3" s="32">
        <f>Bryngwyn!H31</f>
        <v>0.84250000000000003</v>
      </c>
      <c r="J3" s="32">
        <f>Bryngwyn!I31</f>
        <v>0.125</v>
      </c>
      <c r="K3" s="32">
        <f>Bryngwyn!J31</f>
        <v>4.0000000000000001E-3</v>
      </c>
      <c r="L3" s="32">
        <f>Bryngwyn!K31</f>
        <v>1.2500000000000001E-2</v>
      </c>
      <c r="M3" s="32">
        <f>Bryngwyn!L31</f>
        <v>0.193</v>
      </c>
      <c r="N3" s="32">
        <f>Bryngwyn!M31</f>
        <v>0.22875000000000001</v>
      </c>
      <c r="O3" s="32">
        <f>Bryngwyn!N31</f>
        <v>11.75</v>
      </c>
      <c r="P3" s="32">
        <f>Bryngwyn!O31</f>
        <v>2670.2500000000005</v>
      </c>
      <c r="Q3" s="32">
        <f>Bryngwyn!P31</f>
        <v>0</v>
      </c>
      <c r="R3" s="32">
        <f>Bryngwyn!Q31</f>
        <v>51.625</v>
      </c>
      <c r="S3" s="32">
        <f>Bryngwyn!R31</f>
        <v>0</v>
      </c>
      <c r="T3" s="32">
        <f>Bryngwyn!S31</f>
        <v>0.125</v>
      </c>
      <c r="U3" s="32">
        <f>Bryngwyn!T31</f>
        <v>1.4E-2</v>
      </c>
      <c r="V3" s="32">
        <f>Bryngwyn!U31</f>
        <v>2.5</v>
      </c>
    </row>
    <row r="4" spans="1:22" x14ac:dyDescent="0.25">
      <c r="A4" s="35">
        <v>2</v>
      </c>
      <c r="B4" s="90"/>
      <c r="C4" s="32">
        <f>'Capel Dewi'!B31</f>
        <v>250</v>
      </c>
      <c r="D4" s="32">
        <f>'Capel Dewi'!C31</f>
        <v>87.69</v>
      </c>
      <c r="E4" s="32">
        <f>'Capel Dewi'!D31</f>
        <v>12.524324250000003</v>
      </c>
      <c r="F4" s="32">
        <f>'Capel Dewi'!E31</f>
        <v>0.92959725000000004</v>
      </c>
      <c r="G4" s="32">
        <f>'Capel Dewi'!F31</f>
        <v>4.7297766000000001</v>
      </c>
      <c r="H4" s="32">
        <f>'Capel Dewi'!G31</f>
        <v>4.3290000000000002E-2</v>
      </c>
      <c r="I4" s="32">
        <f>'Capel Dewi'!H31</f>
        <v>6.8264999999999992E-2</v>
      </c>
      <c r="J4" s="32">
        <f>'Capel Dewi'!I31</f>
        <v>3.4410000000000003E-2</v>
      </c>
      <c r="K4" s="32">
        <f>'Capel Dewi'!J31</f>
        <v>1.9425E-3</v>
      </c>
      <c r="L4" s="32">
        <f>'Capel Dewi'!K31</f>
        <v>5.0505000000000003E-3</v>
      </c>
      <c r="M4" s="32">
        <f>'Capel Dewi'!L31</f>
        <v>2.8304999999999997E-2</v>
      </c>
      <c r="N4" s="32">
        <f>'Capel Dewi'!M31</f>
        <v>2.3865000000000004E-2</v>
      </c>
      <c r="O4" s="32">
        <f>'Capel Dewi'!N31</f>
        <v>11.988000000000001</v>
      </c>
      <c r="P4" s="32">
        <f>'Capel Dewi'!O31</f>
        <v>2342.1000000000004</v>
      </c>
      <c r="Q4" s="32">
        <f>'Capel Dewi'!P31</f>
        <v>0</v>
      </c>
      <c r="R4" s="32">
        <f>'Capel Dewi'!Q31</f>
        <v>30.38625</v>
      </c>
      <c r="S4" s="32">
        <f>'Capel Dewi'!R31</f>
        <v>0</v>
      </c>
      <c r="T4" s="32">
        <f>'Capel Dewi'!S31</f>
        <v>0.37462500000000004</v>
      </c>
      <c r="U4" s="32">
        <f>'Capel Dewi'!T31</f>
        <v>0</v>
      </c>
      <c r="V4" s="32">
        <f>'Capel Dewi'!U31</f>
        <v>0</v>
      </c>
    </row>
    <row r="5" spans="1:22" x14ac:dyDescent="0.25">
      <c r="A5" s="35">
        <v>3</v>
      </c>
      <c r="B5" s="90"/>
      <c r="C5" s="32">
        <f>Crai!B31</f>
        <v>250</v>
      </c>
      <c r="D5" s="32">
        <f>Crai!C31</f>
        <v>60.434000000000005</v>
      </c>
      <c r="E5" s="32">
        <f>Crai!D31</f>
        <v>14.4440677</v>
      </c>
      <c r="F5" s="32">
        <f>Crai!E31</f>
        <v>0.70239450000000003</v>
      </c>
      <c r="G5" s="32">
        <f>Crai!F31</f>
        <v>4.8877839999999999</v>
      </c>
      <c r="H5" s="32">
        <f>Crai!G31</f>
        <v>0.13467000000000004</v>
      </c>
      <c r="I5" s="32">
        <f>Crai!H31</f>
        <v>0.76380000000000003</v>
      </c>
      <c r="J5" s="32">
        <f>Crai!I31</f>
        <v>0.11256000000000002</v>
      </c>
      <c r="K5" s="32">
        <f>Crai!J31</f>
        <v>6.365E-3</v>
      </c>
      <c r="L5" s="32">
        <f>Crai!K31</f>
        <v>5.025E-3</v>
      </c>
      <c r="M5" s="32">
        <f>Crai!L31</f>
        <v>9.3800000000000008E-2</v>
      </c>
      <c r="N5" s="32">
        <f>Crai!M31</f>
        <v>7.9060000000000019E-2</v>
      </c>
      <c r="O5" s="32">
        <f>Crai!N31</f>
        <v>19.765000000000001</v>
      </c>
      <c r="P5" s="32">
        <f>Crai!O31</f>
        <v>2834.1000000000004</v>
      </c>
      <c r="Q5" s="32">
        <f>Crai!P31</f>
        <v>0</v>
      </c>
      <c r="R5" s="32">
        <f>Crai!Q31</f>
        <v>58.625000000000007</v>
      </c>
      <c r="S5" s="32">
        <f>Crai!R31</f>
        <v>0</v>
      </c>
      <c r="T5" s="32">
        <f>Crai!S31</f>
        <v>0.29547000000000001</v>
      </c>
      <c r="U5" s="32">
        <f>Crai!T31</f>
        <v>0</v>
      </c>
      <c r="V5" s="32">
        <f>Crai!U31</f>
        <v>0</v>
      </c>
    </row>
    <row r="6" spans="1:22" x14ac:dyDescent="0.25">
      <c r="A6" s="35">
        <v>4</v>
      </c>
      <c r="B6" s="90"/>
      <c r="C6" s="32">
        <f>'Elan Valley'!B31</f>
        <v>250</v>
      </c>
      <c r="D6" s="32">
        <f>'Elan Valley'!C31</f>
        <v>69</v>
      </c>
      <c r="E6" s="32">
        <f>'Elan Valley'!D31</f>
        <v>6.8867459999999996</v>
      </c>
      <c r="F6" s="32">
        <f>'Elan Valley'!E31</f>
        <v>2.6461800000000002</v>
      </c>
      <c r="G6" s="32">
        <f>'Elan Valley'!F31</f>
        <v>6.5258880000000001</v>
      </c>
      <c r="H6" s="32">
        <f>'Elan Valley'!G31</f>
        <v>0.21899999999999997</v>
      </c>
      <c r="I6" s="32">
        <f>'Elan Valley'!H31</f>
        <v>0.95399999999999996</v>
      </c>
      <c r="J6" s="32">
        <f>'Elan Valley'!I31</f>
        <v>0.15600000000000003</v>
      </c>
      <c r="K6" s="32">
        <f>'Elan Valley'!J31</f>
        <v>5.4000000000000012E-3</v>
      </c>
      <c r="L6" s="32">
        <f>'Elan Valley'!K31</f>
        <v>5.0400000000000002E-3</v>
      </c>
      <c r="M6" s="32">
        <f>'Elan Valley'!L31</f>
        <v>4.9800000000000004E-2</v>
      </c>
      <c r="N6" s="32">
        <f>'Elan Valley'!M31</f>
        <v>5.3280000000000008E-2</v>
      </c>
      <c r="O6" s="32">
        <f>'Elan Valley'!N31</f>
        <v>16.38</v>
      </c>
      <c r="P6" s="32">
        <f>'Elan Valley'!O31</f>
        <v>2424</v>
      </c>
      <c r="Q6" s="32">
        <f>'Elan Valley'!P31</f>
        <v>0</v>
      </c>
      <c r="R6" s="32">
        <f>'Elan Valley'!Q31</f>
        <v>99.600000000000023</v>
      </c>
      <c r="S6" s="32">
        <f>'Elan Valley'!R31</f>
        <v>0</v>
      </c>
      <c r="T6" s="32">
        <f>'Elan Valley'!S31</f>
        <v>0.53580000000000005</v>
      </c>
      <c r="U6" s="32">
        <f>'Elan Valley'!T31</f>
        <v>0</v>
      </c>
      <c r="V6" s="32">
        <f>'Elan Valley'!U31</f>
        <v>0</v>
      </c>
    </row>
    <row r="7" spans="1:22" x14ac:dyDescent="0.25">
      <c r="A7" s="35">
        <v>5</v>
      </c>
      <c r="B7" s="90"/>
      <c r="C7" s="32">
        <f>Hirwaun!B31</f>
        <v>250</v>
      </c>
      <c r="D7" s="32">
        <f>Hirwaun!C31</f>
        <v>53.534999999999997</v>
      </c>
      <c r="E7" s="32">
        <f>Hirwaun!D31</f>
        <v>10.6105374</v>
      </c>
      <c r="F7" s="32">
        <f>Hirwaun!E31</f>
        <v>2.3103465000000001</v>
      </c>
      <c r="G7" s="32">
        <f>Hirwaun!F31</f>
        <v>6.4196931000000008</v>
      </c>
      <c r="H7" s="32">
        <f>Hirwaun!G31</f>
        <v>0.25335750000000007</v>
      </c>
      <c r="I7" s="32">
        <f>Hirwaun!H31</f>
        <v>1.38195</v>
      </c>
      <c r="J7" s="32">
        <f>Hirwaun!I31</f>
        <v>0.15251250000000002</v>
      </c>
      <c r="K7" s="32">
        <f>Hirwaun!J31</f>
        <v>5.4157500000000004E-3</v>
      </c>
      <c r="L7" s="32">
        <f>Hirwaun!K31</f>
        <v>4.9800000000000009E-3</v>
      </c>
      <c r="M7" s="32">
        <f>Hirwaun!L31</f>
        <v>9.0885000000000007E-2</v>
      </c>
      <c r="N7" s="32">
        <f>Hirwaun!M31</f>
        <v>9.3997500000000012E-2</v>
      </c>
      <c r="O7" s="32">
        <f>Hirwaun!N31</f>
        <v>13.695000000000002</v>
      </c>
      <c r="P7" s="32">
        <f>Hirwaun!O31</f>
        <v>2359.2750000000001</v>
      </c>
      <c r="Q7" s="32">
        <f>Hirwaun!P31</f>
        <v>0</v>
      </c>
      <c r="R7" s="32">
        <f>Hirwaun!Q31</f>
        <v>91.351875000000007</v>
      </c>
      <c r="S7" s="32">
        <f>Hirwaun!R31</f>
        <v>0</v>
      </c>
      <c r="T7" s="32">
        <f>Hirwaun!S31</f>
        <v>0.25273500000000004</v>
      </c>
      <c r="U7" s="32">
        <f>Hirwaun!T31</f>
        <v>0</v>
      </c>
      <c r="V7" s="32">
        <f>Hirwaun!U31</f>
        <v>0</v>
      </c>
    </row>
    <row r="8" spans="1:22" x14ac:dyDescent="0.25">
      <c r="A8" s="35">
        <v>6</v>
      </c>
      <c r="B8" s="90"/>
      <c r="C8" s="32">
        <f>Bontgoch!B31</f>
        <v>150</v>
      </c>
      <c r="D8" s="32">
        <f>Bontgoch!C31</f>
        <v>31.891500000000001</v>
      </c>
      <c r="E8" s="32">
        <f>Bontgoch!D31</f>
        <v>74.532530249999994</v>
      </c>
      <c r="F8" s="32">
        <f>Bontgoch!E31</f>
        <v>0.65937600000000007</v>
      </c>
      <c r="G8" s="32">
        <f>Bontgoch!F31</f>
        <v>9.3560939999999988</v>
      </c>
      <c r="H8" s="32">
        <f>Bontgoch!G31</f>
        <v>3.3345E-2</v>
      </c>
      <c r="I8" s="32">
        <f>Bontgoch!H31</f>
        <v>2.6975249999999997</v>
      </c>
      <c r="J8" s="32">
        <f>Bontgoch!I31</f>
        <v>0.15774750000000001</v>
      </c>
      <c r="K8" s="32">
        <f>Bontgoch!J31</f>
        <v>1.0473750000000002E-2</v>
      </c>
      <c r="L8" s="32">
        <f>Bontgoch!K31</f>
        <v>3.0352500000000002E-3</v>
      </c>
      <c r="M8" s="32">
        <f>Bontgoch!L31</f>
        <v>0.16800749999999998</v>
      </c>
      <c r="N8" s="32">
        <f>Bontgoch!M31</f>
        <v>5.1300000000000005E-2</v>
      </c>
      <c r="O8" s="32">
        <f>Bontgoch!N31</f>
        <v>25.906500000000005</v>
      </c>
      <c r="P8" s="32">
        <f>Bontgoch!O31</f>
        <v>1444.95</v>
      </c>
      <c r="Q8" s="32">
        <f>Bontgoch!P31</f>
        <v>0</v>
      </c>
      <c r="R8" s="32">
        <f>Bontgoch!Q31</f>
        <v>26.825625000000002</v>
      </c>
      <c r="S8" s="32">
        <f>Bontgoch!R31</f>
        <v>0</v>
      </c>
      <c r="T8" s="32">
        <f>Bontgoch!S31</f>
        <v>7.0109999999999992E-2</v>
      </c>
      <c r="U8" s="32">
        <f>Bontgoch!T31</f>
        <v>0</v>
      </c>
      <c r="V8" s="32">
        <f>Bontgoch!U31</f>
        <v>0</v>
      </c>
    </row>
    <row r="9" spans="1:22" x14ac:dyDescent="0.25">
      <c r="A9" s="35">
        <v>7</v>
      </c>
      <c r="B9" s="90"/>
      <c r="C9" s="32">
        <f>'Strata Florida'!B31</f>
        <v>250</v>
      </c>
      <c r="D9" s="32">
        <f>'Strata Florida'!C31</f>
        <v>48.45</v>
      </c>
      <c r="E9" s="32">
        <f>'Strata Florida'!D31</f>
        <v>26.776062499999998</v>
      </c>
      <c r="F9" s="32">
        <f>'Strata Florida'!E31</f>
        <v>0.72209625</v>
      </c>
      <c r="G9" s="32">
        <f>'Strata Florida'!F31</f>
        <v>0.67012214999999997</v>
      </c>
      <c r="H9" s="32">
        <f>'Strata Florida'!G31</f>
        <v>3.3149999999999999E-2</v>
      </c>
      <c r="I9" s="32">
        <f>'Strata Florida'!H31</f>
        <v>0.14875000000000005</v>
      </c>
      <c r="J9" s="32">
        <f>'Strata Florida'!I31</f>
        <v>2.6350000000000002E-2</v>
      </c>
      <c r="K9" s="32">
        <f>'Strata Florida'!J31</f>
        <v>4.6750000000000003E-4</v>
      </c>
      <c r="L9" s="32">
        <f>'Strata Florida'!K31</f>
        <v>5.0150000000000004E-3</v>
      </c>
      <c r="M9" s="32">
        <f>'Strata Florida'!L31</f>
        <v>2.1675E-2</v>
      </c>
      <c r="N9" s="32">
        <f>'Strata Florida'!M31</f>
        <v>1.8275E-2</v>
      </c>
      <c r="O9" s="32">
        <f>'Strata Florida'!N31</f>
        <v>633.25000000000011</v>
      </c>
      <c r="P9" s="32">
        <f>'Strata Florida'!O31</f>
        <v>72.675000000000011</v>
      </c>
      <c r="Q9" s="32">
        <f>'Strata Florida'!P31</f>
        <v>0</v>
      </c>
      <c r="R9" s="32">
        <f>'Strata Florida'!Q31</f>
        <v>47.812500000000007</v>
      </c>
      <c r="S9" s="32">
        <f>'Strata Florida'!R31</f>
        <v>0</v>
      </c>
      <c r="T9" s="32">
        <f>'Strata Florida'!S31</f>
        <v>0.13005000000000003</v>
      </c>
      <c r="U9" s="32">
        <f>'Strata Florida'!T31</f>
        <v>0</v>
      </c>
      <c r="V9" s="32">
        <f>'Strata Florida'!U31</f>
        <v>0</v>
      </c>
    </row>
    <row r="10" spans="1:22" x14ac:dyDescent="0.25">
      <c r="A10" s="35">
        <v>8</v>
      </c>
      <c r="B10" s="90"/>
      <c r="C10" s="32">
        <f>Llechryd!B31</f>
        <v>47</v>
      </c>
      <c r="D10" s="32">
        <f>Llechryd!C31</f>
        <v>91.679610000000011</v>
      </c>
      <c r="E10" s="32">
        <f>Llechryd!D31</f>
        <v>37.358535150000002</v>
      </c>
      <c r="F10" s="32">
        <f>Llechryd!E31</f>
        <v>14.555195000000001</v>
      </c>
      <c r="G10" s="32">
        <f>Llechryd!F31</f>
        <v>58.278517619999995</v>
      </c>
      <c r="H10" s="32">
        <f>Llechryd!G31</f>
        <v>0.45417040000000003</v>
      </c>
      <c r="I10" s="32">
        <f>Llechryd!H31</f>
        <v>2.0171930000000002</v>
      </c>
      <c r="J10" s="32">
        <f>Llechryd!I31</f>
        <v>0.5737525</v>
      </c>
      <c r="K10" s="32">
        <f>Llechryd!J31</f>
        <v>4.1068600000000004E-3</v>
      </c>
      <c r="L10" s="32">
        <f>Llechryd!K31</f>
        <v>2.4158000000000001E-3</v>
      </c>
      <c r="M10" s="32">
        <f>Llechryd!L31</f>
        <v>0.30197499999999999</v>
      </c>
      <c r="N10" s="32">
        <f>Llechryd!M31</f>
        <v>0.26453009999999999</v>
      </c>
      <c r="O10" s="32">
        <f>Llechryd!N31</f>
        <v>148.57170000000002</v>
      </c>
      <c r="P10" s="32">
        <f>Llechryd!O31</f>
        <v>3599.5419999999999</v>
      </c>
      <c r="Q10" s="32">
        <f>Llechryd!P31</f>
        <v>0</v>
      </c>
      <c r="R10" s="32">
        <f>Llechryd!Q31</f>
        <v>67.642400000000009</v>
      </c>
      <c r="S10" s="32">
        <f>Llechryd!R31</f>
        <v>0</v>
      </c>
      <c r="T10" s="32">
        <f>Llechryd!S31</f>
        <v>0.24882739999999998</v>
      </c>
      <c r="U10" s="32">
        <f>Llechryd!T31</f>
        <v>0</v>
      </c>
      <c r="V10" s="32">
        <f>Llechryd!U31</f>
        <v>0</v>
      </c>
    </row>
    <row r="11" spans="1:22" x14ac:dyDescent="0.25">
      <c r="A11" s="35">
        <v>9</v>
      </c>
      <c r="B11" s="90"/>
      <c r="C11" s="32">
        <f>Llyswen!B31</f>
        <v>250</v>
      </c>
      <c r="D11" s="32">
        <f>Llyswen!C31</f>
        <v>61.055999999999997</v>
      </c>
      <c r="E11" s="32">
        <f>Llyswen!D31</f>
        <v>22.213535999999998</v>
      </c>
      <c r="F11" s="32">
        <f>Llyswen!E31</f>
        <v>5.1477599999999981</v>
      </c>
      <c r="G11" s="32">
        <f>Llyswen!F31</f>
        <v>17.190144</v>
      </c>
      <c r="H11" s="32">
        <f>Llyswen!G31</f>
        <v>0.20255999999999999</v>
      </c>
      <c r="I11" s="32">
        <f>Llyswen!H31</f>
        <v>0.50112000000000001</v>
      </c>
      <c r="J11" s="32">
        <f>Llyswen!I31</f>
        <v>5.9519999999999997E-2</v>
      </c>
      <c r="K11" s="32">
        <f>Llyswen!J31</f>
        <v>2.3999999999999998E-3</v>
      </c>
      <c r="L11" s="32">
        <f>Llyswen!K31</f>
        <v>5.0880000000000005E-3</v>
      </c>
      <c r="M11" s="32">
        <f>Llyswen!L31</f>
        <v>4.895999999999999E-2</v>
      </c>
      <c r="N11" s="32">
        <f>Llyswen!M31</f>
        <v>4.1279999999999997E-2</v>
      </c>
      <c r="O11" s="32">
        <f>Llyswen!N31</f>
        <v>998.4</v>
      </c>
      <c r="P11" s="32">
        <f>Llyswen!O31</f>
        <v>75.263999999999996</v>
      </c>
      <c r="Q11" s="32">
        <f>Llyswen!P31</f>
        <v>0</v>
      </c>
      <c r="R11" s="32">
        <f>Llyswen!Q31</f>
        <v>91.44</v>
      </c>
      <c r="S11" s="32">
        <f>Llyswen!R31</f>
        <v>0</v>
      </c>
      <c r="T11" s="32">
        <f>Llyswen!S31</f>
        <v>0.39072000000000007</v>
      </c>
      <c r="U11" s="32">
        <f>Llyswen!T31</f>
        <v>0</v>
      </c>
      <c r="V11" s="32">
        <f>Llyswen!U31</f>
        <v>0</v>
      </c>
    </row>
    <row r="12" spans="1:22" x14ac:dyDescent="0.25">
      <c r="A12" s="35">
        <v>10</v>
      </c>
      <c r="B12" s="90"/>
      <c r="C12" s="32" t="e">
        <f>#REF!</f>
        <v>#REF!</v>
      </c>
      <c r="D12" s="32" t="e">
        <f>#REF!</f>
        <v>#REF!</v>
      </c>
      <c r="E12" s="32" t="e">
        <f>#REF!</f>
        <v>#REF!</v>
      </c>
      <c r="F12" s="32" t="e">
        <f>#REF!</f>
        <v>#REF!</v>
      </c>
      <c r="G12" s="32" t="e">
        <f>#REF!</f>
        <v>#REF!</v>
      </c>
      <c r="H12" s="32" t="e">
        <f>#REF!</f>
        <v>#REF!</v>
      </c>
      <c r="I12" s="32" t="e">
        <f>#REF!</f>
        <v>#REF!</v>
      </c>
      <c r="J12" s="32" t="e">
        <f>#REF!</f>
        <v>#REF!</v>
      </c>
      <c r="K12" s="32" t="e">
        <f>#REF!</f>
        <v>#REF!</v>
      </c>
      <c r="L12" s="32" t="e">
        <f>#REF!</f>
        <v>#REF!</v>
      </c>
      <c r="M12" s="32" t="e">
        <f>#REF!</f>
        <v>#REF!</v>
      </c>
      <c r="N12" s="32" t="e">
        <f>#REF!</f>
        <v>#REF!</v>
      </c>
      <c r="O12" s="32" t="e">
        <f>#REF!</f>
        <v>#REF!</v>
      </c>
      <c r="P12" s="32" t="e">
        <f>#REF!</f>
        <v>#REF!</v>
      </c>
      <c r="Q12" s="32" t="e">
        <f>#REF!</f>
        <v>#REF!</v>
      </c>
      <c r="R12" s="32" t="e">
        <f>#REF!</f>
        <v>#REF!</v>
      </c>
      <c r="S12" s="32" t="e">
        <f>#REF!</f>
        <v>#REF!</v>
      </c>
      <c r="T12" s="32" t="e">
        <f>#REF!</f>
        <v>#REF!</v>
      </c>
      <c r="U12" s="32" t="e">
        <f>#REF!</f>
        <v>#REF!</v>
      </c>
      <c r="V12" s="32" t="e">
        <f>#REF!</f>
        <v>#REF!</v>
      </c>
    </row>
    <row r="13" spans="1:22" x14ac:dyDescent="0.25">
      <c r="B13" s="36"/>
      <c r="C13" s="22"/>
      <c r="D13" s="22"/>
      <c r="E13" s="22"/>
      <c r="F13" s="22"/>
      <c r="G13" s="22"/>
      <c r="H13" s="22"/>
      <c r="I13" s="22"/>
      <c r="J13" s="22"/>
      <c r="K13" s="22"/>
      <c r="L13" s="22"/>
      <c r="M13" s="22"/>
      <c r="N13" s="22"/>
      <c r="O13" s="22"/>
      <c r="P13" s="22"/>
      <c r="Q13" s="22"/>
      <c r="R13" s="22"/>
      <c r="S13" s="22"/>
      <c r="T13" s="22"/>
      <c r="U13" s="22"/>
      <c r="V13" s="22"/>
    </row>
    <row r="14" spans="1:22" x14ac:dyDescent="0.25">
      <c r="A14" s="83" t="s">
        <v>86</v>
      </c>
      <c r="C14" s="83"/>
      <c r="D14" s="83"/>
      <c r="E14" s="83"/>
      <c r="F14" s="83"/>
      <c r="G14" s="83"/>
      <c r="H14" s="83"/>
      <c r="I14" s="83"/>
      <c r="J14" s="83"/>
      <c r="K14" s="83"/>
      <c r="L14" s="83"/>
      <c r="M14" s="83"/>
      <c r="N14" s="83"/>
    </row>
    <row r="15" spans="1:22" ht="37.5" x14ac:dyDescent="0.25">
      <c r="A15" s="146" t="s">
        <v>84</v>
      </c>
      <c r="B15" s="34" t="s">
        <v>152</v>
      </c>
      <c r="C15" s="34">
        <f>Bryngwyn!B43</f>
        <v>0</v>
      </c>
      <c r="D15" s="37" t="str">
        <f t="shared" ref="D15:V15" si="0">D1</f>
        <v>Nitrogen Addition</v>
      </c>
      <c r="E15" s="37" t="str">
        <f t="shared" si="0"/>
        <v>Phosphate Addition</v>
      </c>
      <c r="F15" s="37" t="str">
        <f t="shared" si="0"/>
        <v>Potash  Addition</v>
      </c>
      <c r="G15" s="37" t="str">
        <f t="shared" si="0"/>
        <v>Mg Oxide Addition</v>
      </c>
      <c r="H15" s="37" t="str">
        <f t="shared" si="0"/>
        <v>Copper Addition</v>
      </c>
      <c r="I15" s="37" t="str">
        <f t="shared" si="0"/>
        <v>Zinc Addition</v>
      </c>
      <c r="J15" s="37" t="str">
        <f t="shared" si="0"/>
        <v>Lead Addition</v>
      </c>
      <c r="K15" s="37" t="str">
        <f t="shared" si="0"/>
        <v>Cadmium Addition</v>
      </c>
      <c r="L15" s="37" t="str">
        <f t="shared" si="0"/>
        <v>Mercury Addition</v>
      </c>
      <c r="M15" s="37" t="str">
        <f t="shared" si="0"/>
        <v>Nickel Addition</v>
      </c>
      <c r="N15" s="37" t="str">
        <f t="shared" si="0"/>
        <v>Chromium Addition</v>
      </c>
      <c r="O15" s="37" t="str">
        <f t="shared" si="0"/>
        <v>Aluminium Addition</v>
      </c>
      <c r="P15" s="37" t="str">
        <f t="shared" si="0"/>
        <v>Iron Addition</v>
      </c>
      <c r="Q15" s="37" t="str">
        <f t="shared" si="0"/>
        <v xml:space="preserve">Sodium Addition                 </v>
      </c>
      <c r="R15" s="37" t="str">
        <f t="shared" si="0"/>
        <v>SO3  Addition                             kg/ha</v>
      </c>
      <c r="S15" s="37" t="str">
        <f t="shared" si="0"/>
        <v xml:space="preserve">Selenium Addition </v>
      </c>
      <c r="T15" s="37" t="str">
        <f t="shared" si="0"/>
        <v xml:space="preserve">Arsenic  Addition  </v>
      </c>
      <c r="U15" s="37" t="str">
        <f t="shared" si="0"/>
        <v xml:space="preserve">Molybdenum Addition  </v>
      </c>
      <c r="V15" s="37" t="str">
        <f t="shared" si="0"/>
        <v xml:space="preserve">Fluoride Addition </v>
      </c>
    </row>
    <row r="16" spans="1:22" ht="25" x14ac:dyDescent="0.25">
      <c r="A16" s="146"/>
      <c r="B16" s="31" t="s">
        <v>46</v>
      </c>
      <c r="C16" s="34">
        <f>Bryngwyn!B44</f>
        <v>0</v>
      </c>
      <c r="D16" s="37" t="str">
        <f t="shared" ref="D16:V16" si="1">D2</f>
        <v>kg/ha</v>
      </c>
      <c r="E16" s="37" t="str">
        <f t="shared" si="1"/>
        <v>P2O5 
kg/ha</v>
      </c>
      <c r="F16" s="37" t="str">
        <f t="shared" si="1"/>
        <v>K2O 
kg/ha</v>
      </c>
      <c r="G16" s="37" t="str">
        <f t="shared" si="1"/>
        <v>MgO 
kg/ha</v>
      </c>
      <c r="H16" s="37" t="str">
        <f t="shared" si="1"/>
        <v>kg/ha</v>
      </c>
      <c r="I16" s="37" t="str">
        <f t="shared" si="1"/>
        <v>kg/ha</v>
      </c>
      <c r="J16" s="37" t="str">
        <f t="shared" si="1"/>
        <v>kg/ha</v>
      </c>
      <c r="K16" s="37" t="str">
        <f t="shared" si="1"/>
        <v>kg/ha</v>
      </c>
      <c r="L16" s="37" t="str">
        <f t="shared" si="1"/>
        <v>kg/ha</v>
      </c>
      <c r="M16" s="37" t="str">
        <f t="shared" si="1"/>
        <v>kg/ha</v>
      </c>
      <c r="N16" s="37" t="str">
        <f t="shared" si="1"/>
        <v>kg/ha</v>
      </c>
      <c r="O16" s="37" t="str">
        <f t="shared" si="1"/>
        <v>kg/ha</v>
      </c>
      <c r="P16" s="37" t="str">
        <f t="shared" si="1"/>
        <v>kg/ha</v>
      </c>
      <c r="Q16" s="37" t="str">
        <f t="shared" si="1"/>
        <v>kg/ha</v>
      </c>
      <c r="R16" s="37" t="str">
        <f t="shared" si="1"/>
        <v>kg/ha</v>
      </c>
      <c r="S16" s="37" t="str">
        <f t="shared" si="1"/>
        <v>kg/ha</v>
      </c>
      <c r="T16" s="37" t="str">
        <f t="shared" si="1"/>
        <v>kg/ha</v>
      </c>
      <c r="U16" s="37" t="str">
        <f t="shared" si="1"/>
        <v>kg/ha</v>
      </c>
      <c r="V16" s="37" t="str">
        <f t="shared" si="1"/>
        <v>kg/ha</v>
      </c>
    </row>
    <row r="17" spans="1:22" x14ac:dyDescent="0.25">
      <c r="A17" s="84">
        <v>1</v>
      </c>
      <c r="B17" s="85">
        <f>B3</f>
        <v>0</v>
      </c>
      <c r="C17" s="86">
        <f>C3</f>
        <v>250</v>
      </c>
      <c r="D17" s="87">
        <f>D3*$B$3</f>
        <v>0</v>
      </c>
      <c r="E17" s="87">
        <f t="shared" ref="E17:V17" si="2">E3*$B$3</f>
        <v>0</v>
      </c>
      <c r="F17" s="87">
        <f t="shared" si="2"/>
        <v>0</v>
      </c>
      <c r="G17" s="87">
        <f t="shared" si="2"/>
        <v>0</v>
      </c>
      <c r="H17" s="87">
        <f t="shared" si="2"/>
        <v>0</v>
      </c>
      <c r="I17" s="87">
        <f t="shared" si="2"/>
        <v>0</v>
      </c>
      <c r="J17" s="87">
        <f t="shared" si="2"/>
        <v>0</v>
      </c>
      <c r="K17" s="87">
        <f t="shared" si="2"/>
        <v>0</v>
      </c>
      <c r="L17" s="87">
        <f t="shared" si="2"/>
        <v>0</v>
      </c>
      <c r="M17" s="87">
        <f t="shared" si="2"/>
        <v>0</v>
      </c>
      <c r="N17" s="87">
        <f t="shared" si="2"/>
        <v>0</v>
      </c>
      <c r="O17" s="87">
        <f t="shared" si="2"/>
        <v>0</v>
      </c>
      <c r="P17" s="87">
        <f t="shared" si="2"/>
        <v>0</v>
      </c>
      <c r="Q17" s="87">
        <f t="shared" si="2"/>
        <v>0</v>
      </c>
      <c r="R17" s="87">
        <f t="shared" si="2"/>
        <v>0</v>
      </c>
      <c r="S17" s="87">
        <f t="shared" si="2"/>
        <v>0</v>
      </c>
      <c r="T17" s="87">
        <f t="shared" si="2"/>
        <v>0</v>
      </c>
      <c r="U17" s="87">
        <f t="shared" si="2"/>
        <v>0</v>
      </c>
      <c r="V17" s="87">
        <f t="shared" si="2"/>
        <v>0</v>
      </c>
    </row>
    <row r="18" spans="1:22" x14ac:dyDescent="0.25">
      <c r="A18" s="84">
        <v>2</v>
      </c>
      <c r="B18" s="85">
        <f t="shared" ref="B18:C18" si="3">B4</f>
        <v>0</v>
      </c>
      <c r="C18" s="86">
        <f t="shared" si="3"/>
        <v>250</v>
      </c>
      <c r="D18" s="87">
        <f>D4*$B$4</f>
        <v>0</v>
      </c>
      <c r="E18" s="87">
        <f t="shared" ref="E18:V18" si="4">E4*$B$4</f>
        <v>0</v>
      </c>
      <c r="F18" s="87">
        <f t="shared" si="4"/>
        <v>0</v>
      </c>
      <c r="G18" s="87">
        <f t="shared" si="4"/>
        <v>0</v>
      </c>
      <c r="H18" s="87">
        <f t="shared" si="4"/>
        <v>0</v>
      </c>
      <c r="I18" s="87">
        <f t="shared" si="4"/>
        <v>0</v>
      </c>
      <c r="J18" s="87">
        <f t="shared" si="4"/>
        <v>0</v>
      </c>
      <c r="K18" s="87">
        <f t="shared" si="4"/>
        <v>0</v>
      </c>
      <c r="L18" s="87">
        <f t="shared" si="4"/>
        <v>0</v>
      </c>
      <c r="M18" s="87">
        <f t="shared" si="4"/>
        <v>0</v>
      </c>
      <c r="N18" s="87">
        <f t="shared" si="4"/>
        <v>0</v>
      </c>
      <c r="O18" s="87">
        <f t="shared" si="4"/>
        <v>0</v>
      </c>
      <c r="P18" s="87">
        <f t="shared" si="4"/>
        <v>0</v>
      </c>
      <c r="Q18" s="87">
        <f t="shared" si="4"/>
        <v>0</v>
      </c>
      <c r="R18" s="87">
        <f t="shared" si="4"/>
        <v>0</v>
      </c>
      <c r="S18" s="87">
        <f t="shared" si="4"/>
        <v>0</v>
      </c>
      <c r="T18" s="87">
        <f t="shared" si="4"/>
        <v>0</v>
      </c>
      <c r="U18" s="87">
        <f t="shared" si="4"/>
        <v>0</v>
      </c>
      <c r="V18" s="87">
        <f t="shared" si="4"/>
        <v>0</v>
      </c>
    </row>
    <row r="19" spans="1:22" x14ac:dyDescent="0.25">
      <c r="A19" s="84">
        <v>3</v>
      </c>
      <c r="B19" s="85">
        <f t="shared" ref="B19:C19" si="5">B5</f>
        <v>0</v>
      </c>
      <c r="C19" s="86">
        <f t="shared" si="5"/>
        <v>250</v>
      </c>
      <c r="D19" s="87">
        <f>D5*$B$5</f>
        <v>0</v>
      </c>
      <c r="E19" s="87">
        <f t="shared" ref="E19:V19" si="6">E5*$B$5</f>
        <v>0</v>
      </c>
      <c r="F19" s="87">
        <f t="shared" si="6"/>
        <v>0</v>
      </c>
      <c r="G19" s="87">
        <f t="shared" si="6"/>
        <v>0</v>
      </c>
      <c r="H19" s="87">
        <f t="shared" si="6"/>
        <v>0</v>
      </c>
      <c r="I19" s="87">
        <f t="shared" si="6"/>
        <v>0</v>
      </c>
      <c r="J19" s="87">
        <f t="shared" si="6"/>
        <v>0</v>
      </c>
      <c r="K19" s="87">
        <f t="shared" si="6"/>
        <v>0</v>
      </c>
      <c r="L19" s="87">
        <f t="shared" si="6"/>
        <v>0</v>
      </c>
      <c r="M19" s="87">
        <f t="shared" si="6"/>
        <v>0</v>
      </c>
      <c r="N19" s="87">
        <f t="shared" si="6"/>
        <v>0</v>
      </c>
      <c r="O19" s="87">
        <f t="shared" si="6"/>
        <v>0</v>
      </c>
      <c r="P19" s="87">
        <f t="shared" si="6"/>
        <v>0</v>
      </c>
      <c r="Q19" s="87">
        <f t="shared" si="6"/>
        <v>0</v>
      </c>
      <c r="R19" s="87">
        <f t="shared" si="6"/>
        <v>0</v>
      </c>
      <c r="S19" s="87">
        <f t="shared" si="6"/>
        <v>0</v>
      </c>
      <c r="T19" s="87">
        <f t="shared" si="6"/>
        <v>0</v>
      </c>
      <c r="U19" s="87">
        <f t="shared" si="6"/>
        <v>0</v>
      </c>
      <c r="V19" s="87">
        <f t="shared" si="6"/>
        <v>0</v>
      </c>
    </row>
    <row r="20" spans="1:22" x14ac:dyDescent="0.25">
      <c r="A20" s="84">
        <v>4</v>
      </c>
      <c r="B20" s="85">
        <f t="shared" ref="B20:C20" si="7">B6</f>
        <v>0</v>
      </c>
      <c r="C20" s="86">
        <f t="shared" si="7"/>
        <v>250</v>
      </c>
      <c r="D20" s="87">
        <f>D6*$B$6</f>
        <v>0</v>
      </c>
      <c r="E20" s="87">
        <f t="shared" ref="E20:V20" si="8">E6*$B$6</f>
        <v>0</v>
      </c>
      <c r="F20" s="87">
        <f t="shared" si="8"/>
        <v>0</v>
      </c>
      <c r="G20" s="87">
        <f t="shared" si="8"/>
        <v>0</v>
      </c>
      <c r="H20" s="87">
        <f t="shared" si="8"/>
        <v>0</v>
      </c>
      <c r="I20" s="87">
        <f t="shared" si="8"/>
        <v>0</v>
      </c>
      <c r="J20" s="87">
        <f t="shared" si="8"/>
        <v>0</v>
      </c>
      <c r="K20" s="87">
        <f t="shared" si="8"/>
        <v>0</v>
      </c>
      <c r="L20" s="87">
        <f t="shared" si="8"/>
        <v>0</v>
      </c>
      <c r="M20" s="87">
        <f t="shared" si="8"/>
        <v>0</v>
      </c>
      <c r="N20" s="87">
        <f t="shared" si="8"/>
        <v>0</v>
      </c>
      <c r="O20" s="87">
        <f t="shared" si="8"/>
        <v>0</v>
      </c>
      <c r="P20" s="87">
        <f t="shared" si="8"/>
        <v>0</v>
      </c>
      <c r="Q20" s="87">
        <f t="shared" si="8"/>
        <v>0</v>
      </c>
      <c r="R20" s="87">
        <f t="shared" si="8"/>
        <v>0</v>
      </c>
      <c r="S20" s="87">
        <f t="shared" si="8"/>
        <v>0</v>
      </c>
      <c r="T20" s="87">
        <f t="shared" si="8"/>
        <v>0</v>
      </c>
      <c r="U20" s="87">
        <f t="shared" si="8"/>
        <v>0</v>
      </c>
      <c r="V20" s="87">
        <f t="shared" si="8"/>
        <v>0</v>
      </c>
    </row>
    <row r="21" spans="1:22" x14ac:dyDescent="0.25">
      <c r="A21" s="84">
        <v>5</v>
      </c>
      <c r="B21" s="85">
        <f t="shared" ref="B21:C21" si="9">B7</f>
        <v>0</v>
      </c>
      <c r="C21" s="86">
        <f t="shared" si="9"/>
        <v>250</v>
      </c>
      <c r="D21" s="87">
        <f>D7*$B$7</f>
        <v>0</v>
      </c>
      <c r="E21" s="87">
        <f t="shared" ref="E21:V21" si="10">E7*$B$7</f>
        <v>0</v>
      </c>
      <c r="F21" s="87">
        <f t="shared" si="10"/>
        <v>0</v>
      </c>
      <c r="G21" s="87">
        <f t="shared" si="10"/>
        <v>0</v>
      </c>
      <c r="H21" s="87">
        <f t="shared" si="10"/>
        <v>0</v>
      </c>
      <c r="I21" s="87">
        <f t="shared" si="10"/>
        <v>0</v>
      </c>
      <c r="J21" s="87">
        <f t="shared" si="10"/>
        <v>0</v>
      </c>
      <c r="K21" s="87">
        <f t="shared" si="10"/>
        <v>0</v>
      </c>
      <c r="L21" s="87">
        <f t="shared" si="10"/>
        <v>0</v>
      </c>
      <c r="M21" s="87">
        <f t="shared" si="10"/>
        <v>0</v>
      </c>
      <c r="N21" s="87">
        <f t="shared" si="10"/>
        <v>0</v>
      </c>
      <c r="O21" s="87">
        <f t="shared" si="10"/>
        <v>0</v>
      </c>
      <c r="P21" s="87">
        <f t="shared" si="10"/>
        <v>0</v>
      </c>
      <c r="Q21" s="87">
        <f t="shared" si="10"/>
        <v>0</v>
      </c>
      <c r="R21" s="87">
        <f t="shared" si="10"/>
        <v>0</v>
      </c>
      <c r="S21" s="87">
        <f t="shared" si="10"/>
        <v>0</v>
      </c>
      <c r="T21" s="87">
        <f t="shared" si="10"/>
        <v>0</v>
      </c>
      <c r="U21" s="87">
        <f t="shared" si="10"/>
        <v>0</v>
      </c>
      <c r="V21" s="87">
        <f t="shared" si="10"/>
        <v>0</v>
      </c>
    </row>
    <row r="22" spans="1:22" x14ac:dyDescent="0.25">
      <c r="A22" s="84">
        <v>6</v>
      </c>
      <c r="B22" s="85">
        <f t="shared" ref="B22:C22" si="11">B8</f>
        <v>0</v>
      </c>
      <c r="C22" s="86">
        <f t="shared" si="11"/>
        <v>150</v>
      </c>
      <c r="D22" s="87">
        <f>D8*$B$8</f>
        <v>0</v>
      </c>
      <c r="E22" s="87">
        <f t="shared" ref="E22:V22" si="12">E8*$B$8</f>
        <v>0</v>
      </c>
      <c r="F22" s="87">
        <f t="shared" si="12"/>
        <v>0</v>
      </c>
      <c r="G22" s="87">
        <f t="shared" si="12"/>
        <v>0</v>
      </c>
      <c r="H22" s="87">
        <f t="shared" si="12"/>
        <v>0</v>
      </c>
      <c r="I22" s="87">
        <f t="shared" si="12"/>
        <v>0</v>
      </c>
      <c r="J22" s="87">
        <f t="shared" si="12"/>
        <v>0</v>
      </c>
      <c r="K22" s="87">
        <f t="shared" si="12"/>
        <v>0</v>
      </c>
      <c r="L22" s="87">
        <f t="shared" si="12"/>
        <v>0</v>
      </c>
      <c r="M22" s="87">
        <f t="shared" si="12"/>
        <v>0</v>
      </c>
      <c r="N22" s="87">
        <f t="shared" si="12"/>
        <v>0</v>
      </c>
      <c r="O22" s="87">
        <f t="shared" si="12"/>
        <v>0</v>
      </c>
      <c r="P22" s="87">
        <f t="shared" si="12"/>
        <v>0</v>
      </c>
      <c r="Q22" s="87">
        <f t="shared" si="12"/>
        <v>0</v>
      </c>
      <c r="R22" s="87">
        <f t="shared" si="12"/>
        <v>0</v>
      </c>
      <c r="S22" s="87">
        <f t="shared" si="12"/>
        <v>0</v>
      </c>
      <c r="T22" s="87">
        <f t="shared" si="12"/>
        <v>0</v>
      </c>
      <c r="U22" s="87">
        <f t="shared" si="12"/>
        <v>0</v>
      </c>
      <c r="V22" s="87">
        <f t="shared" si="12"/>
        <v>0</v>
      </c>
    </row>
    <row r="23" spans="1:22" x14ac:dyDescent="0.25">
      <c r="A23" s="84">
        <v>7</v>
      </c>
      <c r="B23" s="85">
        <f t="shared" ref="B23:C23" si="13">B9</f>
        <v>0</v>
      </c>
      <c r="C23" s="86">
        <f t="shared" si="13"/>
        <v>250</v>
      </c>
      <c r="D23" s="87">
        <f>D9*$B$9</f>
        <v>0</v>
      </c>
      <c r="E23" s="87">
        <f t="shared" ref="E23:V23" si="14">E9*$B$9</f>
        <v>0</v>
      </c>
      <c r="F23" s="87">
        <f t="shared" si="14"/>
        <v>0</v>
      </c>
      <c r="G23" s="87">
        <f t="shared" si="14"/>
        <v>0</v>
      </c>
      <c r="H23" s="87">
        <f t="shared" si="14"/>
        <v>0</v>
      </c>
      <c r="I23" s="87">
        <f t="shared" si="14"/>
        <v>0</v>
      </c>
      <c r="J23" s="87">
        <f t="shared" si="14"/>
        <v>0</v>
      </c>
      <c r="K23" s="87">
        <f t="shared" si="14"/>
        <v>0</v>
      </c>
      <c r="L23" s="87">
        <f t="shared" si="14"/>
        <v>0</v>
      </c>
      <c r="M23" s="87">
        <f t="shared" si="14"/>
        <v>0</v>
      </c>
      <c r="N23" s="87">
        <f t="shared" si="14"/>
        <v>0</v>
      </c>
      <c r="O23" s="87">
        <f t="shared" si="14"/>
        <v>0</v>
      </c>
      <c r="P23" s="87">
        <f t="shared" si="14"/>
        <v>0</v>
      </c>
      <c r="Q23" s="87">
        <f t="shared" si="14"/>
        <v>0</v>
      </c>
      <c r="R23" s="87">
        <f t="shared" si="14"/>
        <v>0</v>
      </c>
      <c r="S23" s="87">
        <f t="shared" si="14"/>
        <v>0</v>
      </c>
      <c r="T23" s="87">
        <f t="shared" si="14"/>
        <v>0</v>
      </c>
      <c r="U23" s="87">
        <f t="shared" si="14"/>
        <v>0</v>
      </c>
      <c r="V23" s="87">
        <f t="shared" si="14"/>
        <v>0</v>
      </c>
    </row>
    <row r="24" spans="1:22" x14ac:dyDescent="0.25">
      <c r="A24" s="84">
        <v>8</v>
      </c>
      <c r="B24" s="85">
        <f t="shared" ref="B24:C24" si="15">B10</f>
        <v>0</v>
      </c>
      <c r="C24" s="86">
        <f t="shared" si="15"/>
        <v>47</v>
      </c>
      <c r="D24" s="87">
        <f>D10*$B$10</f>
        <v>0</v>
      </c>
      <c r="E24" s="87">
        <f t="shared" ref="E24:V24" si="16">E10*$B$10</f>
        <v>0</v>
      </c>
      <c r="F24" s="87">
        <f t="shared" si="16"/>
        <v>0</v>
      </c>
      <c r="G24" s="87">
        <f t="shared" si="16"/>
        <v>0</v>
      </c>
      <c r="H24" s="87">
        <f t="shared" si="16"/>
        <v>0</v>
      </c>
      <c r="I24" s="87">
        <f t="shared" si="16"/>
        <v>0</v>
      </c>
      <c r="J24" s="87">
        <f t="shared" si="16"/>
        <v>0</v>
      </c>
      <c r="K24" s="87">
        <f t="shared" si="16"/>
        <v>0</v>
      </c>
      <c r="L24" s="87">
        <f t="shared" si="16"/>
        <v>0</v>
      </c>
      <c r="M24" s="87">
        <f t="shared" si="16"/>
        <v>0</v>
      </c>
      <c r="N24" s="87">
        <f t="shared" si="16"/>
        <v>0</v>
      </c>
      <c r="O24" s="87">
        <f t="shared" si="16"/>
        <v>0</v>
      </c>
      <c r="P24" s="87">
        <f t="shared" si="16"/>
        <v>0</v>
      </c>
      <c r="Q24" s="87">
        <f t="shared" si="16"/>
        <v>0</v>
      </c>
      <c r="R24" s="87">
        <f t="shared" si="16"/>
        <v>0</v>
      </c>
      <c r="S24" s="87">
        <f t="shared" si="16"/>
        <v>0</v>
      </c>
      <c r="T24" s="87">
        <f t="shared" si="16"/>
        <v>0</v>
      </c>
      <c r="U24" s="87">
        <f t="shared" si="16"/>
        <v>0</v>
      </c>
      <c r="V24" s="87">
        <f t="shared" si="16"/>
        <v>0</v>
      </c>
    </row>
    <row r="25" spans="1:22" x14ac:dyDescent="0.25">
      <c r="A25" s="84">
        <v>9</v>
      </c>
      <c r="B25" s="85">
        <f t="shared" ref="B25:C25" si="17">B11</f>
        <v>0</v>
      </c>
      <c r="C25" s="86">
        <f t="shared" si="17"/>
        <v>250</v>
      </c>
      <c r="D25" s="87">
        <f>D11*$B$11</f>
        <v>0</v>
      </c>
      <c r="E25" s="87">
        <f t="shared" ref="E25:V25" si="18">E11*$B$11</f>
        <v>0</v>
      </c>
      <c r="F25" s="87">
        <f t="shared" si="18"/>
        <v>0</v>
      </c>
      <c r="G25" s="87">
        <f t="shared" si="18"/>
        <v>0</v>
      </c>
      <c r="H25" s="87">
        <f t="shared" si="18"/>
        <v>0</v>
      </c>
      <c r="I25" s="87">
        <f t="shared" si="18"/>
        <v>0</v>
      </c>
      <c r="J25" s="87">
        <f t="shared" si="18"/>
        <v>0</v>
      </c>
      <c r="K25" s="87">
        <f t="shared" si="18"/>
        <v>0</v>
      </c>
      <c r="L25" s="87">
        <f t="shared" si="18"/>
        <v>0</v>
      </c>
      <c r="M25" s="87">
        <f t="shared" si="18"/>
        <v>0</v>
      </c>
      <c r="N25" s="87">
        <f t="shared" si="18"/>
        <v>0</v>
      </c>
      <c r="O25" s="87">
        <f t="shared" si="18"/>
        <v>0</v>
      </c>
      <c r="P25" s="87">
        <f t="shared" si="18"/>
        <v>0</v>
      </c>
      <c r="Q25" s="87">
        <f t="shared" si="18"/>
        <v>0</v>
      </c>
      <c r="R25" s="87">
        <f t="shared" si="18"/>
        <v>0</v>
      </c>
      <c r="S25" s="87">
        <f t="shared" si="18"/>
        <v>0</v>
      </c>
      <c r="T25" s="87">
        <f t="shared" si="18"/>
        <v>0</v>
      </c>
      <c r="U25" s="87">
        <f t="shared" si="18"/>
        <v>0</v>
      </c>
      <c r="V25" s="87">
        <f t="shared" si="18"/>
        <v>0</v>
      </c>
    </row>
    <row r="26" spans="1:22" x14ac:dyDescent="0.25">
      <c r="A26" s="84">
        <v>10</v>
      </c>
      <c r="B26" s="85">
        <f t="shared" ref="B26:C26" si="19">B12</f>
        <v>0</v>
      </c>
      <c r="C26" s="86" t="e">
        <f t="shared" si="19"/>
        <v>#REF!</v>
      </c>
      <c r="D26" s="87" t="e">
        <f>D12*$B$12</f>
        <v>#REF!</v>
      </c>
      <c r="E26" s="87" t="e">
        <f t="shared" ref="E26:V26" si="20">E12*$B$12</f>
        <v>#REF!</v>
      </c>
      <c r="F26" s="87" t="e">
        <f t="shared" si="20"/>
        <v>#REF!</v>
      </c>
      <c r="G26" s="87" t="e">
        <f t="shared" si="20"/>
        <v>#REF!</v>
      </c>
      <c r="H26" s="87" t="e">
        <f t="shared" si="20"/>
        <v>#REF!</v>
      </c>
      <c r="I26" s="87" t="e">
        <f t="shared" si="20"/>
        <v>#REF!</v>
      </c>
      <c r="J26" s="87" t="e">
        <f t="shared" si="20"/>
        <v>#REF!</v>
      </c>
      <c r="K26" s="87" t="e">
        <f t="shared" si="20"/>
        <v>#REF!</v>
      </c>
      <c r="L26" s="87" t="e">
        <f t="shared" si="20"/>
        <v>#REF!</v>
      </c>
      <c r="M26" s="87" t="e">
        <f t="shared" si="20"/>
        <v>#REF!</v>
      </c>
      <c r="N26" s="87" t="e">
        <f t="shared" si="20"/>
        <v>#REF!</v>
      </c>
      <c r="O26" s="87" t="e">
        <f t="shared" si="20"/>
        <v>#REF!</v>
      </c>
      <c r="P26" s="87" t="e">
        <f t="shared" si="20"/>
        <v>#REF!</v>
      </c>
      <c r="Q26" s="87" t="e">
        <f t="shared" si="20"/>
        <v>#REF!</v>
      </c>
      <c r="R26" s="87" t="e">
        <f t="shared" si="20"/>
        <v>#REF!</v>
      </c>
      <c r="S26" s="87" t="e">
        <f t="shared" si="20"/>
        <v>#REF!</v>
      </c>
      <c r="T26" s="87" t="e">
        <f t="shared" si="20"/>
        <v>#REF!</v>
      </c>
      <c r="U26" s="87" t="e">
        <f t="shared" si="20"/>
        <v>#REF!</v>
      </c>
      <c r="V26" s="87" t="e">
        <f t="shared" si="20"/>
        <v>#REF!</v>
      </c>
    </row>
    <row r="27" spans="1:22" s="89" customFormat="1" ht="15.5" x14ac:dyDescent="0.35">
      <c r="A27" s="148" t="s">
        <v>85</v>
      </c>
      <c r="B27" s="148"/>
      <c r="C27" s="148"/>
      <c r="D27" s="88" t="e">
        <f>SUM(D17:D26)</f>
        <v>#REF!</v>
      </c>
      <c r="E27" s="88" t="e">
        <f t="shared" ref="E27:V27" si="21">SUM(E17:E26)</f>
        <v>#REF!</v>
      </c>
      <c r="F27" s="88" t="e">
        <f t="shared" si="21"/>
        <v>#REF!</v>
      </c>
      <c r="G27" s="88" t="e">
        <f t="shared" si="21"/>
        <v>#REF!</v>
      </c>
      <c r="H27" s="88" t="e">
        <f t="shared" si="21"/>
        <v>#REF!</v>
      </c>
      <c r="I27" s="88" t="e">
        <f t="shared" si="21"/>
        <v>#REF!</v>
      </c>
      <c r="J27" s="88" t="e">
        <f t="shared" si="21"/>
        <v>#REF!</v>
      </c>
      <c r="K27" s="88" t="e">
        <f t="shared" si="21"/>
        <v>#REF!</v>
      </c>
      <c r="L27" s="88" t="e">
        <f t="shared" si="21"/>
        <v>#REF!</v>
      </c>
      <c r="M27" s="88" t="e">
        <f t="shared" si="21"/>
        <v>#REF!</v>
      </c>
      <c r="N27" s="88" t="e">
        <f t="shared" si="21"/>
        <v>#REF!</v>
      </c>
      <c r="O27" s="88" t="e">
        <f t="shared" si="21"/>
        <v>#REF!</v>
      </c>
      <c r="P27" s="88" t="e">
        <f t="shared" si="21"/>
        <v>#REF!</v>
      </c>
      <c r="Q27" s="88" t="e">
        <f t="shared" si="21"/>
        <v>#REF!</v>
      </c>
      <c r="R27" s="88" t="e">
        <f t="shared" si="21"/>
        <v>#REF!</v>
      </c>
      <c r="S27" s="88" t="e">
        <f t="shared" si="21"/>
        <v>#REF!</v>
      </c>
      <c r="T27" s="88" t="e">
        <f t="shared" si="21"/>
        <v>#REF!</v>
      </c>
      <c r="U27" s="88" t="e">
        <f t="shared" si="21"/>
        <v>#REF!</v>
      </c>
      <c r="V27" s="88"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71" ma:contentTypeDescription="Permitting &amp; Compliance Excel Document" ma:contentTypeScope="" ma:versionID="dadc077d345e3af64f05d4303ca937f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e0159520a6db34e9973f109a4ec00e64"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ma:readOnly="false">
      <xsd:simpleType>
        <xsd:restriction base="dms:Choice">
          <xsd:enumeration value="Yes"/>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REGU-415-1629911</_dlc_DocId>
    <_dlc_DocIdUrl xmlns="9be56660-2c31-41ef-bc00-23e72f632f2a">
      <Url>https://cyfoethnaturiolcymru.sharepoint.com/teams/Regulatory/Permitting/_layouts/15/DocIdRedir.aspx?ID=REGU-415-1629911</Url>
      <Description>REGU-415-1629911</Description>
    </_dlc_DocIdUrl>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2022-08-01T23:00:00+00:00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Ltd</Customer_x0020_Name>
    <Surrendered_x002f_Expired_x0020_Date xmlns="859f7ad6-93f6-4205-b62b-a17f28acbbac" xsi:nil="true"/>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366A836-3330-4CFD-8D56-2B06A9C5EBEE}"/>
</file>

<file path=customXml/itemProps2.xml><?xml version="1.0" encoding="utf-8"?>
<ds:datastoreItem xmlns:ds="http://schemas.openxmlformats.org/officeDocument/2006/customXml" ds:itemID="{DC971BF4-1F47-41E6-A54B-3797C2F18EB1}"/>
</file>

<file path=customXml/itemProps3.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9be56660-2c31-41ef-bc00-23e72f632f2a"/>
    <ds:schemaRef ds:uri="http://www.w3.org/XML/1998/namespace"/>
  </ds:schemaRefs>
</ds:datastoreItem>
</file>

<file path=customXml/itemProps4.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Bryngwyn</vt:lpstr>
      <vt:lpstr>Llechryd</vt:lpstr>
      <vt:lpstr>Hirwaun</vt:lpstr>
      <vt:lpstr>Capel Dewi</vt:lpstr>
      <vt:lpstr>Bontgoch</vt:lpstr>
      <vt:lpstr>Crai</vt:lpstr>
      <vt:lpstr>Elan Valley</vt:lpstr>
      <vt:lpstr>Strata Florida</vt:lpstr>
      <vt:lpstr>Llyswen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NRW Nutrient Calculator</cp:keywords>
  <cp:lastModifiedBy>Clee, Owen</cp:lastModifiedBy>
  <dcterms:created xsi:type="dcterms:W3CDTF">2016-09-26T10:07:59Z</dcterms:created>
  <dcterms:modified xsi:type="dcterms:W3CDTF">2022-08-02T14:02:30Z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b91b33e5-97b7-4a74-bce6-3fe1bb8afb0a</vt:lpwstr>
  </property>
</Properties>
</file>