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8217/"/>
    </mc:Choice>
  </mc:AlternateContent>
  <xr:revisionPtr revIDLastSave="0" documentId="13_ncr:1_{5D832221-2B69-4AA3-8C55-6F3755924D49}" xr6:coauthVersionLast="47" xr6:coauthVersionMax="47" xr10:uidLastSave="{00000000-0000-0000-0000-000000000000}"/>
  <bookViews>
    <workbookView xWindow="-28920" yWindow="-120" windowWidth="29040" windowHeight="15840" tabRatio="870" activeTab="2"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U65" i="1" l="1"/>
  <c r="U65" i="21"/>
  <c r="U65" i="27"/>
  <c r="U65" i="28"/>
  <c r="U65" i="30"/>
  <c r="U65" i="26"/>
  <c r="U65" i="24"/>
  <c r="U65" i="29"/>
  <c r="U65" i="23"/>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18" i="27"/>
  <c r="T18" i="27"/>
  <c r="S18" i="27"/>
  <c r="L18" i="27"/>
  <c r="J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T19" i="29" s="1"/>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21" i="28"/>
  <c r="U23" i="28" s="1"/>
  <c r="I4" i="20"/>
  <c r="J4" i="19"/>
  <c r="J18" i="19" s="1"/>
  <c r="I59" i="21"/>
  <c r="J17" i="21"/>
  <c r="J19" i="21" s="1"/>
  <c r="J20"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I17" i="21"/>
  <c r="I21" i="21"/>
  <c r="D59" i="22"/>
  <c r="E21" i="22"/>
  <c r="E23" i="22" s="1"/>
  <c r="E17" i="22"/>
  <c r="L59" i="22"/>
  <c r="M21" i="22"/>
  <c r="M23" i="22" s="1"/>
  <c r="M17" i="22"/>
  <c r="T59" i="22"/>
  <c r="U21" i="22"/>
  <c r="U17" i="22"/>
  <c r="U19" i="22" s="1"/>
  <c r="D59" i="27"/>
  <c r="E17" i="27"/>
  <c r="E19" i="27" s="1"/>
  <c r="E20" i="27" s="1"/>
  <c r="L59" i="27"/>
  <c r="M17" i="27"/>
  <c r="M19" i="27" s="1"/>
  <c r="M20" i="27" s="1"/>
  <c r="T59" i="27"/>
  <c r="U17" i="27"/>
  <c r="S59" i="22"/>
  <c r="T21" i="22"/>
  <c r="T17" i="22"/>
  <c r="T19" i="22" s="1"/>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T19" i="26" s="1"/>
  <c r="N63" i="26"/>
  <c r="J59" i="27"/>
  <c r="K17" i="27"/>
  <c r="K19" i="27" s="1"/>
  <c r="K20" i="27" s="1"/>
  <c r="R59" i="27"/>
  <c r="S17" i="27"/>
  <c r="S19" i="27" s="1"/>
  <c r="S20" i="27" s="1"/>
  <c r="J59" i="28"/>
  <c r="K17" i="28"/>
  <c r="K21" i="28"/>
  <c r="K23" i="28" s="1"/>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I17" i="24"/>
  <c r="I19" i="24" s="1"/>
  <c r="I21" i="24"/>
  <c r="Q17" i="24"/>
  <c r="Q19" i="24" s="1"/>
  <c r="Q21" i="24"/>
  <c r="Q23" i="24" s="1"/>
  <c r="D59" i="26"/>
  <c r="E21" i="26"/>
  <c r="E17" i="26"/>
  <c r="E19" i="26" s="1"/>
  <c r="L59" i="26"/>
  <c r="M21" i="26"/>
  <c r="M17" i="26"/>
  <c r="M19" i="26" s="1"/>
  <c r="T59" i="26"/>
  <c r="U21" i="26"/>
  <c r="U23" i="26" s="1"/>
  <c r="U17" i="26"/>
  <c r="U19" i="26" s="1"/>
  <c r="C59" i="27"/>
  <c r="D17" i="27"/>
  <c r="K59" i="27"/>
  <c r="L17" i="27"/>
  <c r="S59" i="27"/>
  <c r="T17" i="27"/>
  <c r="T19" i="27" s="1"/>
  <c r="T20" i="27" s="1"/>
  <c r="C59" i="28"/>
  <c r="D21" i="28"/>
  <c r="D23" i="28" s="1"/>
  <c r="D24" i="28" s="1"/>
  <c r="D17" i="28"/>
  <c r="K59" i="28"/>
  <c r="L21" i="28"/>
  <c r="L17" i="28"/>
  <c r="S59" i="28"/>
  <c r="T21" i="28"/>
  <c r="T17" i="28"/>
  <c r="T19" i="28" s="1"/>
  <c r="J59" i="29"/>
  <c r="K17" i="29"/>
  <c r="K21" i="29"/>
  <c r="R59" i="29"/>
  <c r="S21" i="29"/>
  <c r="S17" i="29"/>
  <c r="S19" i="29" s="1"/>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23" i="24" s="1"/>
  <c r="K17" i="24"/>
  <c r="R59" i="24"/>
  <c r="S21" i="24"/>
  <c r="S23" i="24" s="1"/>
  <c r="S17" i="24"/>
  <c r="G21" i="26"/>
  <c r="G17" i="26"/>
  <c r="O17" i="26"/>
  <c r="O21" i="26"/>
  <c r="O23" i="26" s="1"/>
  <c r="E59" i="27"/>
  <c r="F17" i="27"/>
  <c r="F19" i="27" s="1"/>
  <c r="F20" i="27" s="1"/>
  <c r="M59" i="27"/>
  <c r="N17" i="27"/>
  <c r="U59" i="27"/>
  <c r="V17" i="27"/>
  <c r="E59" i="28"/>
  <c r="F17" i="28"/>
  <c r="F19" i="28" s="1"/>
  <c r="F21" i="28"/>
  <c r="M59" i="28"/>
  <c r="N17" i="28"/>
  <c r="N19" i="28" s="1"/>
  <c r="N21" i="28"/>
  <c r="U59" i="28"/>
  <c r="V17" i="28"/>
  <c r="V21" i="28"/>
  <c r="D59" i="29"/>
  <c r="E17" i="29"/>
  <c r="E21" i="29"/>
  <c r="E23" i="29" s="1"/>
  <c r="L59" i="29"/>
  <c r="M17" i="29"/>
  <c r="M21" i="29"/>
  <c r="T59" i="29"/>
  <c r="U17" i="29"/>
  <c r="U21" i="29"/>
  <c r="U23" i="29" s="1"/>
  <c r="C59" i="30"/>
  <c r="D17" i="30"/>
  <c r="D19" i="30" s="1"/>
  <c r="D21" i="30"/>
  <c r="D23" i="30" s="1"/>
  <c r="K59" i="30"/>
  <c r="L17" i="30"/>
  <c r="L19" i="30" s="1"/>
  <c r="L21" i="30"/>
  <c r="S59" i="30"/>
  <c r="T17" i="30"/>
  <c r="T19" i="30" s="1"/>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S23" i="30" s="1"/>
  <c r="A34" i="21"/>
  <c r="N59" i="21"/>
  <c r="N64" i="21" s="1"/>
  <c r="O21" i="21"/>
  <c r="O23" i="21" s="1"/>
  <c r="O24" i="21" s="1"/>
  <c r="O17" i="21"/>
  <c r="O19" i="21" s="1"/>
  <c r="O20" i="21" s="1"/>
  <c r="F59" i="21"/>
  <c r="G21" i="21"/>
  <c r="G17" i="21"/>
  <c r="G17" i="22"/>
  <c r="G19" i="22" s="1"/>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21" i="29"/>
  <c r="N23" i="29" s="1"/>
  <c r="U59" i="29"/>
  <c r="V17" i="29"/>
  <c r="V21" i="29"/>
  <c r="V23" i="29" s="1"/>
  <c r="D59" i="30"/>
  <c r="E17" i="30"/>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I59" i="23"/>
  <c r="J21" i="23"/>
  <c r="J17" i="23"/>
  <c r="J19" i="23" s="1"/>
  <c r="Q59" i="23"/>
  <c r="R21" i="23"/>
  <c r="R17" i="23"/>
  <c r="D59" i="24"/>
  <c r="E17" i="24"/>
  <c r="E21" i="24"/>
  <c r="E23" i="24" s="1"/>
  <c r="L59" i="24"/>
  <c r="M17" i="24"/>
  <c r="M19" i="24" s="1"/>
  <c r="M21" i="24"/>
  <c r="M23" i="24" s="1"/>
  <c r="T59" i="24"/>
  <c r="U21" i="24"/>
  <c r="U17" i="24"/>
  <c r="H59" i="26"/>
  <c r="I17" i="26"/>
  <c r="I21" i="26"/>
  <c r="I23" i="26" s="1"/>
  <c r="P59" i="26"/>
  <c r="Q17" i="26"/>
  <c r="Q19" i="26" s="1"/>
  <c r="Q21" i="26"/>
  <c r="E63" i="26"/>
  <c r="H17" i="27"/>
  <c r="P17" i="27"/>
  <c r="P19" i="27" s="1"/>
  <c r="P20" i="27" s="1"/>
  <c r="H21" i="28"/>
  <c r="H23" i="28" s="1"/>
  <c r="H17" i="28"/>
  <c r="P21" i="28"/>
  <c r="P23" i="28" s="1"/>
  <c r="P17" i="28"/>
  <c r="P19" i="28" s="1"/>
  <c r="G17" i="29"/>
  <c r="G21" i="29"/>
  <c r="G23" i="29" s="1"/>
  <c r="O17" i="29"/>
  <c r="O21" i="29"/>
  <c r="E59" i="30"/>
  <c r="F21" i="30"/>
  <c r="F17" i="30"/>
  <c r="F19" i="30" s="1"/>
  <c r="M59" i="30"/>
  <c r="N21" i="30"/>
  <c r="N23"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T65" i="21" s="1"/>
  <c r="U17" i="21"/>
  <c r="U19" i="21" s="1"/>
  <c r="U20"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19" i="23" s="1"/>
  <c r="K21" i="23"/>
  <c r="K23" i="23" s="1"/>
  <c r="R59" i="23"/>
  <c r="S17" i="23"/>
  <c r="S19" i="23" s="1"/>
  <c r="S21" i="23"/>
  <c r="S23" i="23" s="1"/>
  <c r="E59" i="24"/>
  <c r="F21" i="24"/>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I20" i="27" s="1"/>
  <c r="Q17" i="27"/>
  <c r="I21" i="28"/>
  <c r="I23" i="28" s="1"/>
  <c r="I17" i="28"/>
  <c r="I19" i="28" s="1"/>
  <c r="Q21" i="28"/>
  <c r="Q23" i="28" s="1"/>
  <c r="Q17" i="28"/>
  <c r="Q19" i="28" s="1"/>
  <c r="H21" i="29"/>
  <c r="H23" i="29" s="1"/>
  <c r="H17" i="29"/>
  <c r="H19" i="29" s="1"/>
  <c r="P21" i="29"/>
  <c r="P23" i="29" s="1"/>
  <c r="P17" i="29"/>
  <c r="G21" i="30"/>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Q59" i="22"/>
  <c r="R17" i="22"/>
  <c r="R19" i="22" s="1"/>
  <c r="R21" i="22"/>
  <c r="R23" i="22" s="1"/>
  <c r="C59" i="23"/>
  <c r="D17" i="23"/>
  <c r="D19" i="23" s="1"/>
  <c r="D21" i="23"/>
  <c r="S59" i="23"/>
  <c r="T17" i="23"/>
  <c r="T19" i="23" s="1"/>
  <c r="T21" i="23"/>
  <c r="G17" i="24"/>
  <c r="G19" i="24" s="1"/>
  <c r="G21" i="24"/>
  <c r="G23" i="24" s="1"/>
  <c r="O17" i="24"/>
  <c r="O19" i="24" s="1"/>
  <c r="O21" i="24"/>
  <c r="J59" i="26"/>
  <c r="K17" i="26"/>
  <c r="K19" i="26" s="1"/>
  <c r="K21" i="26"/>
  <c r="K23" i="26" s="1"/>
  <c r="R59" i="26"/>
  <c r="S17" i="26"/>
  <c r="S19" i="26" s="1"/>
  <c r="S21" i="26"/>
  <c r="S23" i="26" s="1"/>
  <c r="M63" i="26"/>
  <c r="I59" i="27"/>
  <c r="J17" i="27"/>
  <c r="Q59" i="27"/>
  <c r="R17" i="27"/>
  <c r="R19" i="27" s="1"/>
  <c r="R20" i="27" s="1"/>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G23" i="22"/>
  <c r="K58" i="21"/>
  <c r="K61" i="21" s="1"/>
  <c r="K64" i="21" s="1"/>
  <c r="R19" i="24"/>
  <c r="I21" i="27"/>
  <c r="I23" i="27" s="1"/>
  <c r="I24" i="27" s="1"/>
  <c r="Q21" i="27"/>
  <c r="R58" i="21"/>
  <c r="R61" i="21" s="1"/>
  <c r="R64" i="21" s="1"/>
  <c r="O57" i="21"/>
  <c r="A43" i="21"/>
  <c r="J58" i="21"/>
  <c r="J61" i="21" s="1"/>
  <c r="G23" i="26"/>
  <c r="D58" i="29"/>
  <c r="D61" i="29" s="1"/>
  <c r="P23" i="26"/>
  <c r="G21" i="27"/>
  <c r="G23" i="27" s="1"/>
  <c r="G24" i="27" s="1"/>
  <c r="O21" i="27"/>
  <c r="O23" i="27" s="1"/>
  <c r="O24" i="27" s="1"/>
  <c r="D58" i="30"/>
  <c r="D61" i="30" s="1"/>
  <c r="D64" i="30" s="1"/>
  <c r="D65" i="30" s="1"/>
  <c r="L58" i="30"/>
  <c r="L61" i="30" s="1"/>
  <c r="L64" i="30" s="1"/>
  <c r="L65" i="30" s="1"/>
  <c r="R58" i="23"/>
  <c r="R61" i="23" s="1"/>
  <c r="H21" i="27"/>
  <c r="H23" i="27" s="1"/>
  <c r="H24" i="27" s="1"/>
  <c r="P21" i="27"/>
  <c r="J58" i="22"/>
  <c r="J61" i="22" s="1"/>
  <c r="J58" i="26"/>
  <c r="J61" i="26" s="1"/>
  <c r="J23" i="23"/>
  <c r="R19" i="23"/>
  <c r="J58" i="27"/>
  <c r="J61" i="27" s="1"/>
  <c r="R58" i="27"/>
  <c r="R61" i="27" s="1"/>
  <c r="R64" i="27" s="1"/>
  <c r="R65" i="27" s="1"/>
  <c r="R58" i="28"/>
  <c r="R61" i="28" s="1"/>
  <c r="R64" i="28" s="1"/>
  <c r="R65" i="28" s="1"/>
  <c r="F58" i="22"/>
  <c r="F61" i="22" s="1"/>
  <c r="N58" i="22"/>
  <c r="N61"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P65" i="22" s="1"/>
  <c r="F59" i="22"/>
  <c r="K58" i="29"/>
  <c r="K61" i="29" s="1"/>
  <c r="I58" i="23"/>
  <c r="I61" i="23" s="1"/>
  <c r="Q58" i="23"/>
  <c r="Q61" i="23" s="1"/>
  <c r="L58" i="29"/>
  <c r="L61" i="29" s="1"/>
  <c r="T58" i="29"/>
  <c r="T61" i="29" s="1"/>
  <c r="T64" i="29" s="1"/>
  <c r="T65" i="29" s="1"/>
  <c r="I23" i="30"/>
  <c r="Q23" i="30"/>
  <c r="U23" i="30"/>
  <c r="J58" i="28"/>
  <c r="J61" i="28" s="1"/>
  <c r="J64" i="28" s="1"/>
  <c r="J65" i="28" s="1"/>
  <c r="R58" i="22"/>
  <c r="R61" i="22" s="1"/>
  <c r="R64" i="22" s="1"/>
  <c r="R65" i="22" s="1"/>
  <c r="J58" i="23"/>
  <c r="J61" i="23" s="1"/>
  <c r="J64" i="23" s="1"/>
  <c r="J65" i="23" s="1"/>
  <c r="J58" i="24"/>
  <c r="J61" i="24" s="1"/>
  <c r="J64" i="24" s="1"/>
  <c r="J65" i="24" s="1"/>
  <c r="R58" i="24"/>
  <c r="R61" i="24" s="1"/>
  <c r="F57" i="24"/>
  <c r="T58" i="30"/>
  <c r="T61" i="30" s="1"/>
  <c r="C58" i="23"/>
  <c r="C61" i="23" s="1"/>
  <c r="K58" i="23"/>
  <c r="K61" i="23" s="1"/>
  <c r="S58" i="23"/>
  <c r="S61" i="23" s="1"/>
  <c r="F58" i="26"/>
  <c r="F61" i="26" s="1"/>
  <c r="D58" i="27"/>
  <c r="D61" i="27" s="1"/>
  <c r="L58" i="27"/>
  <c r="L61" i="27" s="1"/>
  <c r="T58" i="27"/>
  <c r="T61" i="27" s="1"/>
  <c r="T64" i="27" s="1"/>
  <c r="J58" i="30"/>
  <c r="J61" i="30" s="1"/>
  <c r="J64" i="30" s="1"/>
  <c r="J65" i="30" s="1"/>
  <c r="R58" i="30"/>
  <c r="R61" i="30" s="1"/>
  <c r="R64" i="30" s="1"/>
  <c r="R65" i="30" s="1"/>
  <c r="P57" i="30"/>
  <c r="J57" i="21"/>
  <c r="H59" i="21"/>
  <c r="Q23" i="22"/>
  <c r="J19" i="27"/>
  <c r="J20" i="27" s="1"/>
  <c r="R21" i="27"/>
  <c r="R23" i="27" s="1"/>
  <c r="R24" i="27" s="1"/>
  <c r="E58" i="27"/>
  <c r="E61" i="27" s="1"/>
  <c r="E64" i="27" s="1"/>
  <c r="E65"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R65" i="29" s="1"/>
  <c r="P57" i="29"/>
  <c r="L23" i="30"/>
  <c r="T23" i="30"/>
  <c r="G58" i="30"/>
  <c r="G61" i="30" s="1"/>
  <c r="O58" i="30"/>
  <c r="O61" i="30" s="1"/>
  <c r="Q57" i="30"/>
  <c r="A36" i="22"/>
  <c r="G58" i="27"/>
  <c r="G61" i="27" s="1"/>
  <c r="T58" i="28"/>
  <c r="T61" i="28" s="1"/>
  <c r="T64" i="28" s="1"/>
  <c r="T65"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Q65" i="27" s="1"/>
  <c r="H57" i="27"/>
  <c r="F59" i="27"/>
  <c r="O23" i="28"/>
  <c r="F58" i="28"/>
  <c r="F61" i="28" s="1"/>
  <c r="N58" i="28"/>
  <c r="N61" i="28" s="1"/>
  <c r="E58" i="29"/>
  <c r="E61" i="29" s="1"/>
  <c r="M58" i="29"/>
  <c r="M61" i="29" s="1"/>
  <c r="U58" i="29"/>
  <c r="U61" i="29" s="1"/>
  <c r="F57" i="30"/>
  <c r="N58" i="26"/>
  <c r="N61" i="26" s="1"/>
  <c r="T58" i="24"/>
  <c r="T61" i="24" s="1"/>
  <c r="T64" i="24" s="1"/>
  <c r="T65" i="24" s="1"/>
  <c r="H58" i="26"/>
  <c r="H61" i="26" s="1"/>
  <c r="L58" i="28"/>
  <c r="L61" i="28" s="1"/>
  <c r="S58" i="29"/>
  <c r="S61" i="29" s="1"/>
  <c r="S64" i="29" s="1"/>
  <c r="S65" i="29" s="1"/>
  <c r="P19" i="21"/>
  <c r="P20" i="21" s="1"/>
  <c r="H23" i="22"/>
  <c r="P23" i="22"/>
  <c r="C58" i="22"/>
  <c r="C61" i="22" s="1"/>
  <c r="C64" i="22" s="1"/>
  <c r="C65" i="22" s="1"/>
  <c r="K58" i="22"/>
  <c r="K61" i="22" s="1"/>
  <c r="K64" i="22" s="1"/>
  <c r="K65" i="22" s="1"/>
  <c r="S58" i="22"/>
  <c r="S61" i="22" s="1"/>
  <c r="S64" i="22" s="1"/>
  <c r="S65" i="22" s="1"/>
  <c r="F57" i="23"/>
  <c r="D23" i="24"/>
  <c r="L23" i="24"/>
  <c r="T23" i="24"/>
  <c r="G58" i="24"/>
  <c r="G61" i="24" s="1"/>
  <c r="O58" i="24"/>
  <c r="O61" i="24" s="1"/>
  <c r="N59" i="24"/>
  <c r="C58" i="26"/>
  <c r="C61" i="26" s="1"/>
  <c r="C64" i="26" s="1"/>
  <c r="C65" i="26" s="1"/>
  <c r="K58" i="26"/>
  <c r="K61" i="26" s="1"/>
  <c r="S58" i="26"/>
  <c r="S61" i="26" s="1"/>
  <c r="S64" i="26" s="1"/>
  <c r="S65" i="26" s="1"/>
  <c r="P23" i="27"/>
  <c r="P24" i="27" s="1"/>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K58" i="27"/>
  <c r="K61" i="27" s="1"/>
  <c r="K64" i="27" s="1"/>
  <c r="S58" i="27"/>
  <c r="S61" i="27" s="1"/>
  <c r="S64" i="27" s="1"/>
  <c r="P57" i="27"/>
  <c r="N59" i="27"/>
  <c r="H58" i="28"/>
  <c r="H61" i="28" s="1"/>
  <c r="P58" i="28"/>
  <c r="P61" i="28" s="1"/>
  <c r="N57" i="28"/>
  <c r="D23" i="29"/>
  <c r="L23" i="29"/>
  <c r="T23" i="29"/>
  <c r="G58" i="29"/>
  <c r="G61" i="29" s="1"/>
  <c r="O58" i="29"/>
  <c r="O61" i="29" s="1"/>
  <c r="P59" i="29"/>
  <c r="I57" i="30"/>
  <c r="M19" i="21"/>
  <c r="M20" i="21" s="1"/>
  <c r="G57" i="21"/>
  <c r="J19" i="22"/>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N57" i="26"/>
  <c r="P59" i="27"/>
  <c r="I58" i="28"/>
  <c r="I61" i="28" s="1"/>
  <c r="I64" i="28" s="1"/>
  <c r="I65" i="28" s="1"/>
  <c r="Q58" i="28"/>
  <c r="Q61" i="28" s="1"/>
  <c r="Q64" i="28" s="1"/>
  <c r="Q65" i="28" s="1"/>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G23" i="30"/>
  <c r="R19" i="30"/>
  <c r="F63" i="30"/>
  <c r="N63" i="30"/>
  <c r="K19" i="30"/>
  <c r="S19" i="30"/>
  <c r="A31" i="30"/>
  <c r="A33" i="30"/>
  <c r="A39" i="30"/>
  <c r="A41" i="30"/>
  <c r="A47" i="30"/>
  <c r="A49" i="30"/>
  <c r="G57" i="30"/>
  <c r="O57" i="30"/>
  <c r="G59" i="30"/>
  <c r="G64" i="30" s="1"/>
  <c r="G65" i="30" s="1"/>
  <c r="O59" i="30"/>
  <c r="G63" i="30"/>
  <c r="O63" i="30"/>
  <c r="P63" i="30"/>
  <c r="I63" i="30"/>
  <c r="Q63" i="30"/>
  <c r="E19" i="30"/>
  <c r="N19" i="30"/>
  <c r="V19" i="30"/>
  <c r="F23" i="30"/>
  <c r="B63" i="30"/>
  <c r="J63" i="30"/>
  <c r="R63" i="30"/>
  <c r="A32" i="30"/>
  <c r="A34" i="30"/>
  <c r="A40" i="30"/>
  <c r="A42" i="30"/>
  <c r="A48" i="30"/>
  <c r="A50" i="30"/>
  <c r="C63" i="30"/>
  <c r="K63" i="30"/>
  <c r="S63" i="30"/>
  <c r="P19" i="30"/>
  <c r="D63" i="30"/>
  <c r="L63" i="30"/>
  <c r="T63" i="30"/>
  <c r="H63" i="30"/>
  <c r="Q19" i="30"/>
  <c r="E63" i="30"/>
  <c r="M63" i="30"/>
  <c r="Q23" i="29"/>
  <c r="O23" i="29"/>
  <c r="P63" i="29"/>
  <c r="J19" i="29"/>
  <c r="R19" i="29"/>
  <c r="J23" i="29"/>
  <c r="F57" i="29"/>
  <c r="N57" i="29"/>
  <c r="F59" i="29"/>
  <c r="N59" i="29"/>
  <c r="F63" i="29"/>
  <c r="N63" i="29"/>
  <c r="H63" i="29"/>
  <c r="K19" i="29"/>
  <c r="K23" i="29"/>
  <c r="S23" i="29"/>
  <c r="A31" i="29"/>
  <c r="A33" i="29"/>
  <c r="A39" i="29"/>
  <c r="A41" i="29"/>
  <c r="A47" i="29"/>
  <c r="A49" i="29"/>
  <c r="G57" i="29"/>
  <c r="O57" i="29"/>
  <c r="G59" i="29"/>
  <c r="O59" i="29"/>
  <c r="G63" i="29"/>
  <c r="O63" i="29"/>
  <c r="E19" i="29"/>
  <c r="M19" i="29"/>
  <c r="U19" i="29"/>
  <c r="M23" i="29"/>
  <c r="I57" i="29"/>
  <c r="Q57" i="29"/>
  <c r="I63" i="29"/>
  <c r="Q63" i="29"/>
  <c r="F19" i="29"/>
  <c r="N19" i="29"/>
  <c r="V19" i="29"/>
  <c r="F23" i="29"/>
  <c r="B63" i="29"/>
  <c r="J63" i="29"/>
  <c r="R63" i="29"/>
  <c r="L19" i="29"/>
  <c r="G19" i="29"/>
  <c r="O19" i="29"/>
  <c r="A32" i="29"/>
  <c r="A34" i="29"/>
  <c r="A40" i="29"/>
  <c r="A42" i="29"/>
  <c r="A48" i="29"/>
  <c r="A50" i="29"/>
  <c r="C63" i="29"/>
  <c r="K63" i="29"/>
  <c r="S63" i="29"/>
  <c r="P19" i="29"/>
  <c r="D63" i="29"/>
  <c r="L63" i="29"/>
  <c r="T63" i="29"/>
  <c r="E63" i="29"/>
  <c r="M63" i="29"/>
  <c r="K19" i="28"/>
  <c r="S19"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V19" i="28"/>
  <c r="F23" i="28"/>
  <c r="N23" i="28"/>
  <c r="V23" i="28"/>
  <c r="B63" i="28"/>
  <c r="J63" i="28"/>
  <c r="R63" i="28"/>
  <c r="A32" i="28"/>
  <c r="A34" i="28"/>
  <c r="A40" i="28"/>
  <c r="A42" i="28"/>
  <c r="A48" i="28"/>
  <c r="A50" i="28"/>
  <c r="C63" i="28"/>
  <c r="K63" i="28"/>
  <c r="S63" i="28"/>
  <c r="H19" i="28"/>
  <c r="D63" i="28"/>
  <c r="L63" i="28"/>
  <c r="T63" i="28"/>
  <c r="E63" i="28"/>
  <c r="M63" i="28"/>
  <c r="Q23" i="27"/>
  <c r="Q24" i="27" s="1"/>
  <c r="T23" i="27"/>
  <c r="T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U20" i="27" s="1"/>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Q20" i="27" s="1"/>
  <c r="E63" i="27"/>
  <c r="M63" i="27"/>
  <c r="U64" i="26"/>
  <c r="U66" i="26" s="1"/>
  <c r="H64" i="26"/>
  <c r="H65" i="26" s="1"/>
  <c r="A31" i="26"/>
  <c r="A33" i="26"/>
  <c r="A37" i="26"/>
  <c r="A39" i="26"/>
  <c r="A41" i="26"/>
  <c r="A45" i="26"/>
  <c r="A47" i="26"/>
  <c r="A49" i="26"/>
  <c r="G57" i="26"/>
  <c r="O57" i="26"/>
  <c r="G59" i="26"/>
  <c r="O59" i="26"/>
  <c r="G63" i="26"/>
  <c r="O63" i="26"/>
  <c r="L19" i="26"/>
  <c r="L23" i="26"/>
  <c r="T23" i="26"/>
  <c r="H63" i="26"/>
  <c r="P63" i="26"/>
  <c r="E23" i="26"/>
  <c r="M23" i="26"/>
  <c r="I57" i="26"/>
  <c r="Q57" i="26"/>
  <c r="I59" i="26"/>
  <c r="I64" i="26" s="1"/>
  <c r="I65" i="26" s="1"/>
  <c r="Q59" i="26"/>
  <c r="Q64" i="26" s="1"/>
  <c r="Q65" i="26" s="1"/>
  <c r="I63" i="26"/>
  <c r="Q63" i="26"/>
  <c r="N19" i="26"/>
  <c r="N23" i="26"/>
  <c r="V23" i="26"/>
  <c r="B63" i="26"/>
  <c r="J63" i="26"/>
  <c r="R63" i="26"/>
  <c r="G19" i="26"/>
  <c r="O19" i="26"/>
  <c r="A32" i="26"/>
  <c r="A34" i="26"/>
  <c r="A40" i="26"/>
  <c r="A42" i="26"/>
  <c r="A48" i="26"/>
  <c r="A50" i="26"/>
  <c r="C63" i="26"/>
  <c r="K63" i="26"/>
  <c r="S63" i="26"/>
  <c r="H19" i="26"/>
  <c r="P19" i="26"/>
  <c r="D63" i="26"/>
  <c r="L63" i="26"/>
  <c r="I19" i="26"/>
  <c r="H23" i="24"/>
  <c r="P23" i="24"/>
  <c r="K19" i="24"/>
  <c r="S19" i="24"/>
  <c r="A31" i="24"/>
  <c r="A33" i="24"/>
  <c r="A37" i="24"/>
  <c r="A39" i="24"/>
  <c r="A41" i="24"/>
  <c r="A45" i="24"/>
  <c r="A47" i="24"/>
  <c r="A49" i="24"/>
  <c r="G57" i="24"/>
  <c r="O57" i="24"/>
  <c r="G59" i="24"/>
  <c r="O59" i="24"/>
  <c r="G63" i="24"/>
  <c r="O63" i="24"/>
  <c r="H59" i="24"/>
  <c r="P59" i="24"/>
  <c r="H63" i="24"/>
  <c r="P63" i="24"/>
  <c r="E19" i="24"/>
  <c r="U19" i="24"/>
  <c r="U23" i="24"/>
  <c r="I57" i="24"/>
  <c r="Q57" i="24"/>
  <c r="I63" i="24"/>
  <c r="Q63" i="24"/>
  <c r="F19" i="24"/>
  <c r="F23" i="24"/>
  <c r="V23" i="24"/>
  <c r="B63" i="24"/>
  <c r="J63" i="24"/>
  <c r="R63"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A31" i="23"/>
  <c r="A33" i="23"/>
  <c r="A37" i="23"/>
  <c r="A39" i="23"/>
  <c r="A41" i="23"/>
  <c r="A45" i="23"/>
  <c r="A47" i="23"/>
  <c r="A49" i="23"/>
  <c r="G57" i="23"/>
  <c r="O57" i="23"/>
  <c r="G59" i="23"/>
  <c r="O59" i="23"/>
  <c r="L19" i="23"/>
  <c r="D23" i="23"/>
  <c r="L23" i="23"/>
  <c r="T23" i="23"/>
  <c r="E19" i="23"/>
  <c r="M19" i="23"/>
  <c r="E23"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L23" i="22"/>
  <c r="T23" i="22"/>
  <c r="K23" i="22"/>
  <c r="A31" i="22"/>
  <c r="A33" i="22"/>
  <c r="A41" i="22"/>
  <c r="A47" i="22"/>
  <c r="E19" i="22"/>
  <c r="M19" i="22"/>
  <c r="U23" i="22"/>
  <c r="I57" i="22"/>
  <c r="Q57" i="22"/>
  <c r="K19" i="22"/>
  <c r="A39" i="22"/>
  <c r="A49" i="22"/>
  <c r="N19" i="22"/>
  <c r="V19" i="22"/>
  <c r="V23" i="22"/>
  <c r="A32" i="22"/>
  <c r="A34" i="22"/>
  <c r="A40" i="22"/>
  <c r="A42" i="22"/>
  <c r="A48" i="22"/>
  <c r="A50" i="22"/>
  <c r="P19" i="22"/>
  <c r="P64" i="21"/>
  <c r="P65" i="21" s="1"/>
  <c r="H23" i="21"/>
  <c r="H24" i="21" s="1"/>
  <c r="L23" i="21"/>
  <c r="L24" i="21" s="1"/>
  <c r="F23" i="21"/>
  <c r="F24" i="21" s="1"/>
  <c r="N23" i="21"/>
  <c r="N24" i="21" s="1"/>
  <c r="A33" i="21"/>
  <c r="A37" i="21"/>
  <c r="A41" i="21"/>
  <c r="A45" i="21"/>
  <c r="A49" i="21"/>
  <c r="E58" i="21"/>
  <c r="E61" i="21" s="1"/>
  <c r="M58" i="21"/>
  <c r="M61" i="21" s="1"/>
  <c r="U58" i="21"/>
  <c r="U61" i="21" s="1"/>
  <c r="U64" i="21" s="1"/>
  <c r="U66" i="21" s="1"/>
  <c r="S19" i="21"/>
  <c r="S20" i="21" s="1"/>
  <c r="I23" i="21"/>
  <c r="I24" i="21" s="1"/>
  <c r="G23" i="21"/>
  <c r="G24" i="21" s="1"/>
  <c r="M23" i="21"/>
  <c r="M24" i="21" s="1"/>
  <c r="C57" i="21"/>
  <c r="K57" i="21"/>
  <c r="S57" i="21"/>
  <c r="G19" i="21"/>
  <c r="G20" i="21" s="1"/>
  <c r="Q19" i="21"/>
  <c r="Q20" i="21" s="1"/>
  <c r="J23" i="21"/>
  <c r="J24" i="21" s="1"/>
  <c r="R23" i="21"/>
  <c r="R24" i="21" s="1"/>
  <c r="I19" i="21"/>
  <c r="I20" i="21" s="1"/>
  <c r="L19" i="21"/>
  <c r="L20" i="21" s="1"/>
  <c r="R19" i="21"/>
  <c r="R20" i="21" s="1"/>
  <c r="A31" i="21"/>
  <c r="D64"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4" i="23" l="1"/>
  <c r="I65" i="23" s="1"/>
  <c r="D64" i="27"/>
  <c r="T65" i="27"/>
  <c r="D65" i="27"/>
  <c r="K65" i="27"/>
  <c r="S65" i="27"/>
  <c r="C65" i="27"/>
  <c r="I65" i="27"/>
  <c r="C65" i="21"/>
  <c r="D65" i="21"/>
  <c r="R65" i="21"/>
  <c r="K65" i="21"/>
  <c r="O65" i="21"/>
  <c r="C23" i="21"/>
  <c r="C24" i="21" s="1"/>
  <c r="H64" i="30"/>
  <c r="H65" i="30" s="1"/>
  <c r="F64" i="26"/>
  <c r="F65" i="26" s="1"/>
  <c r="C64" i="23"/>
  <c r="C65" i="23" s="1"/>
  <c r="N64" i="22"/>
  <c r="N65" i="22" s="1"/>
  <c r="T64" i="30"/>
  <c r="T65" i="30" s="1"/>
  <c r="J64" i="27"/>
  <c r="J65" i="27" s="1"/>
  <c r="L64" i="28"/>
  <c r="L65" i="28" s="1"/>
  <c r="B64" i="30"/>
  <c r="B65" i="30" s="1"/>
  <c r="N66" i="21"/>
  <c r="N65" i="21"/>
  <c r="M66" i="26"/>
  <c r="M65" i="26"/>
  <c r="L64" i="22"/>
  <c r="L65" i="22" s="1"/>
  <c r="D64" i="22"/>
  <c r="D65" i="22" s="1"/>
  <c r="Q64" i="22"/>
  <c r="Q65" i="22" s="1"/>
  <c r="U64" i="22"/>
  <c r="U66" i="22" s="1"/>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O66" i="21"/>
  <c r="M64" i="30"/>
  <c r="K64" i="26"/>
  <c r="C64" i="28"/>
  <c r="C64" i="24"/>
  <c r="L64" i="27"/>
  <c r="R64" i="24"/>
  <c r="K64" i="29"/>
  <c r="J64" i="29"/>
  <c r="E64" i="29"/>
  <c r="M64" i="21"/>
  <c r="M65" i="21" s="1"/>
  <c r="P64" i="28"/>
  <c r="I64" i="21"/>
  <c r="U64" i="28"/>
  <c r="U66" i="28" s="1"/>
  <c r="U64" i="24"/>
  <c r="U66" i="24" s="1"/>
  <c r="F64" i="23"/>
  <c r="U64" i="27"/>
  <c r="U66" i="27" s="1"/>
  <c r="C19" i="22"/>
  <c r="C20" i="22" s="1"/>
  <c r="S66" i="27"/>
  <c r="D66" i="30"/>
  <c r="Q66" i="30"/>
  <c r="B64" i="22"/>
  <c r="B64" i="29"/>
  <c r="B64" i="28"/>
  <c r="B64" i="27"/>
  <c r="B64" i="26"/>
  <c r="B64" i="21"/>
  <c r="T66" i="29"/>
  <c r="P66" i="22"/>
  <c r="O64" i="27"/>
  <c r="O64" i="28"/>
  <c r="N64" i="27"/>
  <c r="N64" i="30"/>
  <c r="L66" i="30"/>
  <c r="J66" i="28"/>
  <c r="G64" i="26"/>
  <c r="G64" i="29"/>
  <c r="F64" i="22"/>
  <c r="O64" i="26"/>
  <c r="R66" i="22"/>
  <c r="T66" i="24"/>
  <c r="U66" i="23"/>
  <c r="P64" i="30"/>
  <c r="P66" i="23"/>
  <c r="E66" i="22"/>
  <c r="T66" i="23"/>
  <c r="Q66" i="21"/>
  <c r="P66" i="21"/>
  <c r="K66" i="27"/>
  <c r="G64" i="23"/>
  <c r="Q66" i="24"/>
  <c r="R66" i="27"/>
  <c r="C66" i="27"/>
  <c r="H66" i="23"/>
  <c r="G64" i="27"/>
  <c r="G66" i="30"/>
  <c r="J66" i="30"/>
  <c r="F64" i="27"/>
  <c r="T66" i="27"/>
  <c r="Q66" i="22"/>
  <c r="C66" i="22"/>
  <c r="T66" i="21"/>
  <c r="S66" i="23"/>
  <c r="H66" i="30"/>
  <c r="E66" i="30"/>
  <c r="L66" i="21"/>
  <c r="S66" i="26"/>
  <c r="L66" i="26"/>
  <c r="T66" i="30"/>
  <c r="C66" i="29"/>
  <c r="H66" i="22"/>
  <c r="R66" i="28"/>
  <c r="N64" i="26"/>
  <c r="O64" i="29"/>
  <c r="P64" i="29"/>
  <c r="S64" i="1"/>
  <c r="D66" i="27"/>
  <c r="N64" i="29"/>
  <c r="R66" i="30"/>
  <c r="L66" i="23"/>
  <c r="O66" i="22"/>
  <c r="R64" i="1"/>
  <c r="R65" i="1" s="1"/>
  <c r="J66" i="23"/>
  <c r="Q64" i="1"/>
  <c r="U64" i="1"/>
  <c r="P64" i="1"/>
  <c r="E66" i="27"/>
  <c r="J66" i="24"/>
  <c r="Q66" i="29"/>
  <c r="F64" i="29"/>
  <c r="O64" i="23"/>
  <c r="O64" i="30"/>
  <c r="N64" i="24"/>
  <c r="B66" i="24"/>
  <c r="K66" i="30"/>
  <c r="C66" i="30"/>
  <c r="I66" i="30"/>
  <c r="R66" i="29"/>
  <c r="I66" i="29"/>
  <c r="S66" i="29"/>
  <c r="T66" i="28"/>
  <c r="D66" i="28"/>
  <c r="Q66" i="28"/>
  <c r="I66" i="28"/>
  <c r="K66" i="28"/>
  <c r="Q66" i="27"/>
  <c r="I66" i="27"/>
  <c r="P66" i="27"/>
  <c r="Q66" i="26"/>
  <c r="C66" i="26"/>
  <c r="I66" i="26"/>
  <c r="H66" i="26"/>
  <c r="L66" i="24"/>
  <c r="D66" i="24"/>
  <c r="I66" i="23"/>
  <c r="E66" i="23"/>
  <c r="I66" i="22"/>
  <c r="M66" i="22"/>
  <c r="S66" i="22"/>
  <c r="K66" i="22"/>
  <c r="T66" i="22"/>
  <c r="K66" i="21"/>
  <c r="C66" i="21"/>
  <c r="D66" i="21"/>
  <c r="R66" i="21"/>
  <c r="N64" i="1"/>
  <c r="M64" i="1"/>
  <c r="T64" i="1"/>
  <c r="L64" i="1"/>
  <c r="L65" i="1" s="1"/>
  <c r="J64" i="1"/>
  <c r="K64" i="1"/>
  <c r="O64" i="1"/>
  <c r="C64" i="1"/>
  <c r="I64" i="1"/>
  <c r="I65" i="1" s="1"/>
  <c r="H64" i="1"/>
  <c r="G64" i="1"/>
  <c r="G65" i="1" s="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I66" i="24" l="1"/>
  <c r="M65" i="1"/>
  <c r="N65" i="1"/>
  <c r="C65" i="1"/>
  <c r="P65" i="1"/>
  <c r="O65" i="1"/>
  <c r="D65" i="1"/>
  <c r="K65" i="1"/>
  <c r="Q65" i="1"/>
  <c r="S65" i="1"/>
  <c r="T65" i="1"/>
  <c r="H65" i="1"/>
  <c r="E65" i="1"/>
  <c r="J65" i="1"/>
  <c r="B65" i="1"/>
  <c r="N66" i="22"/>
  <c r="L66" i="29"/>
  <c r="P66" i="26"/>
  <c r="B66" i="30"/>
  <c r="S66" i="24"/>
  <c r="C66" i="23"/>
  <c r="M66" i="29"/>
  <c r="F66" i="26"/>
  <c r="L66" i="28"/>
  <c r="J66" i="27"/>
  <c r="T66" i="26"/>
  <c r="T65" i="26"/>
  <c r="S66" i="28"/>
  <c r="S66" i="30"/>
  <c r="S65" i="30"/>
  <c r="S66" i="21"/>
  <c r="S65" i="21"/>
  <c r="R66" i="23"/>
  <c r="R65" i="23"/>
  <c r="R66" i="24"/>
  <c r="R65" i="24"/>
  <c r="R66" i="26"/>
  <c r="Q66" i="23"/>
  <c r="Q65" i="23"/>
  <c r="P66" i="30"/>
  <c r="P65" i="30"/>
  <c r="P66" i="28"/>
  <c r="P65" i="28"/>
  <c r="P66" i="24"/>
  <c r="P66" i="29"/>
  <c r="P65" i="29"/>
  <c r="O66" i="29"/>
  <c r="O65" i="29"/>
  <c r="O66" i="27"/>
  <c r="O65" i="27"/>
  <c r="O66" i="24"/>
  <c r="O65" i="24"/>
  <c r="O66" i="28"/>
  <c r="O65" i="28"/>
  <c r="O66" i="23"/>
  <c r="O65" i="23"/>
  <c r="O66" i="26"/>
  <c r="O65" i="26"/>
  <c r="O66" i="30"/>
  <c r="O65" i="30"/>
  <c r="N66" i="29"/>
  <c r="N65" i="29"/>
  <c r="N66" i="28"/>
  <c r="N65" i="28"/>
  <c r="N66" i="24"/>
  <c r="N65" i="24"/>
  <c r="N66" i="30"/>
  <c r="N65" i="30"/>
  <c r="N66" i="23"/>
  <c r="N66" i="27"/>
  <c r="N65" i="27"/>
  <c r="N66" i="26"/>
  <c r="N65" i="26"/>
  <c r="M66" i="27"/>
  <c r="M65" i="27"/>
  <c r="M66" i="21"/>
  <c r="M66" i="30"/>
  <c r="M65" i="30"/>
  <c r="M66" i="24"/>
  <c r="M66" i="23"/>
  <c r="M65" i="23"/>
  <c r="M66" i="28"/>
  <c r="L66" i="27"/>
  <c r="L65" i="27"/>
  <c r="L66" i="22"/>
  <c r="K66" i="29"/>
  <c r="K65" i="29"/>
  <c r="K66" i="26"/>
  <c r="K65" i="26"/>
  <c r="K66" i="23"/>
  <c r="K65" i="23"/>
  <c r="K66" i="24"/>
  <c r="J66" i="29"/>
  <c r="J65" i="29"/>
  <c r="J66" i="22"/>
  <c r="J65" i="22"/>
  <c r="J66" i="21"/>
  <c r="J65" i="21"/>
  <c r="J66" i="26"/>
  <c r="I66" i="21"/>
  <c r="I65" i="21"/>
  <c r="H66" i="27"/>
  <c r="H65" i="27"/>
  <c r="H66" i="28"/>
  <c r="H65" i="28"/>
  <c r="H66" i="24"/>
  <c r="H65" i="24"/>
  <c r="H66" i="29"/>
  <c r="H65" i="29"/>
  <c r="H66" i="21"/>
  <c r="G66" i="28"/>
  <c r="G65" i="28"/>
  <c r="G66" i="22"/>
  <c r="G65" i="22"/>
  <c r="G66" i="26"/>
  <c r="G65" i="26"/>
  <c r="G66" i="21"/>
  <c r="G65" i="21"/>
  <c r="G66" i="23"/>
  <c r="G65" i="23"/>
  <c r="G66" i="29"/>
  <c r="G65" i="29"/>
  <c r="G66" i="27"/>
  <c r="G65" i="27"/>
  <c r="G66" i="24"/>
  <c r="G65" i="24"/>
  <c r="F66" i="29"/>
  <c r="F65" i="29"/>
  <c r="F66" i="21"/>
  <c r="F65" i="21"/>
  <c r="F66" i="23"/>
  <c r="F65" i="23"/>
  <c r="F66" i="22"/>
  <c r="F65" i="22"/>
  <c r="F66" i="27"/>
  <c r="F65" i="27"/>
  <c r="F66" i="24"/>
  <c r="F65" i="24"/>
  <c r="F66" i="30"/>
  <c r="F65" i="30"/>
  <c r="F66" i="28"/>
  <c r="F65" i="28"/>
  <c r="E66" i="28"/>
  <c r="E65" i="28"/>
  <c r="E66" i="26"/>
  <c r="E65" i="26"/>
  <c r="E66" i="21"/>
  <c r="E65" i="21"/>
  <c r="E66" i="24"/>
  <c r="E65" i="24"/>
  <c r="E66" i="29"/>
  <c r="E65" i="29"/>
  <c r="D66" i="23"/>
  <c r="D66" i="22"/>
  <c r="D66" i="26"/>
  <c r="D66" i="29"/>
  <c r="C66" i="24"/>
  <c r="C65" i="24"/>
  <c r="C66" i="28"/>
  <c r="C65" i="28"/>
  <c r="B66" i="23"/>
  <c r="B65" i="23"/>
  <c r="B66" i="27"/>
  <c r="B65" i="27"/>
  <c r="B66" i="28"/>
  <c r="B65" i="28"/>
  <c r="B66" i="29"/>
  <c r="B65" i="29"/>
  <c r="B66" i="21"/>
  <c r="B65" i="21"/>
  <c r="B66" i="26"/>
  <c r="B65" i="26"/>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<sst xmlns="http://schemas.openxmlformats.org/spreadsheetml/2006/main" count="2151" uniqueCount="172">
  <si>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</si>
  <si>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</si>
  <si>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</si>
  <si>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</si>
  <si>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</si>
  <si>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</si>
  <si>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</si>
  <si>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</si>
  <si>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</si>
  <si>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</si>
  <si>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</si>
  <si>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</si>
  <si>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</si>
  <si>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</si>
  <si>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</si>
  <si>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</si>
  <si>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</si>
  <si>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</si>
  <si>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</si>
  <si>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</si>
  <si>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</si>
  <si>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</si>
  <si>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</si>
  <si>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</si>
  <si>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</si>
  <si>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</si>
  <si>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</si>
  <si>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</si>
  <si>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</si>
  <si>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</si>
  <si>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</si>
  <si>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</si>
  <si>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</si>
  <si>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</si>
  <si>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</si>
  <si>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</si>
  <si>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</si>
  <si>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</si>
  <si>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</si>
  <si>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</si>
  <si>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</si>
  <si>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</si>
  <si>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</si>
  <si>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</si>
  <si>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</si>
  <si>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</si>
  <si>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</si>
  <si>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</si>
  <si>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</si>
  <si>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</si>
  <si>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</si>
  <si>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</si>
  <si>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</si>
  <si>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</si>
  <si>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</si>
  <si>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</si>
  <si>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</si>
  <si>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</si>
  <si>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</si>
  <si>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</si>
  <si>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</si>
  <si>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</si>
  <si>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</si>
  <si>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</si>
  <si>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</si>
  <si>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</si>
  <si>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</si>
  <si>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</si>
  <si>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</si>
  <si>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</si>
  <si>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</si>
  <si>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</si>
  <si>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</si>
  <si>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</si>
  <si>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</si>
  <si>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</si>
  <si>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</si>
  <si>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</si>
  <si>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</si>
  <si>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</si>
  <si>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</si>
  <si>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</si>
  <si>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</si>
  <si>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</si>
  <si>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</si>
  <si>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</si>
  <si>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</si>
  <si>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</si>
  <si>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</si>
  <si>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</si>
  <si>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</si>
  <si>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</si>
  <si>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</si>
  <si>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</si>
  <si>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</si>
  <si>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</si>
  <si>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</si>
  <si>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</si>
  <si>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</si>
  <si>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</si>
  <si>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</si>
  <si>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</si>
  <si>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</si>
  <si>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</si>
  <si>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</si>
  <si>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</si>
  <si>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</si>
  <si>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</si>
  <si>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</si>
  <si>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</si>
  <si>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</si>
  <si>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</si>
  <si>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</si>
  <si>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</si>
  <si>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</si>
  <si>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</si>
  <si>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</si>
  <si>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</si>
  <si>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</si>
  <si>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</si>
  <si>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</si>
  <si>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</si>
  <si>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</si>
  <si>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</si>
  <si>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</si>
  <si>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</si>
  <si>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</si>
  <si>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</si>
  <si>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</si>
  <si>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</si>
  <si>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</si>
  <si>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</si>
  <si>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</si>
  <si>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</si>
  <si>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</si>
  <si>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</si>
  <si>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</si>
  <si>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</si>
  <si>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</si>
  <si>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</si>
  <si>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</si>
  <si>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</si>
  <si>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</si>
  <si>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</si>
  <si>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</si>
  <si>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</si>
  <si>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</si>
  <si>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</si>
  <si>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</si>
  <si>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</si>
  <si>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</si>
  <si>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</si>
  <si>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</si>
  <si>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</si>
  <si>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</si>
  <si>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</si>
  <si>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</si>
  <si>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</si>
  <si>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</si>
  <si>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</si>
  <si>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36a</t>
  </si>
  <si>
    <t>Moderate</t>
  </si>
  <si>
    <t>PAN-018217</t>
  </si>
  <si>
    <t>Byproduct Recovery Ltd</t>
  </si>
  <si>
    <t>Abergelli Farm, Felindre, Swansea, SA5 7NN</t>
  </si>
  <si>
    <t>EPR-GP3792SK</t>
  </si>
  <si>
    <t>Ethan Banfield</t>
  </si>
  <si>
    <t>19 09 02</t>
  </si>
  <si>
    <t>Felindre Cake</t>
  </si>
  <si>
    <t>Felindre Liquid</t>
  </si>
  <si>
    <t>19 06 06</t>
  </si>
  <si>
    <t>Wingmoor Farm Digestate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</si>
</sst>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19" zoomScale="90" zoomScaleNormal="90" workbookViewId="0">
      <selection activeCell="J8" sqref="J8:J1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162</v>
      </c>
      <c r="D1" s="122"/>
      <c r="E1" s="93" t="s">
        <v>45</v>
      </c>
      <c r="F1" s="96">
        <v>44.6</v>
      </c>
      <c r="G1" s="123" t="s">
        <v>43</v>
      </c>
      <c r="H1" s="124"/>
      <c r="I1" s="96">
        <v>7.5</v>
      </c>
      <c r="J1" s="127" t="s">
        <v>153</v>
      </c>
      <c r="K1" s="127"/>
      <c r="L1" s="96">
        <v>19</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165</v>
      </c>
      <c r="D2" s="120"/>
      <c r="E2" s="93" t="s">
        <v>109</v>
      </c>
      <c r="F2" s="96" t="s">
        <v>167</v>
      </c>
      <c r="G2" s="125" t="s">
        <v>110</v>
      </c>
      <c r="H2" s="126"/>
      <c r="I2" s="96"/>
      <c r="J2" s="127" t="s">
        <v>158</v>
      </c>
      <c r="K2" s="127"/>
      <c r="L2" s="96">
        <v>0.91100000000000003</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163</v>
      </c>
      <c r="D3" s="120"/>
      <c r="E3" s="93" t="s">
        <v>108</v>
      </c>
      <c r="F3" s="31" t="s">
        <v>104</v>
      </c>
      <c r="G3" s="127" t="s">
        <v>159</v>
      </c>
      <c r="H3" s="127"/>
      <c r="I3" s="96"/>
      <c r="J3" s="123" t="s">
        <v>154</v>
      </c>
      <c r="K3" s="124"/>
      <c r="L3" s="96">
        <f>(L1/(L2*10000))*100</f>
        <v>0.20856201975850713</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164</v>
      </c>
      <c r="D4" s="122"/>
      <c r="E4" s="94" t="s">
        <v>1</v>
      </c>
      <c r="F4" s="95" t="s">
        <v>168</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166</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c r="D8" s="15"/>
      <c r="E8" s="15"/>
      <c r="F8" s="15">
        <v>1294</v>
      </c>
      <c r="G8" s="15">
        <v>2225</v>
      </c>
      <c r="H8" s="15">
        <v>3210</v>
      </c>
      <c r="I8" s="15">
        <v>3732</v>
      </c>
      <c r="J8" s="15"/>
      <c r="K8" s="15">
        <v>5867</v>
      </c>
      <c r="L8" s="15">
        <v>1808</v>
      </c>
      <c r="M8" s="15">
        <v>24</v>
      </c>
      <c r="N8" s="15">
        <v>25</v>
      </c>
      <c r="O8" s="15">
        <v>26</v>
      </c>
      <c r="P8" s="15">
        <v>27</v>
      </c>
      <c r="Q8" s="15">
        <v>33</v>
      </c>
      <c r="R8" s="15">
        <v>34</v>
      </c>
      <c r="S8" s="15">
        <v>35</v>
      </c>
      <c r="T8" s="15" t="s">
        <v>160</v>
      </c>
      <c r="U8" s="15">
        <v>37</v>
      </c>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c r="D9" s="15"/>
      <c r="E9" s="15"/>
      <c r="F9" s="15" t="s">
        <v>161</v>
      </c>
      <c r="G9" s="15" t="s">
        <v>161</v>
      </c>
      <c r="H9" s="15" t="s">
        <v>161</v>
      </c>
      <c r="I9" s="15" t="s">
        <v>161</v>
      </c>
      <c r="J9" s="15"/>
      <c r="K9" s="15" t="s">
        <v>161</v>
      </c>
      <c r="L9" s="15" t="s">
        <v>161</v>
      </c>
      <c r="M9" s="15" t="s">
        <v>161</v>
      </c>
      <c r="N9" s="15" t="s">
        <v>161</v>
      </c>
      <c r="O9" s="15" t="s">
        <v>161</v>
      </c>
      <c r="P9" s="15" t="s">
        <v>161</v>
      </c>
      <c r="Q9" s="15" t="s">
        <v>161</v>
      </c>
      <c r="R9" s="15" t="s">
        <v>161</v>
      </c>
      <c r="S9" s="15" t="s">
        <v>161</v>
      </c>
      <c r="T9" s="15" t="s">
        <v>161</v>
      </c>
      <c r="U9" s="15" t="s">
        <v>161</v>
      </c>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c r="D10" s="15"/>
      <c r="E10" s="15"/>
      <c r="F10" s="15">
        <v>7</v>
      </c>
      <c r="G10" s="15">
        <v>7.6</v>
      </c>
      <c r="H10" s="15">
        <v>7.3</v>
      </c>
      <c r="I10" s="15">
        <v>7.5</v>
      </c>
      <c r="J10" s="15"/>
      <c r="K10" s="15">
        <v>7.9</v>
      </c>
      <c r="L10" s="15">
        <v>6.4</v>
      </c>
      <c r="M10" s="15">
        <v>8.1999999999999993</v>
      </c>
      <c r="N10" s="15">
        <v>8.1999999999999993</v>
      </c>
      <c r="O10" s="15">
        <v>7.6</v>
      </c>
      <c r="P10" s="15">
        <v>7.2</v>
      </c>
      <c r="Q10" s="15">
        <v>7.1</v>
      </c>
      <c r="R10" s="15">
        <v>7.1</v>
      </c>
      <c r="S10" s="15">
        <v>7</v>
      </c>
      <c r="T10" s="15">
        <v>7.9</v>
      </c>
      <c r="U10" s="15">
        <v>8</v>
      </c>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c r="D11" s="15"/>
      <c r="E11" s="15"/>
      <c r="F11" s="15">
        <v>0</v>
      </c>
      <c r="G11" s="15">
        <v>0</v>
      </c>
      <c r="H11" s="15">
        <v>0</v>
      </c>
      <c r="I11" s="15">
        <v>0</v>
      </c>
      <c r="J11" s="15"/>
      <c r="K11" s="15">
        <v>0</v>
      </c>
      <c r="L11" s="15">
        <v>2</v>
      </c>
      <c r="M11" s="15">
        <v>0</v>
      </c>
      <c r="N11" s="15">
        <v>0</v>
      </c>
      <c r="O11" s="15">
        <v>1</v>
      </c>
      <c r="P11" s="15">
        <v>1</v>
      </c>
      <c r="Q11" s="15">
        <v>1</v>
      </c>
      <c r="R11" s="15">
        <v>1</v>
      </c>
      <c r="S11" s="15">
        <v>0</v>
      </c>
      <c r="T11" s="15">
        <v>0</v>
      </c>
      <c r="U11" s="15">
        <v>0</v>
      </c>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c r="D12" s="15"/>
      <c r="E12" s="15"/>
      <c r="F12" s="15">
        <v>1</v>
      </c>
      <c r="G12" s="15">
        <v>1</v>
      </c>
      <c r="H12" s="15">
        <v>1</v>
      </c>
      <c r="I12" s="15">
        <v>1</v>
      </c>
      <c r="J12" s="15"/>
      <c r="K12" s="15">
        <v>1</v>
      </c>
      <c r="L12" s="15">
        <v>2</v>
      </c>
      <c r="M12" s="15">
        <v>1</v>
      </c>
      <c r="N12" s="15">
        <v>1</v>
      </c>
      <c r="O12" s="15">
        <v>2</v>
      </c>
      <c r="P12" s="15">
        <v>1</v>
      </c>
      <c r="Q12" s="15">
        <v>1</v>
      </c>
      <c r="R12" s="15">
        <v>2</v>
      </c>
      <c r="S12" s="15">
        <v>1</v>
      </c>
      <c r="T12" s="15">
        <v>1</v>
      </c>
      <c r="U12" s="15">
        <v>1</v>
      </c>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c r="D13" s="15"/>
      <c r="E13" s="15"/>
      <c r="F13" s="15">
        <v>2</v>
      </c>
      <c r="G13" s="15">
        <v>3</v>
      </c>
      <c r="H13" s="15">
        <v>2</v>
      </c>
      <c r="I13" s="15">
        <v>2</v>
      </c>
      <c r="J13" s="15"/>
      <c r="K13" s="15">
        <v>3</v>
      </c>
      <c r="L13" s="15">
        <v>4</v>
      </c>
      <c r="M13" s="15">
        <v>3</v>
      </c>
      <c r="N13" s="15">
        <v>4</v>
      </c>
      <c r="O13" s="15">
        <v>5</v>
      </c>
      <c r="P13" s="15">
        <v>4</v>
      </c>
      <c r="Q13" s="15">
        <v>5</v>
      </c>
      <c r="R13" s="15">
        <v>6</v>
      </c>
      <c r="S13" s="15">
        <v>5</v>
      </c>
      <c r="T13" s="15">
        <v>3</v>
      </c>
      <c r="U13" s="15">
        <v>3</v>
      </c>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c r="D14" s="100"/>
      <c r="E14" s="100"/>
      <c r="F14" s="100" t="s">
        <v>113</v>
      </c>
      <c r="G14" s="100" t="s">
        <v>113</v>
      </c>
      <c r="H14" s="100" t="s">
        <v>113</v>
      </c>
      <c r="I14" s="100" t="s">
        <v>113</v>
      </c>
      <c r="J14" s="100"/>
      <c r="K14" s="100" t="s">
        <v>113</v>
      </c>
      <c r="L14" s="100" t="s">
        <v>113</v>
      </c>
      <c r="M14" s="100" t="s">
        <v>113</v>
      </c>
      <c r="N14" s="100" t="s">
        <v>113</v>
      </c>
      <c r="O14" s="100" t="s">
        <v>113</v>
      </c>
      <c r="P14" s="100" t="s">
        <v>113</v>
      </c>
      <c r="Q14" s="100" t="s">
        <v>113</v>
      </c>
      <c r="R14" s="100" t="s">
        <v>113</v>
      </c>
      <c r="S14" s="100" t="s">
        <v>113</v>
      </c>
      <c r="T14" s="100" t="s">
        <v>113</v>
      </c>
      <c r="U14" s="100" t="s">
        <v>113</v>
      </c>
      <c r="V14" s="100"/>
      <c r="AD14" s="30" t="s">
        <v>138</v>
      </c>
      <c r="AE14" s="30">
        <v>6</v>
      </c>
      <c r="AI14" s="53" t="s">
        <v>119</v>
      </c>
      <c r="AJ14" s="54">
        <v>0.8</v>
      </c>
      <c r="AK14" s="55">
        <v>1.7</v>
      </c>
      <c r="AL14" s="11">
        <v>12</v>
      </c>
      <c r="AM14" s="11">
        <v>6.7</v>
      </c>
      <c r="AN14" s="11" t="s">
        <v>135</v>
      </c>
    </row>
    <row r="15" spans="1:40" ht="13" x14ac:dyDescent="0.25">
      <c r="A15" s="135" t="s">
        <v>9</v>
      </c>
      <c r="B15" s="135"/>
      <c r="C15" s="15"/>
      <c r="D15" s="15"/>
      <c r="E15" s="15"/>
      <c r="F15" s="15">
        <v>38</v>
      </c>
      <c r="G15" s="15">
        <v>38</v>
      </c>
      <c r="H15" s="15">
        <v>38</v>
      </c>
      <c r="I15" s="15">
        <v>38</v>
      </c>
      <c r="J15" s="15"/>
      <c r="K15" s="15">
        <v>38</v>
      </c>
      <c r="L15" s="15">
        <v>38</v>
      </c>
      <c r="M15" s="15">
        <v>38</v>
      </c>
      <c r="N15" s="15">
        <v>38</v>
      </c>
      <c r="O15" s="15">
        <v>38</v>
      </c>
      <c r="P15" s="15">
        <v>38</v>
      </c>
      <c r="Q15" s="15">
        <v>38</v>
      </c>
      <c r="R15" s="15">
        <v>38</v>
      </c>
      <c r="S15" s="15">
        <v>38</v>
      </c>
      <c r="T15" s="15">
        <v>38</v>
      </c>
      <c r="U15" s="15">
        <v>38</v>
      </c>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t="s">
        <v>72</v>
      </c>
      <c r="S16" s="101" t="s">
        <v>72</v>
      </c>
      <c r="T16" s="101" t="s">
        <v>72</v>
      </c>
      <c r="U16" s="101" t="s">
        <v>72</v>
      </c>
      <c r="V16" s="101"/>
      <c r="AD16" s="52" t="s">
        <v>145</v>
      </c>
      <c r="AE16" s="30">
        <v>8</v>
      </c>
      <c r="AI16" s="53" t="s">
        <v>118</v>
      </c>
      <c r="AJ16" s="54">
        <v>8</v>
      </c>
      <c r="AK16" s="55">
        <v>5.5</v>
      </c>
      <c r="AL16" s="12">
        <v>14</v>
      </c>
      <c r="AM16" s="11">
        <v>6.7</v>
      </c>
      <c r="AN16" s="11" t="s">
        <v>135</v>
      </c>
    </row>
    <row r="17" spans="1:40" ht="13" x14ac:dyDescent="0.25">
      <c r="A17" s="133" t="s">
        <v>69</v>
      </c>
      <c r="B17" s="134"/>
      <c r="C17" s="28" t="e">
        <f>(VLOOKUP(C$14,$AI2:$AK26,2,FALSE))*C$15</f>
        <v>#N/A</v>
      </c>
      <c r="D17" s="28" t="e">
        <f t="shared" ref="D17:V17" si="0">(VLOOKUP(D$14,$AI2:$AK26,2,FALSE))*D$15</f>
        <v>#N/A</v>
      </c>
      <c r="E17" s="28" t="e">
        <f t="shared" si="0"/>
        <v>#N/A</v>
      </c>
      <c r="F17" s="28">
        <f t="shared" si="0"/>
        <v>64.599999999999994</v>
      </c>
      <c r="G17" s="28">
        <f t="shared" si="0"/>
        <v>64.599999999999994</v>
      </c>
      <c r="H17" s="28">
        <f t="shared" si="0"/>
        <v>64.599999999999994</v>
      </c>
      <c r="I17" s="28">
        <f t="shared" si="0"/>
        <v>64.599999999999994</v>
      </c>
      <c r="J17" s="28" t="e">
        <f t="shared" si="0"/>
        <v>#N/A</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46.110269699999996</v>
      </c>
      <c r="G18" s="16">
        <f>$D35</f>
        <v>46.110269699999996</v>
      </c>
      <c r="H18" s="16">
        <f>$D36</f>
        <v>46.110269699999996</v>
      </c>
      <c r="I18" s="16">
        <f>$D37</f>
        <v>46.110269699999996</v>
      </c>
      <c r="J18" s="16">
        <f>$D38</f>
        <v>46.110269699999996</v>
      </c>
      <c r="K18" s="16">
        <f>$D39</f>
        <v>46.110269699999996</v>
      </c>
      <c r="L18" s="16">
        <f>$D40</f>
        <v>46.110269699999996</v>
      </c>
      <c r="M18" s="16">
        <f>$D41</f>
        <v>46.110269699999996</v>
      </c>
      <c r="N18" s="16">
        <f>$D42</f>
        <v>46.110269699999996</v>
      </c>
      <c r="O18" s="16">
        <f>$D43</f>
        <v>46.110269699999996</v>
      </c>
      <c r="P18" s="16">
        <f>$D44</f>
        <v>46.110269699999996</v>
      </c>
      <c r="Q18" s="16">
        <f>$D45</f>
        <v>46.110269699999996</v>
      </c>
      <c r="R18" s="16">
        <f>$D46</f>
        <v>46.110269699999996</v>
      </c>
      <c r="S18" s="16">
        <f>$D47</f>
        <v>46.110269699999996</v>
      </c>
      <c r="T18" s="16">
        <f>$D48</f>
        <v>46.110269699999996</v>
      </c>
      <c r="U18" s="16">
        <f>$D49</f>
        <v>46.110269699999996</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t="e">
        <f>C18-C17</f>
        <v>#N/A</v>
      </c>
      <c r="D19" s="16" t="e">
        <f t="shared" ref="D19:V19" si="1">D18-D17</f>
        <v>#N/A</v>
      </c>
      <c r="E19" s="16" t="e">
        <f t="shared" si="1"/>
        <v>#N/A</v>
      </c>
      <c r="F19" s="16">
        <f t="shared" si="1"/>
        <v>-18.489730299999998</v>
      </c>
      <c r="G19" s="16">
        <f t="shared" si="1"/>
        <v>-18.489730299999998</v>
      </c>
      <c r="H19" s="16">
        <f t="shared" si="1"/>
        <v>-18.489730299999998</v>
      </c>
      <c r="I19" s="16">
        <f t="shared" si="1"/>
        <v>-18.489730299999998</v>
      </c>
      <c r="J19" s="16" t="e">
        <f t="shared" si="1"/>
        <v>#N/A</v>
      </c>
      <c r="K19" s="16">
        <f t="shared" si="1"/>
        <v>-18.489730299999998</v>
      </c>
      <c r="L19" s="16">
        <f t="shared" si="1"/>
        <v>-18.489730299999998</v>
      </c>
      <c r="M19" s="16">
        <f t="shared" si="1"/>
        <v>-18.489730299999998</v>
      </c>
      <c r="N19" s="16">
        <f t="shared" si="1"/>
        <v>-18.489730299999998</v>
      </c>
      <c r="O19" s="16">
        <f t="shared" si="1"/>
        <v>-18.489730299999998</v>
      </c>
      <c r="P19" s="16">
        <f t="shared" si="1"/>
        <v>-18.489730299999998</v>
      </c>
      <c r="Q19" s="16">
        <f t="shared" si="1"/>
        <v>-18.489730299999998</v>
      </c>
      <c r="R19" s="16">
        <f t="shared" si="1"/>
        <v>-18.489730299999998</v>
      </c>
      <c r="S19" s="16">
        <f t="shared" si="1"/>
        <v>-18.489730299999998</v>
      </c>
      <c r="T19" s="16">
        <f t="shared" si="1"/>
        <v>-18.489730299999998</v>
      </c>
      <c r="U19" s="16">
        <f t="shared" si="1"/>
        <v>-18.489730299999998</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DECREASE</v>
      </c>
      <c r="G20" s="26" t="str">
        <f>IF($B35="","",IF(G$19&gt;=0,"INCREASE","DECREASE"))</f>
        <v>DECREASE</v>
      </c>
      <c r="H20" s="26" t="str">
        <f>IF($B36="","",IF(H$19&gt;=0,"INCREASE","DECREASE"))</f>
        <v>DECREASE</v>
      </c>
      <c r="I20" s="26" t="str">
        <f>IF($B37="","",IF(I$19&gt;=0,"INCREASE","DECREASE"))</f>
        <v>DECREASE</v>
      </c>
      <c r="J20" s="26" t="e">
        <f>IF($B38="","",IF(J$19&gt;=0,"INCREASE","DECREASE"))</f>
        <v>#N/A</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
      </c>
      <c r="AI20" s="48" t="s">
        <v>114</v>
      </c>
      <c r="AJ20" s="49">
        <v>2.1</v>
      </c>
      <c r="AK20" s="50">
        <v>7.2</v>
      </c>
      <c r="AL20" s="51">
        <v>18</v>
      </c>
      <c r="AM20" s="11">
        <v>6.2</v>
      </c>
      <c r="AN20" s="11" t="s">
        <v>112</v>
      </c>
    </row>
    <row r="21" spans="1:40" ht="13" x14ac:dyDescent="0.25">
      <c r="A21" s="133" t="s">
        <v>88</v>
      </c>
      <c r="B21" s="134"/>
      <c r="C21" s="28" t="e">
        <f>(VLOOKUP(C$14,$AI2:$AK26,3,FALSE))*C$15</f>
        <v>#N/A</v>
      </c>
      <c r="D21" s="28" t="e">
        <f t="shared" ref="D21:V21" si="2">(VLOOKUP(D$14,$AI2:$AK26,3,FALSE))*D$15</f>
        <v>#N/A</v>
      </c>
      <c r="E21" s="28" t="e">
        <f t="shared" si="2"/>
        <v>#N/A</v>
      </c>
      <c r="F21" s="28">
        <f t="shared" si="2"/>
        <v>228</v>
      </c>
      <c r="G21" s="28">
        <f t="shared" si="2"/>
        <v>228</v>
      </c>
      <c r="H21" s="28">
        <f t="shared" si="2"/>
        <v>228</v>
      </c>
      <c r="I21" s="28">
        <f t="shared" si="2"/>
        <v>228</v>
      </c>
      <c r="J21" s="28" t="e">
        <f t="shared" si="2"/>
        <v>#N/A</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11.221213050000001</v>
      </c>
      <c r="G22" s="16">
        <f>$E35</f>
        <v>11.221213050000001</v>
      </c>
      <c r="H22" s="16">
        <f>$E36</f>
        <v>11.221213050000001</v>
      </c>
      <c r="I22" s="16">
        <f>$E37</f>
        <v>11.221213050000001</v>
      </c>
      <c r="J22" s="16">
        <f>$E38</f>
        <v>11.221213050000001</v>
      </c>
      <c r="K22" s="16">
        <f>$E39</f>
        <v>11.221213050000001</v>
      </c>
      <c r="L22" s="16">
        <f>$E40</f>
        <v>11.221213050000001</v>
      </c>
      <c r="M22" s="16">
        <f>$E41</f>
        <v>11.221213050000001</v>
      </c>
      <c r="N22" s="16">
        <f>$E42</f>
        <v>11.221213050000001</v>
      </c>
      <c r="O22" s="16">
        <f>$E43</f>
        <v>11.221213050000001</v>
      </c>
      <c r="P22" s="16">
        <f>$E44</f>
        <v>11.221213050000001</v>
      </c>
      <c r="Q22" s="16">
        <f>$E45</f>
        <v>11.221213050000001</v>
      </c>
      <c r="R22" s="16">
        <f>$E46</f>
        <v>11.221213050000001</v>
      </c>
      <c r="S22" s="16">
        <f>$E47</f>
        <v>11.221213050000001</v>
      </c>
      <c r="T22" s="16">
        <f>$E48</f>
        <v>11.221213050000001</v>
      </c>
      <c r="U22" s="16">
        <f>$E49</f>
        <v>11.221213050000001</v>
      </c>
      <c r="V22" s="16">
        <f>$E50</f>
        <v>0</v>
      </c>
      <c r="AI22" s="63" t="s">
        <v>102</v>
      </c>
      <c r="AJ22" s="64">
        <v>1.2</v>
      </c>
      <c r="AK22" s="65">
        <v>5</v>
      </c>
      <c r="AL22" s="29">
        <v>20</v>
      </c>
      <c r="AM22" s="11">
        <v>6.7</v>
      </c>
      <c r="AN22" s="11" t="s">
        <v>135</v>
      </c>
    </row>
    <row r="23" spans="1:40" ht="13" x14ac:dyDescent="0.25">
      <c r="A23" s="131" t="s">
        <v>92</v>
      </c>
      <c r="B23" s="132"/>
      <c r="C23" s="16" t="e">
        <f>C22-C21</f>
        <v>#N/A</v>
      </c>
      <c r="D23" s="16" t="e">
        <f t="shared" ref="D23:V23" si="3">D22-D21</f>
        <v>#N/A</v>
      </c>
      <c r="E23" s="16" t="e">
        <f t="shared" si="3"/>
        <v>#N/A</v>
      </c>
      <c r="F23" s="16">
        <f t="shared" si="3"/>
        <v>-216.77878695000001</v>
      </c>
      <c r="G23" s="16">
        <f t="shared" si="3"/>
        <v>-216.77878695000001</v>
      </c>
      <c r="H23" s="16">
        <f t="shared" si="3"/>
        <v>-216.77878695000001</v>
      </c>
      <c r="I23" s="16">
        <f t="shared" si="3"/>
        <v>-216.77878695000001</v>
      </c>
      <c r="J23" s="16" t="e">
        <f t="shared" si="3"/>
        <v>#N/A</v>
      </c>
      <c r="K23" s="16">
        <f t="shared" si="3"/>
        <v>-216.77878695000001</v>
      </c>
      <c r="L23" s="16">
        <f t="shared" si="3"/>
        <v>-216.77878695000001</v>
      </c>
      <c r="M23" s="16">
        <f t="shared" si="3"/>
        <v>-216.77878695000001</v>
      </c>
      <c r="N23" s="16">
        <f t="shared" si="3"/>
        <v>-216.77878695000001</v>
      </c>
      <c r="O23" s="16">
        <f t="shared" si="3"/>
        <v>-216.77878695000001</v>
      </c>
      <c r="P23" s="16">
        <f t="shared" si="3"/>
        <v>-216.77878695000001</v>
      </c>
      <c r="Q23" s="16">
        <f t="shared" si="3"/>
        <v>-216.77878695000001</v>
      </c>
      <c r="R23" s="16">
        <f t="shared" si="3"/>
        <v>-216.77878695000001</v>
      </c>
      <c r="S23" s="16">
        <f t="shared" si="3"/>
        <v>-216.77878695000001</v>
      </c>
      <c r="T23" s="16">
        <f t="shared" si="3"/>
        <v>-216.77878695000001</v>
      </c>
      <c r="U23" s="16">
        <f t="shared" si="3"/>
        <v>-216.77878695000001</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32.1</v>
      </c>
      <c r="C28" s="15">
        <v>0.91100000000000003</v>
      </c>
      <c r="D28" s="15">
        <v>0.20899999999999999</v>
      </c>
      <c r="E28" s="15">
        <v>9.6699999999999994E-2</v>
      </c>
      <c r="F28" s="15">
        <v>2110</v>
      </c>
      <c r="G28" s="15">
        <v>64.900000000000006</v>
      </c>
      <c r="H28" s="15">
        <v>451</v>
      </c>
      <c r="I28" s="15">
        <v>79.7</v>
      </c>
      <c r="J28" s="15">
        <v>2.93</v>
      </c>
      <c r="K28" s="23">
        <v>0.28000000000000003</v>
      </c>
      <c r="L28" s="15">
        <v>45.9</v>
      </c>
      <c r="M28" s="15">
        <v>23.6</v>
      </c>
      <c r="N28" s="15">
        <v>124000</v>
      </c>
      <c r="O28" s="15">
        <v>37100</v>
      </c>
      <c r="P28" s="15"/>
      <c r="Q28" s="15">
        <v>3880</v>
      </c>
      <c r="R28" s="15"/>
      <c r="S28" s="15">
        <v>53</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31"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ref="G32:P50" si="10">IF(G$27="%w/w SAR",((G$28*10)*$B32),IF(G$27="%w/w DM",(((G$28*10)*($B$28/100))*$B32),IF(G$27="kg/t SAR",(G$28*$B32),IF(G$27="kg/t DM",((G$28*($B$28/100))*$B32),IF(G$27="mg/kg SAR",((G$28*0.001)*$B32),IF(G$27="mg/kg DM",(((G$28*0.001)*($B$28/100))*$B32),0))))))</f>
        <v>0</v>
      </c>
      <c r="H32" s="77">
        <f t="shared" si="10"/>
        <v>0</v>
      </c>
      <c r="I32" s="77">
        <f t="shared" si="10"/>
        <v>0</v>
      </c>
      <c r="J32" s="77">
        <f t="shared" si="10"/>
        <v>0</v>
      </c>
      <c r="K32" s="77">
        <f t="shared" si="10"/>
        <v>0</v>
      </c>
      <c r="L32" s="77">
        <f t="shared" si="10"/>
        <v>0</v>
      </c>
      <c r="M32" s="77">
        <f t="shared" si="10"/>
        <v>0</v>
      </c>
      <c r="N32" s="77">
        <f t="shared" si="10"/>
        <v>0</v>
      </c>
      <c r="O32" s="77">
        <f t="shared" si="10"/>
        <v>0</v>
      </c>
      <c r="P32" s="77">
        <f t="shared" si="10"/>
        <v>0</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0</v>
      </c>
      <c r="B33" s="15"/>
      <c r="C33" s="77">
        <f t="shared" si="6"/>
        <v>0</v>
      </c>
      <c r="D33" s="77">
        <f t="shared" si="7"/>
        <v>0</v>
      </c>
      <c r="E33" s="77">
        <f t="shared" si="8"/>
        <v>0</v>
      </c>
      <c r="F33" s="77">
        <f t="shared" si="9"/>
        <v>0</v>
      </c>
      <c r="G33" s="77">
        <f t="shared" si="10"/>
        <v>0</v>
      </c>
      <c r="H33" s="77">
        <f t="shared" si="10"/>
        <v>0</v>
      </c>
      <c r="I33" s="77">
        <f t="shared" si="10"/>
        <v>0</v>
      </c>
      <c r="J33" s="77">
        <f t="shared" si="10"/>
        <v>0</v>
      </c>
      <c r="K33" s="77">
        <f t="shared" si="10"/>
        <v>0</v>
      </c>
      <c r="L33" s="77">
        <f t="shared" si="10"/>
        <v>0</v>
      </c>
      <c r="M33" s="77">
        <f t="shared" si="10"/>
        <v>0</v>
      </c>
      <c r="N33" s="77">
        <f t="shared" si="10"/>
        <v>0</v>
      </c>
      <c r="O33" s="77">
        <f t="shared" si="10"/>
        <v>0</v>
      </c>
      <c r="P33" s="77">
        <f t="shared" si="10"/>
        <v>0</v>
      </c>
      <c r="Q33" s="77">
        <f t="shared" si="11"/>
        <v>0</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1294</v>
      </c>
      <c r="B34" s="15">
        <v>30</v>
      </c>
      <c r="C34" s="77">
        <f t="shared" si="6"/>
        <v>87.729299999999995</v>
      </c>
      <c r="D34" s="77">
        <f t="shared" si="7"/>
        <v>46.110269699999996</v>
      </c>
      <c r="E34" s="77">
        <f t="shared" si="8"/>
        <v>11.221213050000001</v>
      </c>
      <c r="F34" s="77">
        <f t="shared" si="9"/>
        <v>33.689399399999992</v>
      </c>
      <c r="G34" s="77">
        <f t="shared" si="10"/>
        <v>0.62498700000000018</v>
      </c>
      <c r="H34" s="77">
        <f t="shared" si="10"/>
        <v>4.3431300000000004</v>
      </c>
      <c r="I34" s="77">
        <f t="shared" si="10"/>
        <v>0.76751100000000017</v>
      </c>
      <c r="J34" s="77">
        <f t="shared" si="10"/>
        <v>2.8215900000000002E-2</v>
      </c>
      <c r="K34" s="77">
        <f t="shared" si="10"/>
        <v>2.6964000000000003E-3</v>
      </c>
      <c r="L34" s="77">
        <f t="shared" si="10"/>
        <v>0.44201699999999999</v>
      </c>
      <c r="M34" s="77">
        <f t="shared" si="10"/>
        <v>0.22726800000000003</v>
      </c>
      <c r="N34" s="77">
        <f t="shared" si="10"/>
        <v>1194.1200000000001</v>
      </c>
      <c r="O34" s="77">
        <f t="shared" si="10"/>
        <v>357.27300000000002</v>
      </c>
      <c r="P34" s="77">
        <f t="shared" si="10"/>
        <v>0</v>
      </c>
      <c r="Q34" s="77">
        <f t="shared" si="11"/>
        <v>93.410999999999987</v>
      </c>
      <c r="R34" s="77">
        <f t="shared" si="12"/>
        <v>0</v>
      </c>
      <c r="S34" s="77">
        <f t="shared" si="12"/>
        <v>0.51039000000000001</v>
      </c>
      <c r="T34" s="77">
        <f t="shared" si="12"/>
        <v>0</v>
      </c>
      <c r="U34" s="77">
        <f t="shared" si="12"/>
        <v>0</v>
      </c>
      <c r="AB34" s="59"/>
      <c r="AC34" s="59"/>
      <c r="AD34" s="59"/>
      <c r="AE34" s="59"/>
      <c r="AF34" s="59"/>
      <c r="AG34" s="59"/>
      <c r="AH34" s="59"/>
      <c r="AI34" s="59"/>
    </row>
    <row r="35" spans="1:35" s="72" customFormat="1" ht="13" x14ac:dyDescent="0.35">
      <c r="A35" s="13">
        <f>G8</f>
        <v>2225</v>
      </c>
      <c r="B35" s="15">
        <v>30</v>
      </c>
      <c r="C35" s="77">
        <f t="shared" si="6"/>
        <v>87.729299999999995</v>
      </c>
      <c r="D35" s="77">
        <f t="shared" si="7"/>
        <v>46.110269699999996</v>
      </c>
      <c r="E35" s="77">
        <f t="shared" si="8"/>
        <v>11.221213050000001</v>
      </c>
      <c r="F35" s="77">
        <f t="shared" si="9"/>
        <v>33.689399399999992</v>
      </c>
      <c r="G35" s="77">
        <f t="shared" si="10"/>
        <v>0.62498700000000018</v>
      </c>
      <c r="H35" s="77">
        <f t="shared" si="10"/>
        <v>4.3431300000000004</v>
      </c>
      <c r="I35" s="77">
        <f t="shared" si="10"/>
        <v>0.76751100000000017</v>
      </c>
      <c r="J35" s="77">
        <f t="shared" si="10"/>
        <v>2.8215900000000002E-2</v>
      </c>
      <c r="K35" s="77">
        <f t="shared" si="10"/>
        <v>2.6964000000000003E-3</v>
      </c>
      <c r="L35" s="77">
        <f t="shared" si="10"/>
        <v>0.44201699999999999</v>
      </c>
      <c r="M35" s="77">
        <f t="shared" si="10"/>
        <v>0.22726800000000003</v>
      </c>
      <c r="N35" s="77">
        <f t="shared" si="10"/>
        <v>1194.1200000000001</v>
      </c>
      <c r="O35" s="77">
        <f t="shared" si="10"/>
        <v>357.27300000000002</v>
      </c>
      <c r="P35" s="77">
        <f t="shared" si="10"/>
        <v>0</v>
      </c>
      <c r="Q35" s="77">
        <f t="shared" si="11"/>
        <v>93.410999999999987</v>
      </c>
      <c r="R35" s="77">
        <f t="shared" si="12"/>
        <v>0</v>
      </c>
      <c r="S35" s="77">
        <f t="shared" si="12"/>
        <v>0.51039000000000001</v>
      </c>
      <c r="T35" s="77">
        <f t="shared" si="12"/>
        <v>0</v>
      </c>
      <c r="U35" s="77">
        <f t="shared" si="12"/>
        <v>0</v>
      </c>
      <c r="AB35" s="59"/>
      <c r="AC35" s="59"/>
      <c r="AD35" s="59"/>
      <c r="AE35" s="59"/>
      <c r="AF35" s="59"/>
      <c r="AG35" s="59"/>
      <c r="AH35" s="59"/>
      <c r="AI35" s="59"/>
    </row>
    <row r="36" spans="1:35" s="72" customFormat="1" ht="13" x14ac:dyDescent="0.35">
      <c r="A36" s="13">
        <f>H8</f>
        <v>3210</v>
      </c>
      <c r="B36" s="15">
        <v>30</v>
      </c>
      <c r="C36" s="77">
        <f t="shared" si="6"/>
        <v>87.729299999999995</v>
      </c>
      <c r="D36" s="77">
        <f t="shared" si="7"/>
        <v>46.110269699999996</v>
      </c>
      <c r="E36" s="77">
        <f t="shared" si="8"/>
        <v>11.221213050000001</v>
      </c>
      <c r="F36" s="77">
        <f t="shared" si="9"/>
        <v>33.689399399999992</v>
      </c>
      <c r="G36" s="77">
        <f t="shared" si="10"/>
        <v>0.62498700000000018</v>
      </c>
      <c r="H36" s="77">
        <f t="shared" si="10"/>
        <v>4.3431300000000004</v>
      </c>
      <c r="I36" s="77">
        <f t="shared" si="10"/>
        <v>0.76751100000000017</v>
      </c>
      <c r="J36" s="77">
        <f t="shared" si="10"/>
        <v>2.8215900000000002E-2</v>
      </c>
      <c r="K36" s="77">
        <f t="shared" si="10"/>
        <v>2.6964000000000003E-3</v>
      </c>
      <c r="L36" s="77">
        <f t="shared" si="10"/>
        <v>0.44201699999999999</v>
      </c>
      <c r="M36" s="77">
        <f t="shared" si="10"/>
        <v>0.22726800000000003</v>
      </c>
      <c r="N36" s="77">
        <f t="shared" si="10"/>
        <v>1194.1200000000001</v>
      </c>
      <c r="O36" s="77">
        <f t="shared" si="10"/>
        <v>357.27300000000002</v>
      </c>
      <c r="P36" s="77">
        <f t="shared" si="10"/>
        <v>0</v>
      </c>
      <c r="Q36" s="77">
        <f t="shared" si="11"/>
        <v>93.410999999999987</v>
      </c>
      <c r="R36" s="77">
        <f t="shared" si="12"/>
        <v>0</v>
      </c>
      <c r="S36" s="77">
        <f t="shared" si="12"/>
        <v>0.51039000000000001</v>
      </c>
      <c r="T36" s="77">
        <f t="shared" si="12"/>
        <v>0</v>
      </c>
      <c r="U36" s="77">
        <f t="shared" si="12"/>
        <v>0</v>
      </c>
      <c r="AB36" s="59"/>
      <c r="AC36" s="59"/>
      <c r="AD36" s="59"/>
      <c r="AE36" s="59"/>
      <c r="AF36" s="59"/>
      <c r="AG36" s="59"/>
      <c r="AH36" s="59"/>
      <c r="AI36" s="59"/>
    </row>
    <row r="37" spans="1:35" s="72" customFormat="1" ht="13" x14ac:dyDescent="0.35">
      <c r="A37" s="13">
        <f>I8</f>
        <v>3732</v>
      </c>
      <c r="B37" s="15">
        <v>30</v>
      </c>
      <c r="C37" s="77">
        <f t="shared" si="6"/>
        <v>87.729299999999995</v>
      </c>
      <c r="D37" s="77">
        <f t="shared" si="7"/>
        <v>46.110269699999996</v>
      </c>
      <c r="E37" s="77">
        <f t="shared" si="8"/>
        <v>11.221213050000001</v>
      </c>
      <c r="F37" s="77">
        <f t="shared" si="9"/>
        <v>33.689399399999992</v>
      </c>
      <c r="G37" s="77">
        <f t="shared" si="10"/>
        <v>0.62498700000000018</v>
      </c>
      <c r="H37" s="77">
        <f t="shared" si="10"/>
        <v>4.3431300000000004</v>
      </c>
      <c r="I37" s="77">
        <f t="shared" si="10"/>
        <v>0.76751100000000017</v>
      </c>
      <c r="J37" s="77">
        <f t="shared" si="10"/>
        <v>2.8215900000000002E-2</v>
      </c>
      <c r="K37" s="77">
        <f t="shared" si="10"/>
        <v>2.6964000000000003E-3</v>
      </c>
      <c r="L37" s="77">
        <f t="shared" si="10"/>
        <v>0.44201699999999999</v>
      </c>
      <c r="M37" s="77">
        <f t="shared" si="10"/>
        <v>0.22726800000000003</v>
      </c>
      <c r="N37" s="77">
        <f t="shared" si="10"/>
        <v>1194.1200000000001</v>
      </c>
      <c r="O37" s="77">
        <f t="shared" si="10"/>
        <v>357.27300000000002</v>
      </c>
      <c r="P37" s="77">
        <f t="shared" si="10"/>
        <v>0</v>
      </c>
      <c r="Q37" s="77">
        <f t="shared" si="11"/>
        <v>93.410999999999987</v>
      </c>
      <c r="R37" s="77">
        <f t="shared" si="12"/>
        <v>0</v>
      </c>
      <c r="S37" s="77">
        <f t="shared" si="12"/>
        <v>0.51039000000000001</v>
      </c>
      <c r="T37" s="77">
        <f t="shared" si="12"/>
        <v>0</v>
      </c>
      <c r="U37" s="77">
        <f t="shared" si="12"/>
        <v>0</v>
      </c>
      <c r="AB37" s="59"/>
      <c r="AC37" s="59"/>
      <c r="AD37" s="59"/>
      <c r="AE37" s="59"/>
      <c r="AF37" s="59"/>
      <c r="AG37" s="59"/>
      <c r="AH37" s="59"/>
      <c r="AI37" s="59"/>
    </row>
    <row r="38" spans="1:35" s="72" customFormat="1" ht="13" x14ac:dyDescent="0.35">
      <c r="A38" s="13">
        <f>J8</f>
        <v>0</v>
      </c>
      <c r="B38" s="15">
        <v>30</v>
      </c>
      <c r="C38" s="77">
        <f t="shared" si="6"/>
        <v>87.729299999999995</v>
      </c>
      <c r="D38" s="77">
        <f t="shared" si="7"/>
        <v>46.110269699999996</v>
      </c>
      <c r="E38" s="77">
        <f t="shared" si="8"/>
        <v>11.221213050000001</v>
      </c>
      <c r="F38" s="77">
        <f t="shared" si="9"/>
        <v>33.689399399999992</v>
      </c>
      <c r="G38" s="77">
        <f t="shared" si="10"/>
        <v>0.62498700000000018</v>
      </c>
      <c r="H38" s="77">
        <f t="shared" si="10"/>
        <v>4.3431300000000004</v>
      </c>
      <c r="I38" s="77">
        <f t="shared" si="10"/>
        <v>0.76751100000000017</v>
      </c>
      <c r="J38" s="77">
        <f t="shared" si="10"/>
        <v>2.8215900000000002E-2</v>
      </c>
      <c r="K38" s="77">
        <f t="shared" si="10"/>
        <v>2.6964000000000003E-3</v>
      </c>
      <c r="L38" s="77">
        <f t="shared" si="10"/>
        <v>0.44201699999999999</v>
      </c>
      <c r="M38" s="77">
        <f t="shared" si="10"/>
        <v>0.22726800000000003</v>
      </c>
      <c r="N38" s="77">
        <f t="shared" si="10"/>
        <v>1194.1200000000001</v>
      </c>
      <c r="O38" s="77">
        <f t="shared" si="10"/>
        <v>357.27300000000002</v>
      </c>
      <c r="P38" s="77">
        <f t="shared" si="10"/>
        <v>0</v>
      </c>
      <c r="Q38" s="77">
        <f t="shared" si="11"/>
        <v>93.410999999999987</v>
      </c>
      <c r="R38" s="77">
        <f t="shared" si="12"/>
        <v>0</v>
      </c>
      <c r="S38" s="77">
        <f t="shared" si="12"/>
        <v>0.51039000000000001</v>
      </c>
      <c r="T38" s="77">
        <f t="shared" si="12"/>
        <v>0</v>
      </c>
      <c r="U38" s="77">
        <f t="shared" si="12"/>
        <v>0</v>
      </c>
      <c r="AB38" s="59"/>
      <c r="AC38" s="59"/>
      <c r="AD38" s="59"/>
      <c r="AE38" s="59"/>
      <c r="AF38" s="59"/>
      <c r="AG38" s="59"/>
      <c r="AH38" s="59"/>
      <c r="AI38" s="59"/>
    </row>
    <row r="39" spans="1:35" s="72" customFormat="1" ht="13" x14ac:dyDescent="0.35">
      <c r="A39" s="13">
        <f>K8</f>
        <v>5867</v>
      </c>
      <c r="B39" s="15">
        <v>30</v>
      </c>
      <c r="C39" s="77">
        <f t="shared" si="6"/>
        <v>87.729299999999995</v>
      </c>
      <c r="D39" s="77">
        <f t="shared" si="7"/>
        <v>46.110269699999996</v>
      </c>
      <c r="E39" s="77">
        <f t="shared" si="8"/>
        <v>11.221213050000001</v>
      </c>
      <c r="F39" s="77">
        <f t="shared" si="9"/>
        <v>33.689399399999992</v>
      </c>
      <c r="G39" s="77">
        <f t="shared" si="10"/>
        <v>0.62498700000000018</v>
      </c>
      <c r="H39" s="77">
        <f t="shared" si="10"/>
        <v>4.3431300000000004</v>
      </c>
      <c r="I39" s="77">
        <f t="shared" si="10"/>
        <v>0.76751100000000017</v>
      </c>
      <c r="J39" s="77">
        <f t="shared" si="10"/>
        <v>2.8215900000000002E-2</v>
      </c>
      <c r="K39" s="77">
        <f t="shared" si="10"/>
        <v>2.6964000000000003E-3</v>
      </c>
      <c r="L39" s="77">
        <f t="shared" si="10"/>
        <v>0.44201699999999999</v>
      </c>
      <c r="M39" s="77">
        <f t="shared" si="10"/>
        <v>0.22726800000000003</v>
      </c>
      <c r="N39" s="77">
        <f t="shared" si="10"/>
        <v>1194.1200000000001</v>
      </c>
      <c r="O39" s="77">
        <f t="shared" si="10"/>
        <v>357.27300000000002</v>
      </c>
      <c r="P39" s="77">
        <f t="shared" si="10"/>
        <v>0</v>
      </c>
      <c r="Q39" s="77">
        <f t="shared" si="11"/>
        <v>93.410999999999987</v>
      </c>
      <c r="R39" s="77">
        <f t="shared" si="12"/>
        <v>0</v>
      </c>
      <c r="S39" s="77">
        <f t="shared" si="12"/>
        <v>0.51039000000000001</v>
      </c>
      <c r="T39" s="77">
        <f t="shared" si="12"/>
        <v>0</v>
      </c>
      <c r="U39" s="77">
        <f t="shared" si="12"/>
        <v>0</v>
      </c>
      <c r="AB39" s="59"/>
      <c r="AC39" s="59"/>
      <c r="AD39" s="59"/>
      <c r="AE39" s="59"/>
      <c r="AF39" s="59"/>
      <c r="AG39" s="59"/>
      <c r="AH39" s="59"/>
      <c r="AI39" s="59"/>
    </row>
    <row r="40" spans="1:35" s="72" customFormat="1" ht="13" x14ac:dyDescent="0.35">
      <c r="A40" s="13">
        <f>L8</f>
        <v>1808</v>
      </c>
      <c r="B40" s="15">
        <v>30</v>
      </c>
      <c r="C40" s="77">
        <f t="shared" si="6"/>
        <v>87.729299999999995</v>
      </c>
      <c r="D40" s="77">
        <f t="shared" si="7"/>
        <v>46.110269699999996</v>
      </c>
      <c r="E40" s="77">
        <f t="shared" si="8"/>
        <v>11.221213050000001</v>
      </c>
      <c r="F40" s="77">
        <f t="shared" si="9"/>
        <v>33.689399399999992</v>
      </c>
      <c r="G40" s="77">
        <f t="shared" si="10"/>
        <v>0.62498700000000018</v>
      </c>
      <c r="H40" s="77">
        <f t="shared" si="10"/>
        <v>4.3431300000000004</v>
      </c>
      <c r="I40" s="77">
        <f t="shared" si="10"/>
        <v>0.76751100000000017</v>
      </c>
      <c r="J40" s="77">
        <f t="shared" si="10"/>
        <v>2.8215900000000002E-2</v>
      </c>
      <c r="K40" s="77">
        <f t="shared" si="10"/>
        <v>2.6964000000000003E-3</v>
      </c>
      <c r="L40" s="77">
        <f t="shared" si="10"/>
        <v>0.44201699999999999</v>
      </c>
      <c r="M40" s="77">
        <f t="shared" si="10"/>
        <v>0.22726800000000003</v>
      </c>
      <c r="N40" s="77">
        <f t="shared" si="10"/>
        <v>1194.1200000000001</v>
      </c>
      <c r="O40" s="77">
        <f t="shared" si="10"/>
        <v>357.27300000000002</v>
      </c>
      <c r="P40" s="77">
        <f t="shared" si="10"/>
        <v>0</v>
      </c>
      <c r="Q40" s="77">
        <f t="shared" si="11"/>
        <v>93.410999999999987</v>
      </c>
      <c r="R40" s="77">
        <f t="shared" si="12"/>
        <v>0</v>
      </c>
      <c r="S40" s="77">
        <f t="shared" si="12"/>
        <v>0.51039000000000001</v>
      </c>
      <c r="T40" s="77">
        <f t="shared" si="12"/>
        <v>0</v>
      </c>
      <c r="U40" s="77">
        <f t="shared" si="12"/>
        <v>0</v>
      </c>
      <c r="AB40" s="59"/>
      <c r="AC40" s="59"/>
      <c r="AD40" s="59"/>
      <c r="AE40" s="59"/>
      <c r="AF40" s="59"/>
      <c r="AG40" s="59"/>
      <c r="AH40" s="59"/>
      <c r="AI40" s="59"/>
    </row>
    <row r="41" spans="1:35" s="72" customFormat="1" ht="13" x14ac:dyDescent="0.35">
      <c r="A41" s="13">
        <f>M8</f>
        <v>24</v>
      </c>
      <c r="B41" s="15">
        <v>30</v>
      </c>
      <c r="C41" s="77">
        <f t="shared" si="6"/>
        <v>87.729299999999995</v>
      </c>
      <c r="D41" s="77">
        <f t="shared" si="7"/>
        <v>46.110269699999996</v>
      </c>
      <c r="E41" s="77">
        <f t="shared" si="8"/>
        <v>11.221213050000001</v>
      </c>
      <c r="F41" s="77">
        <f t="shared" si="9"/>
        <v>33.689399399999992</v>
      </c>
      <c r="G41" s="77">
        <f t="shared" si="10"/>
        <v>0.62498700000000018</v>
      </c>
      <c r="H41" s="77">
        <f t="shared" si="10"/>
        <v>4.3431300000000004</v>
      </c>
      <c r="I41" s="77">
        <f t="shared" si="10"/>
        <v>0.76751100000000017</v>
      </c>
      <c r="J41" s="77">
        <f t="shared" si="10"/>
        <v>2.8215900000000002E-2</v>
      </c>
      <c r="K41" s="77">
        <f t="shared" si="10"/>
        <v>2.6964000000000003E-3</v>
      </c>
      <c r="L41" s="77">
        <f t="shared" si="10"/>
        <v>0.44201699999999999</v>
      </c>
      <c r="M41" s="77">
        <f t="shared" si="10"/>
        <v>0.22726800000000003</v>
      </c>
      <c r="N41" s="77">
        <f t="shared" si="10"/>
        <v>1194.1200000000001</v>
      </c>
      <c r="O41" s="77">
        <f t="shared" si="10"/>
        <v>357.27300000000002</v>
      </c>
      <c r="P41" s="77">
        <f t="shared" si="10"/>
        <v>0</v>
      </c>
      <c r="Q41" s="77">
        <f t="shared" si="11"/>
        <v>93.410999999999987</v>
      </c>
      <c r="R41" s="77">
        <f t="shared" si="12"/>
        <v>0</v>
      </c>
      <c r="S41" s="77">
        <f t="shared" si="12"/>
        <v>0.51039000000000001</v>
      </c>
      <c r="T41" s="77">
        <f t="shared" si="12"/>
        <v>0</v>
      </c>
      <c r="U41" s="77">
        <f t="shared" si="12"/>
        <v>0</v>
      </c>
      <c r="AB41" s="59"/>
      <c r="AC41" s="59"/>
      <c r="AD41" s="59"/>
      <c r="AE41" s="59"/>
      <c r="AF41" s="59"/>
      <c r="AG41" s="59"/>
      <c r="AH41" s="59"/>
      <c r="AI41" s="59"/>
    </row>
    <row r="42" spans="1:35" s="72" customFormat="1" ht="13" x14ac:dyDescent="0.35">
      <c r="A42" s="13">
        <f>N8</f>
        <v>25</v>
      </c>
      <c r="B42" s="15">
        <v>30</v>
      </c>
      <c r="C42" s="77">
        <f t="shared" si="6"/>
        <v>87.729299999999995</v>
      </c>
      <c r="D42" s="77">
        <f t="shared" si="7"/>
        <v>46.110269699999996</v>
      </c>
      <c r="E42" s="77">
        <f t="shared" si="8"/>
        <v>11.221213050000001</v>
      </c>
      <c r="F42" s="77">
        <f t="shared" si="9"/>
        <v>33.689399399999992</v>
      </c>
      <c r="G42" s="77">
        <f t="shared" si="10"/>
        <v>0.62498700000000018</v>
      </c>
      <c r="H42" s="77">
        <f t="shared" si="10"/>
        <v>4.3431300000000004</v>
      </c>
      <c r="I42" s="77">
        <f t="shared" si="10"/>
        <v>0.76751100000000017</v>
      </c>
      <c r="J42" s="77">
        <f t="shared" si="10"/>
        <v>2.8215900000000002E-2</v>
      </c>
      <c r="K42" s="77">
        <f t="shared" si="10"/>
        <v>2.6964000000000003E-3</v>
      </c>
      <c r="L42" s="77">
        <f t="shared" si="10"/>
        <v>0.44201699999999999</v>
      </c>
      <c r="M42" s="77">
        <f t="shared" si="10"/>
        <v>0.22726800000000003</v>
      </c>
      <c r="N42" s="77">
        <f t="shared" si="10"/>
        <v>1194.1200000000001</v>
      </c>
      <c r="O42" s="77">
        <f t="shared" si="10"/>
        <v>357.27300000000002</v>
      </c>
      <c r="P42" s="77">
        <f t="shared" si="10"/>
        <v>0</v>
      </c>
      <c r="Q42" s="77">
        <f t="shared" si="11"/>
        <v>93.410999999999987</v>
      </c>
      <c r="R42" s="77">
        <f t="shared" si="12"/>
        <v>0</v>
      </c>
      <c r="S42" s="77">
        <f t="shared" si="12"/>
        <v>0.51039000000000001</v>
      </c>
      <c r="T42" s="77">
        <f t="shared" si="12"/>
        <v>0</v>
      </c>
      <c r="U42" s="77">
        <f t="shared" si="12"/>
        <v>0</v>
      </c>
      <c r="AB42" s="59"/>
      <c r="AC42" s="59"/>
      <c r="AD42" s="59"/>
      <c r="AE42" s="59"/>
      <c r="AF42" s="59"/>
      <c r="AG42" s="59"/>
      <c r="AH42" s="59"/>
      <c r="AI42" s="59"/>
    </row>
    <row r="43" spans="1:35" s="72" customFormat="1" ht="13" x14ac:dyDescent="0.35">
      <c r="A43" s="13">
        <f>O8</f>
        <v>26</v>
      </c>
      <c r="B43" s="15">
        <v>30</v>
      </c>
      <c r="C43" s="77">
        <f t="shared" si="6"/>
        <v>87.729299999999995</v>
      </c>
      <c r="D43" s="77">
        <f t="shared" si="7"/>
        <v>46.110269699999996</v>
      </c>
      <c r="E43" s="77">
        <f t="shared" si="8"/>
        <v>11.221213050000001</v>
      </c>
      <c r="F43" s="77">
        <f t="shared" si="9"/>
        <v>33.689399399999992</v>
      </c>
      <c r="G43" s="77">
        <f t="shared" si="10"/>
        <v>0.62498700000000018</v>
      </c>
      <c r="H43" s="77">
        <f t="shared" si="10"/>
        <v>4.3431300000000004</v>
      </c>
      <c r="I43" s="77">
        <f t="shared" si="10"/>
        <v>0.76751100000000017</v>
      </c>
      <c r="J43" s="77">
        <f t="shared" si="10"/>
        <v>2.8215900000000002E-2</v>
      </c>
      <c r="K43" s="77">
        <f t="shared" si="10"/>
        <v>2.6964000000000003E-3</v>
      </c>
      <c r="L43" s="77">
        <f t="shared" si="10"/>
        <v>0.44201699999999999</v>
      </c>
      <c r="M43" s="77">
        <f t="shared" si="10"/>
        <v>0.22726800000000003</v>
      </c>
      <c r="N43" s="77">
        <f t="shared" si="10"/>
        <v>1194.1200000000001</v>
      </c>
      <c r="O43" s="77">
        <f t="shared" si="10"/>
        <v>357.27300000000002</v>
      </c>
      <c r="P43" s="77">
        <f t="shared" si="10"/>
        <v>0</v>
      </c>
      <c r="Q43" s="77">
        <f t="shared" si="11"/>
        <v>93.410999999999987</v>
      </c>
      <c r="R43" s="77">
        <f t="shared" si="12"/>
        <v>0</v>
      </c>
      <c r="S43" s="77">
        <f t="shared" si="12"/>
        <v>0.51039000000000001</v>
      </c>
      <c r="T43" s="77">
        <f t="shared" si="12"/>
        <v>0</v>
      </c>
      <c r="U43" s="77">
        <f t="shared" si="12"/>
        <v>0</v>
      </c>
      <c r="AB43" s="59"/>
      <c r="AC43" s="59"/>
      <c r="AD43" s="59"/>
      <c r="AE43" s="59"/>
      <c r="AF43" s="59"/>
      <c r="AG43" s="59"/>
      <c r="AH43" s="59"/>
      <c r="AI43" s="59"/>
    </row>
    <row r="44" spans="1:35" s="72" customFormat="1" ht="13" x14ac:dyDescent="0.35">
      <c r="A44" s="13">
        <f>P8</f>
        <v>27</v>
      </c>
      <c r="B44" s="15">
        <v>30</v>
      </c>
      <c r="C44" s="77">
        <f t="shared" si="6"/>
        <v>87.729299999999995</v>
      </c>
      <c r="D44" s="77">
        <f t="shared" si="7"/>
        <v>46.110269699999996</v>
      </c>
      <c r="E44" s="77">
        <f t="shared" si="8"/>
        <v>11.221213050000001</v>
      </c>
      <c r="F44" s="77">
        <f t="shared" si="9"/>
        <v>33.689399399999992</v>
      </c>
      <c r="G44" s="77">
        <f t="shared" si="10"/>
        <v>0.62498700000000018</v>
      </c>
      <c r="H44" s="77">
        <f t="shared" si="10"/>
        <v>4.3431300000000004</v>
      </c>
      <c r="I44" s="77">
        <f t="shared" si="10"/>
        <v>0.76751100000000017</v>
      </c>
      <c r="J44" s="77">
        <f t="shared" si="10"/>
        <v>2.8215900000000002E-2</v>
      </c>
      <c r="K44" s="77">
        <f t="shared" si="10"/>
        <v>2.6964000000000003E-3</v>
      </c>
      <c r="L44" s="77">
        <f t="shared" si="10"/>
        <v>0.44201699999999999</v>
      </c>
      <c r="M44" s="77">
        <f t="shared" si="10"/>
        <v>0.22726800000000003</v>
      </c>
      <c r="N44" s="77">
        <f t="shared" si="10"/>
        <v>1194.1200000000001</v>
      </c>
      <c r="O44" s="77">
        <f t="shared" si="10"/>
        <v>357.27300000000002</v>
      </c>
      <c r="P44" s="77">
        <f t="shared" si="10"/>
        <v>0</v>
      </c>
      <c r="Q44" s="77">
        <f t="shared" si="11"/>
        <v>93.410999999999987</v>
      </c>
      <c r="R44" s="77">
        <f t="shared" si="12"/>
        <v>0</v>
      </c>
      <c r="S44" s="77">
        <f t="shared" si="12"/>
        <v>0.51039000000000001</v>
      </c>
      <c r="T44" s="77">
        <f t="shared" si="12"/>
        <v>0</v>
      </c>
      <c r="U44" s="77">
        <f t="shared" si="12"/>
        <v>0</v>
      </c>
      <c r="AB44" s="59"/>
      <c r="AC44" s="59"/>
      <c r="AD44" s="59"/>
      <c r="AE44" s="59"/>
      <c r="AF44" s="59"/>
      <c r="AG44" s="59"/>
      <c r="AH44" s="59"/>
      <c r="AI44" s="59"/>
    </row>
    <row r="45" spans="1:35" s="72" customFormat="1" ht="13" x14ac:dyDescent="0.35">
      <c r="A45" s="13">
        <f>Q8</f>
        <v>33</v>
      </c>
      <c r="B45" s="15">
        <v>30</v>
      </c>
      <c r="C45" s="77">
        <f t="shared" si="6"/>
        <v>87.729299999999995</v>
      </c>
      <c r="D45" s="77">
        <f t="shared" si="7"/>
        <v>46.110269699999996</v>
      </c>
      <c r="E45" s="77">
        <f t="shared" si="8"/>
        <v>11.221213050000001</v>
      </c>
      <c r="F45" s="77">
        <f t="shared" si="9"/>
        <v>33.689399399999992</v>
      </c>
      <c r="G45" s="77">
        <f t="shared" si="10"/>
        <v>0.62498700000000018</v>
      </c>
      <c r="H45" s="77">
        <f t="shared" si="10"/>
        <v>4.3431300000000004</v>
      </c>
      <c r="I45" s="77">
        <f t="shared" si="10"/>
        <v>0.76751100000000017</v>
      </c>
      <c r="J45" s="77">
        <f t="shared" si="10"/>
        <v>2.8215900000000002E-2</v>
      </c>
      <c r="K45" s="77">
        <f t="shared" si="10"/>
        <v>2.6964000000000003E-3</v>
      </c>
      <c r="L45" s="77">
        <f t="shared" si="10"/>
        <v>0.44201699999999999</v>
      </c>
      <c r="M45" s="77">
        <f t="shared" si="10"/>
        <v>0.22726800000000003</v>
      </c>
      <c r="N45" s="77">
        <f t="shared" si="10"/>
        <v>1194.1200000000001</v>
      </c>
      <c r="O45" s="77">
        <f t="shared" si="10"/>
        <v>357.27300000000002</v>
      </c>
      <c r="P45" s="77">
        <f t="shared" si="10"/>
        <v>0</v>
      </c>
      <c r="Q45" s="77">
        <f t="shared" si="11"/>
        <v>93.410999999999987</v>
      </c>
      <c r="R45" s="77">
        <f t="shared" si="12"/>
        <v>0</v>
      </c>
      <c r="S45" s="77">
        <f t="shared" si="12"/>
        <v>0.51039000000000001</v>
      </c>
      <c r="T45" s="77">
        <f t="shared" si="12"/>
        <v>0</v>
      </c>
      <c r="U45" s="77">
        <f t="shared" si="12"/>
        <v>0</v>
      </c>
      <c r="AB45" s="59"/>
      <c r="AC45" s="59"/>
      <c r="AD45" s="59"/>
      <c r="AE45" s="59"/>
      <c r="AF45" s="59"/>
      <c r="AG45" s="59"/>
      <c r="AH45" s="59"/>
      <c r="AI45" s="59"/>
    </row>
    <row r="46" spans="1:35" s="72" customFormat="1" ht="13" x14ac:dyDescent="0.35">
      <c r="A46" s="13">
        <f>R8</f>
        <v>34</v>
      </c>
      <c r="B46" s="15">
        <v>30</v>
      </c>
      <c r="C46" s="77">
        <f t="shared" si="6"/>
        <v>87.729299999999995</v>
      </c>
      <c r="D46" s="77">
        <f t="shared" si="7"/>
        <v>46.110269699999996</v>
      </c>
      <c r="E46" s="77">
        <f t="shared" si="8"/>
        <v>11.221213050000001</v>
      </c>
      <c r="F46" s="77">
        <f t="shared" si="9"/>
        <v>33.689399399999992</v>
      </c>
      <c r="G46" s="77">
        <f t="shared" si="10"/>
        <v>0.62498700000000018</v>
      </c>
      <c r="H46" s="77">
        <f t="shared" si="10"/>
        <v>4.3431300000000004</v>
      </c>
      <c r="I46" s="77">
        <f t="shared" si="10"/>
        <v>0.76751100000000017</v>
      </c>
      <c r="J46" s="77">
        <f t="shared" si="10"/>
        <v>2.8215900000000002E-2</v>
      </c>
      <c r="K46" s="77">
        <f t="shared" si="10"/>
        <v>2.6964000000000003E-3</v>
      </c>
      <c r="L46" s="77">
        <f t="shared" si="10"/>
        <v>0.44201699999999999</v>
      </c>
      <c r="M46" s="77">
        <f t="shared" si="10"/>
        <v>0.22726800000000003</v>
      </c>
      <c r="N46" s="77">
        <f t="shared" si="10"/>
        <v>1194.1200000000001</v>
      </c>
      <c r="O46" s="77">
        <f t="shared" si="10"/>
        <v>357.27300000000002</v>
      </c>
      <c r="P46" s="77">
        <f t="shared" si="10"/>
        <v>0</v>
      </c>
      <c r="Q46" s="77">
        <f t="shared" si="11"/>
        <v>93.410999999999987</v>
      </c>
      <c r="R46" s="77">
        <f t="shared" si="12"/>
        <v>0</v>
      </c>
      <c r="S46" s="77">
        <f t="shared" si="12"/>
        <v>0.51039000000000001</v>
      </c>
      <c r="T46" s="77">
        <f t="shared" si="12"/>
        <v>0</v>
      </c>
      <c r="U46" s="77">
        <f t="shared" si="12"/>
        <v>0</v>
      </c>
      <c r="AB46" s="59"/>
      <c r="AC46" s="59"/>
      <c r="AD46" s="59"/>
      <c r="AE46" s="59"/>
      <c r="AF46" s="59"/>
      <c r="AG46" s="59"/>
      <c r="AH46" s="59"/>
      <c r="AI46" s="59"/>
    </row>
    <row r="47" spans="1:35" s="72" customFormat="1" ht="13" x14ac:dyDescent="0.35">
      <c r="A47" s="13">
        <f>S8</f>
        <v>35</v>
      </c>
      <c r="B47" s="15">
        <v>30</v>
      </c>
      <c r="C47" s="77">
        <f t="shared" si="6"/>
        <v>87.729299999999995</v>
      </c>
      <c r="D47" s="77">
        <f t="shared" si="7"/>
        <v>46.110269699999996</v>
      </c>
      <c r="E47" s="77">
        <f t="shared" si="8"/>
        <v>11.221213050000001</v>
      </c>
      <c r="F47" s="77">
        <f t="shared" si="9"/>
        <v>33.689399399999992</v>
      </c>
      <c r="G47" s="77">
        <f t="shared" si="10"/>
        <v>0.62498700000000018</v>
      </c>
      <c r="H47" s="77">
        <f t="shared" si="10"/>
        <v>4.3431300000000004</v>
      </c>
      <c r="I47" s="77">
        <f t="shared" si="10"/>
        <v>0.76751100000000017</v>
      </c>
      <c r="J47" s="77">
        <f t="shared" si="10"/>
        <v>2.8215900000000002E-2</v>
      </c>
      <c r="K47" s="77">
        <f t="shared" si="10"/>
        <v>2.6964000000000003E-3</v>
      </c>
      <c r="L47" s="77">
        <f t="shared" si="10"/>
        <v>0.44201699999999999</v>
      </c>
      <c r="M47" s="77">
        <f t="shared" si="10"/>
        <v>0.22726800000000003</v>
      </c>
      <c r="N47" s="77">
        <f t="shared" si="10"/>
        <v>1194.1200000000001</v>
      </c>
      <c r="O47" s="77">
        <f t="shared" si="10"/>
        <v>357.27300000000002</v>
      </c>
      <c r="P47" s="77">
        <f t="shared" si="10"/>
        <v>0</v>
      </c>
      <c r="Q47" s="77">
        <f t="shared" si="11"/>
        <v>93.410999999999987</v>
      </c>
      <c r="R47" s="77">
        <f t="shared" si="12"/>
        <v>0</v>
      </c>
      <c r="S47" s="77">
        <f t="shared" si="12"/>
        <v>0.51039000000000001</v>
      </c>
      <c r="T47" s="77">
        <f t="shared" si="12"/>
        <v>0</v>
      </c>
      <c r="U47" s="77">
        <f t="shared" si="12"/>
        <v>0</v>
      </c>
      <c r="AB47" s="59"/>
      <c r="AC47" s="59"/>
      <c r="AD47" s="59"/>
      <c r="AE47" s="59"/>
      <c r="AF47" s="59"/>
      <c r="AG47" s="59"/>
      <c r="AH47" s="59"/>
      <c r="AI47" s="59"/>
    </row>
    <row r="48" spans="1:35" s="72" customFormat="1" ht="13" x14ac:dyDescent="0.35">
      <c r="A48" s="13" t="str">
        <f>T8</f>
        <v>36a</v>
      </c>
      <c r="B48" s="15">
        <v>30</v>
      </c>
      <c r="C48" s="77">
        <f t="shared" si="6"/>
        <v>87.729299999999995</v>
      </c>
      <c r="D48" s="77">
        <f t="shared" si="7"/>
        <v>46.110269699999996</v>
      </c>
      <c r="E48" s="77">
        <f t="shared" si="8"/>
        <v>11.221213050000001</v>
      </c>
      <c r="F48" s="77">
        <f t="shared" si="9"/>
        <v>33.689399399999992</v>
      </c>
      <c r="G48" s="77">
        <f t="shared" si="10"/>
        <v>0.62498700000000018</v>
      </c>
      <c r="H48" s="77">
        <f t="shared" si="10"/>
        <v>4.3431300000000004</v>
      </c>
      <c r="I48" s="77">
        <f t="shared" si="10"/>
        <v>0.76751100000000017</v>
      </c>
      <c r="J48" s="77">
        <f t="shared" si="10"/>
        <v>2.8215900000000002E-2</v>
      </c>
      <c r="K48" s="77">
        <f t="shared" si="10"/>
        <v>2.6964000000000003E-3</v>
      </c>
      <c r="L48" s="77">
        <f t="shared" si="10"/>
        <v>0.44201699999999999</v>
      </c>
      <c r="M48" s="77">
        <f t="shared" si="10"/>
        <v>0.22726800000000003</v>
      </c>
      <c r="N48" s="77">
        <f t="shared" si="10"/>
        <v>1194.1200000000001</v>
      </c>
      <c r="O48" s="77">
        <f t="shared" si="10"/>
        <v>357.27300000000002</v>
      </c>
      <c r="P48" s="77">
        <f t="shared" si="10"/>
        <v>0</v>
      </c>
      <c r="Q48" s="77">
        <f t="shared" si="11"/>
        <v>93.410999999999987</v>
      </c>
      <c r="R48" s="77">
        <f t="shared" si="12"/>
        <v>0</v>
      </c>
      <c r="S48" s="77">
        <f t="shared" si="12"/>
        <v>0.51039000000000001</v>
      </c>
      <c r="T48" s="77">
        <f t="shared" si="12"/>
        <v>0</v>
      </c>
      <c r="U48" s="77">
        <f t="shared" si="12"/>
        <v>0</v>
      </c>
      <c r="AB48" s="59"/>
      <c r="AC48" s="59"/>
      <c r="AD48" s="59"/>
      <c r="AE48" s="59"/>
      <c r="AF48" s="59"/>
      <c r="AG48" s="59"/>
      <c r="AH48" s="59"/>
      <c r="AI48" s="59"/>
    </row>
    <row r="49" spans="1:35" s="72" customFormat="1" ht="13" x14ac:dyDescent="0.35">
      <c r="A49" s="13">
        <f>U8</f>
        <v>37</v>
      </c>
      <c r="B49" s="15">
        <v>30</v>
      </c>
      <c r="C49" s="77">
        <f t="shared" si="6"/>
        <v>87.729299999999995</v>
      </c>
      <c r="D49" s="77">
        <f t="shared" si="7"/>
        <v>46.110269699999996</v>
      </c>
      <c r="E49" s="77">
        <f t="shared" si="8"/>
        <v>11.221213050000001</v>
      </c>
      <c r="F49" s="77">
        <f t="shared" si="9"/>
        <v>33.689399399999992</v>
      </c>
      <c r="G49" s="77">
        <f t="shared" si="10"/>
        <v>0.62498700000000018</v>
      </c>
      <c r="H49" s="77">
        <f t="shared" si="10"/>
        <v>4.3431300000000004</v>
      </c>
      <c r="I49" s="77">
        <f t="shared" si="10"/>
        <v>0.76751100000000017</v>
      </c>
      <c r="J49" s="77">
        <f t="shared" si="10"/>
        <v>2.8215900000000002E-2</v>
      </c>
      <c r="K49" s="77">
        <f t="shared" si="10"/>
        <v>2.6964000000000003E-3</v>
      </c>
      <c r="L49" s="77">
        <f t="shared" si="10"/>
        <v>0.44201699999999999</v>
      </c>
      <c r="M49" s="77">
        <f t="shared" si="10"/>
        <v>0.22726800000000003</v>
      </c>
      <c r="N49" s="77">
        <f t="shared" si="10"/>
        <v>1194.1200000000001</v>
      </c>
      <c r="O49" s="77">
        <f t="shared" si="10"/>
        <v>357.27300000000002</v>
      </c>
      <c r="P49" s="77">
        <f t="shared" si="10"/>
        <v>0</v>
      </c>
      <c r="Q49" s="77">
        <f t="shared" si="11"/>
        <v>93.410999999999987</v>
      </c>
      <c r="R49" s="77">
        <f t="shared" si="12"/>
        <v>0</v>
      </c>
      <c r="S49" s="77">
        <f t="shared" si="12"/>
        <v>0.51039000000000001</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0</v>
      </c>
      <c r="E57" s="8">
        <f t="shared" si="13"/>
        <v>1294</v>
      </c>
      <c r="F57" s="8">
        <f t="shared" si="13"/>
        <v>2225</v>
      </c>
      <c r="G57" s="8">
        <f t="shared" si="13"/>
        <v>3210</v>
      </c>
      <c r="H57" s="8">
        <f t="shared" si="13"/>
        <v>3732</v>
      </c>
      <c r="I57" s="8">
        <f t="shared" si="13"/>
        <v>0</v>
      </c>
      <c r="J57" s="8">
        <f t="shared" si="13"/>
        <v>5867</v>
      </c>
      <c r="K57" s="8">
        <f t="shared" si="13"/>
        <v>1808</v>
      </c>
      <c r="L57" s="8">
        <f t="shared" si="13"/>
        <v>24</v>
      </c>
      <c r="M57" s="8">
        <f t="shared" si="13"/>
        <v>25</v>
      </c>
      <c r="N57" s="8">
        <f t="shared" si="13"/>
        <v>26</v>
      </c>
      <c r="O57" s="8">
        <f t="shared" si="13"/>
        <v>27</v>
      </c>
      <c r="P57" s="8">
        <f t="shared" si="13"/>
        <v>33</v>
      </c>
      <c r="Q57" s="8">
        <f t="shared" si="13"/>
        <v>34</v>
      </c>
      <c r="R57" s="8">
        <f t="shared" si="13"/>
        <v>35</v>
      </c>
      <c r="S57" s="8" t="str">
        <f t="shared" si="13"/>
        <v>36a</v>
      </c>
      <c r="T57" s="8">
        <f t="shared" si="13"/>
        <v>37</v>
      </c>
      <c r="U57" s="8">
        <f t="shared" si="13"/>
        <v>0</v>
      </c>
    </row>
    <row r="58" spans="1:35" s="19" customFormat="1" ht="13" x14ac:dyDescent="0.35">
      <c r="A58" s="92" t="s">
        <v>136</v>
      </c>
      <c r="B58" s="13" t="e">
        <f>C16&amp;" I "&amp;(VLOOKUP(C14,Table24[],6,FALSE))</f>
        <v>#N/A</v>
      </c>
      <c r="C58" s="13" t="e">
        <f>D16&amp;" I "&amp;(VLOOKUP(D14,Table24[],6,FALSE))</f>
        <v>#N/A</v>
      </c>
      <c r="D58" s="13" t="e">
        <f>E16&amp;" I "&amp;(VLOOKUP(E14,Table24[],6,FALSE))</f>
        <v>#N/A</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e">
        <f>J16&amp;" I "&amp;(VLOOKUP(J14,Table24[],6,FALSE))</f>
        <v>#N/A</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str">
        <f>S16&amp;" I "&amp;(VLOOKUP(S14,Table24[],6,FALSE))</f>
        <v>Medium/Clay I Grass</v>
      </c>
      <c r="S58" s="13" t="str">
        <f>T16&amp;" I "&amp;(VLOOKUP(T14,Table24[],6,FALSE))</f>
        <v>Medium/Clay I Grass</v>
      </c>
      <c r="T58" s="13" t="str">
        <f>U16&amp;" I "&amp;(VLOOKUP(U14,Table24[],6,FALSE))</f>
        <v>Medium/Clay I Grass</v>
      </c>
      <c r="U58" s="13" t="e">
        <f>V16&amp;" I "&amp;(VLOOKUP(V14,Table24[],6,FALSE))</f>
        <v>#N/A</v>
      </c>
    </row>
    <row r="59" spans="1:35" s="19" customFormat="1" ht="13" x14ac:dyDescent="0.3">
      <c r="A59" s="111" t="s">
        <v>132</v>
      </c>
      <c r="B59" s="76" t="e">
        <f>VLOOKUP(C$14,Table24[],5,FALSE)</f>
        <v>#N/A</v>
      </c>
      <c r="C59" s="76" t="e">
        <f>VLOOKUP(D$14,Table24[],5,FALSE)</f>
        <v>#N/A</v>
      </c>
      <c r="D59" s="76" t="e">
        <f>VLOOKUP(E$14,Table24[],5,FALSE)</f>
        <v>#N/A</v>
      </c>
      <c r="E59" s="76">
        <f>VLOOKUP(F$14,Table24[],5,FALSE)</f>
        <v>6.2</v>
      </c>
      <c r="F59" s="76">
        <f>VLOOKUP(G$14,Table24[],5,FALSE)</f>
        <v>6.2</v>
      </c>
      <c r="G59" s="76">
        <f>VLOOKUP(H$14,Table24[],5,FALSE)</f>
        <v>6.2</v>
      </c>
      <c r="H59" s="76">
        <f>VLOOKUP(I$14,Table24[],5,FALSE)</f>
        <v>6.2</v>
      </c>
      <c r="I59" s="76" t="e">
        <f>VLOOKUP(J$14,Table24[],5,FALSE)</f>
        <v>#N/A</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f>VLOOKUP(R$14,Table24[],5,FALSE)</f>
        <v>6.2</v>
      </c>
      <c r="R59" s="76">
        <f>VLOOKUP(S$14,Table24[],5,FALSE)</f>
        <v>6.2</v>
      </c>
      <c r="S59" s="76">
        <f>VLOOKUP(T$14,Table24[],5,FALSE)</f>
        <v>6.2</v>
      </c>
      <c r="T59" s="76">
        <f>VLOOKUP(U$14,Table24[],5,FALSE)</f>
        <v>6.2</v>
      </c>
      <c r="U59" s="76" t="e">
        <f>VLOOKUP(V$14,Table24[],5,FALSE)</f>
        <v>#N/A</v>
      </c>
    </row>
    <row r="60" spans="1:35" s="19" customFormat="1" ht="13" x14ac:dyDescent="0.3">
      <c r="A60" s="111" t="s">
        <v>4</v>
      </c>
      <c r="B60" s="76">
        <f>C10</f>
        <v>0</v>
      </c>
      <c r="C60" s="76">
        <f t="shared" ref="C60:U60" si="14">D10</f>
        <v>0</v>
      </c>
      <c r="D60" s="76">
        <f t="shared" si="14"/>
        <v>0</v>
      </c>
      <c r="E60" s="76">
        <f t="shared" si="14"/>
        <v>7</v>
      </c>
      <c r="F60" s="76">
        <f t="shared" si="14"/>
        <v>7.6</v>
      </c>
      <c r="G60" s="76">
        <f t="shared" si="14"/>
        <v>7.3</v>
      </c>
      <c r="H60" s="76">
        <f t="shared" si="14"/>
        <v>7.5</v>
      </c>
      <c r="I60" s="76">
        <f t="shared" si="14"/>
        <v>0</v>
      </c>
      <c r="J60" s="76">
        <f t="shared" si="14"/>
        <v>7.9</v>
      </c>
      <c r="K60" s="76">
        <f t="shared" si="14"/>
        <v>6.4</v>
      </c>
      <c r="L60" s="76">
        <f t="shared" si="14"/>
        <v>8.1999999999999993</v>
      </c>
      <c r="M60" s="76">
        <f t="shared" si="14"/>
        <v>8.1999999999999993</v>
      </c>
      <c r="N60" s="76">
        <f t="shared" si="14"/>
        <v>7.6</v>
      </c>
      <c r="O60" s="76">
        <f t="shared" si="14"/>
        <v>7.2</v>
      </c>
      <c r="P60" s="76">
        <f t="shared" si="14"/>
        <v>7.1</v>
      </c>
      <c r="Q60" s="76">
        <f t="shared" si="14"/>
        <v>7.1</v>
      </c>
      <c r="R60" s="76">
        <f t="shared" si="14"/>
        <v>7</v>
      </c>
      <c r="S60" s="76">
        <f t="shared" si="14"/>
        <v>7.9</v>
      </c>
      <c r="T60" s="76">
        <f t="shared" si="14"/>
        <v>8</v>
      </c>
      <c r="U60" s="76">
        <f t="shared" si="14"/>
        <v>0</v>
      </c>
    </row>
    <row r="61" spans="1:35" s="19" customFormat="1" ht="13" x14ac:dyDescent="0.3">
      <c r="A61" s="111" t="s">
        <v>133</v>
      </c>
      <c r="B61" s="76" t="e">
        <f t="shared" ref="B61:U61" si="15">VLOOKUP(B58,$AD9:$AE18,2,FALSE)</f>
        <v>#N/A</v>
      </c>
      <c r="C61" s="76" t="e">
        <f t="shared" si="15"/>
        <v>#N/A</v>
      </c>
      <c r="D61" s="76" t="e">
        <f t="shared" si="15"/>
        <v>#N/A</v>
      </c>
      <c r="E61" s="76">
        <f t="shared" si="15"/>
        <v>6</v>
      </c>
      <c r="F61" s="76">
        <f t="shared" si="15"/>
        <v>6</v>
      </c>
      <c r="G61" s="76">
        <f t="shared" si="15"/>
        <v>6</v>
      </c>
      <c r="H61" s="76">
        <f t="shared" si="15"/>
        <v>6</v>
      </c>
      <c r="I61" s="76" t="e">
        <f t="shared" si="15"/>
        <v>#N/A</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t="e">
        <f t="shared" si="15"/>
        <v>#N/A</v>
      </c>
    </row>
    <row r="62" spans="1:35" s="19" customFormat="1" ht="13" x14ac:dyDescent="0.3">
      <c r="A62" s="111" t="s">
        <v>134</v>
      </c>
      <c r="B62" s="77">
        <f>B31</f>
        <v>0</v>
      </c>
      <c r="C62" s="77">
        <f>B32</f>
        <v>0</v>
      </c>
      <c r="D62" s="77">
        <f>B33</f>
        <v>0</v>
      </c>
      <c r="E62" s="77">
        <f>B34</f>
        <v>30</v>
      </c>
      <c r="F62" s="77">
        <f>B35</f>
        <v>30</v>
      </c>
      <c r="G62" s="77">
        <f>B36</f>
        <v>30</v>
      </c>
      <c r="H62" s="77">
        <f>B37</f>
        <v>30</v>
      </c>
      <c r="I62" s="77">
        <f>B38</f>
        <v>30</v>
      </c>
      <c r="J62" s="77">
        <f>B39</f>
        <v>30</v>
      </c>
      <c r="K62" s="77">
        <f>B40</f>
        <v>30</v>
      </c>
      <c r="L62" s="77">
        <f>B41</f>
        <v>30</v>
      </c>
      <c r="M62" s="77">
        <f>B42</f>
        <v>30</v>
      </c>
      <c r="N62" s="77">
        <f>B43</f>
        <v>30</v>
      </c>
      <c r="O62" s="77">
        <f>B44</f>
        <v>30</v>
      </c>
      <c r="P62" s="77">
        <f>B45</f>
        <v>30</v>
      </c>
      <c r="Q62" s="77">
        <f>B46</f>
        <v>30</v>
      </c>
      <c r="R62" s="77">
        <f>B47</f>
        <v>30</v>
      </c>
      <c r="S62" s="77">
        <f>B48</f>
        <v>30</v>
      </c>
      <c r="T62" s="77">
        <f>B49</f>
        <v>30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f t="shared" si="17"/>
        <v>-4.7999999999999989</v>
      </c>
      <c r="F64" s="77">
        <f t="shared" si="17"/>
        <v>-8.3999999999999968</v>
      </c>
      <c r="G64" s="77">
        <f t="shared" si="17"/>
        <v>-6.5999999999999979</v>
      </c>
      <c r="H64" s="77">
        <f t="shared" si="17"/>
        <v>-7.7999999999999989</v>
      </c>
      <c r="I64" s="77" t="e">
        <f t="shared" si="17"/>
        <v>#N/A</v>
      </c>
      <c r="J64" s="77">
        <f t="shared" si="17"/>
        <v>-10.200000000000001</v>
      </c>
      <c r="K64" s="77">
        <f t="shared" si="17"/>
        <v>-1.2000000000000011</v>
      </c>
      <c r="L64" s="77">
        <f t="shared" si="17"/>
        <v>-11.999999999999995</v>
      </c>
      <c r="M64" s="77">
        <f t="shared" si="17"/>
        <v>-11.999999999999995</v>
      </c>
      <c r="N64" s="77">
        <f t="shared" si="17"/>
        <v>-8.3999999999999968</v>
      </c>
      <c r="O64" s="77">
        <f t="shared" si="17"/>
        <v>-6</v>
      </c>
      <c r="P64" s="77">
        <f t="shared" si="17"/>
        <v>-5.3999999999999968</v>
      </c>
      <c r="Q64" s="77">
        <f t="shared" si="17"/>
        <v>-5.3999999999999968</v>
      </c>
      <c r="R64" s="77">
        <f t="shared" si="17"/>
        <v>-4.7999999999999989</v>
      </c>
      <c r="S64" s="77">
        <f t="shared" si="17"/>
        <v>-10.200000000000001</v>
      </c>
      <c r="T64" s="77">
        <f t="shared" si="17"/>
        <v>-10.799999999999999</v>
      </c>
      <c r="U64" s="77" t="e">
        <f t="shared" si="17"/>
        <v>#N/A</v>
      </c>
    </row>
    <row r="65" spans="1:21" s="19" customFormat="1" ht="52" x14ac:dyDescent="0.3">
      <c r="A65" s="112" t="s">
        <v>157</v>
      </c>
      <c r="B65" s="77" t="e">
        <f>B63-B64</f>
        <v>#N/A</v>
      </c>
      <c r="C65" s="77" t="e">
        <f t="shared" ref="C65:U65" si="18">C63-C64</f>
        <v>#N/A</v>
      </c>
      <c r="D65" s="77" t="e">
        <f t="shared" si="18"/>
        <v>#N/A</v>
      </c>
      <c r="E65" s="77">
        <f t="shared" si="18"/>
        <v>4.7999999999999989</v>
      </c>
      <c r="F65" s="77">
        <f t="shared" si="18"/>
        <v>8.3999999999999968</v>
      </c>
      <c r="G65" s="77">
        <f t="shared" si="18"/>
        <v>6.5999999999999979</v>
      </c>
      <c r="H65" s="77">
        <f t="shared" si="18"/>
        <v>7.7999999999999989</v>
      </c>
      <c r="I65" s="77" t="e">
        <f t="shared" si="18"/>
        <v>#N/A</v>
      </c>
      <c r="J65" s="77">
        <f t="shared" si="18"/>
        <v>10.200000000000001</v>
      </c>
      <c r="K65" s="77">
        <f t="shared" si="18"/>
        <v>1.2000000000000011</v>
      </c>
      <c r="L65" s="77">
        <f t="shared" si="18"/>
        <v>11.999999999999995</v>
      </c>
      <c r="M65" s="77">
        <f t="shared" si="18"/>
        <v>11.999999999999995</v>
      </c>
      <c r="N65" s="77">
        <f t="shared" si="18"/>
        <v>8.3999999999999968</v>
      </c>
      <c r="O65" s="77">
        <f t="shared" si="18"/>
        <v>6</v>
      </c>
      <c r="P65" s="77">
        <f t="shared" si="18"/>
        <v>5.3999999999999968</v>
      </c>
      <c r="Q65" s="77">
        <f t="shared" si="18"/>
        <v>5.3999999999999968</v>
      </c>
      <c r="R65" s="77">
        <f t="shared" si="18"/>
        <v>4.7999999999999989</v>
      </c>
      <c r="S65" s="77">
        <f t="shared" si="18"/>
        <v>10.200000000000001</v>
      </c>
      <c r="T65" s="77">
        <f t="shared" si="18"/>
        <v>10.799999999999999</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str">
        <f t="shared" si="19"/>
        <v>OVER</v>
      </c>
      <c r="F66" s="78" t="str">
        <f t="shared" si="19"/>
        <v>OVER</v>
      </c>
      <c r="G66" s="78" t="str">
        <f t="shared" si="19"/>
        <v>OVER</v>
      </c>
      <c r="H66" s="78" t="str">
        <f t="shared" si="19"/>
        <v>OVER</v>
      </c>
      <c r="I66" s="78" t="e">
        <f t="shared" si="19"/>
        <v>#N/A</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C42" sqref="C4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PAN-018217</v>
      </c>
      <c r="D1" s="141"/>
      <c r="E1" s="93" t="s">
        <v>45</v>
      </c>
      <c r="F1" s="39">
        <f>'Field data and Waste 1'!F1</f>
        <v>44.6</v>
      </c>
      <c r="G1" s="123" t="s">
        <v>43</v>
      </c>
      <c r="H1" s="124"/>
      <c r="I1" s="118"/>
      <c r="J1" s="127" t="s">
        <v>153</v>
      </c>
      <c r="K1" s="127"/>
      <c r="L1" s="97">
        <v>531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t="s">
        <v>167</v>
      </c>
      <c r="G2" s="125" t="s">
        <v>110</v>
      </c>
      <c r="H2" s="126"/>
      <c r="I2" s="118"/>
      <c r="J2" s="127" t="s">
        <v>158</v>
      </c>
      <c r="K2" s="127"/>
      <c r="L2" s="97">
        <v>1.18</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t="s">
        <v>77</v>
      </c>
      <c r="G3" s="127" t="s">
        <v>159</v>
      </c>
      <c r="H3" s="127"/>
      <c r="I3" s="118"/>
      <c r="J3" s="123" t="s">
        <v>154</v>
      </c>
      <c r="K3" s="124"/>
      <c r="L3" s="97">
        <f>(L1/(L2*10000))*100</f>
        <v>4.5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Abergelli Farm, Felindre, Swansea, SA5 7NN</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0</v>
      </c>
      <c r="D8" s="60">
        <f>'Field data and Waste 1'!D8</f>
        <v>0</v>
      </c>
      <c r="E8" s="60">
        <f>'Field data and Waste 1'!E8</f>
        <v>0</v>
      </c>
      <c r="F8" s="60">
        <f>'Field data and Waste 1'!F8</f>
        <v>1294</v>
      </c>
      <c r="G8" s="60">
        <f>'Field data and Waste 1'!G8</f>
        <v>2225</v>
      </c>
      <c r="H8" s="60">
        <f>'Field data and Waste 1'!H8</f>
        <v>3210</v>
      </c>
      <c r="I8" s="60">
        <f>'Field data and Waste 1'!I8</f>
        <v>3732</v>
      </c>
      <c r="J8" s="60">
        <f>'Field data and Waste 1'!J8</f>
        <v>0</v>
      </c>
      <c r="K8" s="60">
        <f>'Field data and Waste 1'!K8</f>
        <v>5867</v>
      </c>
      <c r="L8" s="60">
        <f>'Field data and Waste 1'!L8</f>
        <v>1808</v>
      </c>
      <c r="M8" s="60">
        <f>'Field data and Waste 1'!M8</f>
        <v>24</v>
      </c>
      <c r="N8" s="60">
        <f>'Field data and Waste 1'!N8</f>
        <v>25</v>
      </c>
      <c r="O8" s="60">
        <f>'Field data and Waste 1'!O8</f>
        <v>26</v>
      </c>
      <c r="P8" s="60">
        <f>'Field data and Waste 1'!P8</f>
        <v>27</v>
      </c>
      <c r="Q8" s="60">
        <f>'Field data and Waste 1'!Q8</f>
        <v>33</v>
      </c>
      <c r="R8" s="60">
        <f>'Field data and Waste 1'!R8</f>
        <v>34</v>
      </c>
      <c r="S8" s="60">
        <f>'Field data and Waste 1'!S8</f>
        <v>35</v>
      </c>
      <c r="T8" s="60" t="str">
        <f>'Field data and Waste 1'!T8</f>
        <v>36a</v>
      </c>
      <c r="U8" s="60">
        <f>'Field data and Waste 1'!U8</f>
        <v>37</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0</v>
      </c>
      <c r="D9" s="60">
        <f>'Field data and Waste 1'!D9</f>
        <v>0</v>
      </c>
      <c r="E9" s="60">
        <f>'Field data and Waste 1'!E9</f>
        <v>0</v>
      </c>
      <c r="F9" s="60" t="str">
        <f>'Field data and Waste 1'!F9</f>
        <v>Moderate</v>
      </c>
      <c r="G9" s="60" t="str">
        <f>'Field data and Waste 1'!G9</f>
        <v>Moderate</v>
      </c>
      <c r="H9" s="60" t="str">
        <f>'Field data and Waste 1'!H9</f>
        <v>Moderate</v>
      </c>
      <c r="I9" s="60" t="str">
        <f>'Field data and Waste 1'!I9</f>
        <v>Moderate</v>
      </c>
      <c r="J9" s="60">
        <f>'Field data and Waste 1'!J9</f>
        <v>0</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0</v>
      </c>
      <c r="D10" s="60">
        <f>'Field data and Waste 1'!D10</f>
        <v>0</v>
      </c>
      <c r="E10" s="60">
        <f>'Field data and Waste 1'!E10</f>
        <v>0</v>
      </c>
      <c r="F10" s="60">
        <f>'Field data and Waste 1'!F10</f>
        <v>7</v>
      </c>
      <c r="G10" s="60">
        <f>'Field data and Waste 1'!G10</f>
        <v>7.6</v>
      </c>
      <c r="H10" s="60">
        <f>'Field data and Waste 1'!H10</f>
        <v>7.3</v>
      </c>
      <c r="I10" s="60">
        <f>'Field data and Waste 1'!I10</f>
        <v>7.5</v>
      </c>
      <c r="J10" s="60">
        <f>'Field data and Waste 1'!J10</f>
        <v>0</v>
      </c>
      <c r="K10" s="60">
        <f>'Field data and Waste 1'!K10</f>
        <v>7.9</v>
      </c>
      <c r="L10" s="60">
        <f>'Field data and Waste 1'!L10</f>
        <v>6.4</v>
      </c>
      <c r="M10" s="60">
        <f>'Field data and Waste 1'!M10</f>
        <v>8.1999999999999993</v>
      </c>
      <c r="N10" s="60">
        <f>'Field data and Waste 1'!N10</f>
        <v>8.1999999999999993</v>
      </c>
      <c r="O10" s="60">
        <f>'Field data and Waste 1'!O10</f>
        <v>7.6</v>
      </c>
      <c r="P10" s="60">
        <f>'Field data and Waste 1'!P10</f>
        <v>7.2</v>
      </c>
      <c r="Q10" s="60">
        <f>'Field data and Waste 1'!Q10</f>
        <v>7.1</v>
      </c>
      <c r="R10" s="60">
        <f>'Field data and Waste 1'!R10</f>
        <v>7.1</v>
      </c>
      <c r="S10" s="60">
        <f>'Field data and Waste 1'!S10</f>
        <v>7</v>
      </c>
      <c r="T10" s="60">
        <f>'Field data and Waste 1'!T10</f>
        <v>7.9</v>
      </c>
      <c r="U10" s="60">
        <f>'Field data and Waste 1'!U10</f>
        <v>8</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2</v>
      </c>
      <c r="M11" s="60">
        <f>'Field data and Waste 1'!M11</f>
        <v>0</v>
      </c>
      <c r="N11" s="60">
        <f>'Field data and Waste 1'!N11</f>
        <v>0</v>
      </c>
      <c r="O11" s="60">
        <f>'Field data and Waste 1'!O11</f>
        <v>1</v>
      </c>
      <c r="P11" s="60">
        <f>'Field data and Waste 1'!P11</f>
        <v>1</v>
      </c>
      <c r="Q11" s="60">
        <f>'Field data and Waste 1'!Q11</f>
        <v>1</v>
      </c>
      <c r="R11" s="60">
        <f>'Field data and Waste 1'!R11</f>
        <v>1</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1</v>
      </c>
      <c r="G12" s="60">
        <f>'Field data and Waste 1'!G12</f>
        <v>1</v>
      </c>
      <c r="H12" s="60">
        <f>'Field data and Waste 1'!H12</f>
        <v>1</v>
      </c>
      <c r="I12" s="60">
        <f>'Field data and Waste 1'!I12</f>
        <v>1</v>
      </c>
      <c r="J12" s="60">
        <f>'Field data and Waste 1'!J12</f>
        <v>0</v>
      </c>
      <c r="K12" s="60">
        <f>'Field data and Waste 1'!K12</f>
        <v>1</v>
      </c>
      <c r="L12" s="60">
        <f>'Field data and Waste 1'!L12</f>
        <v>2</v>
      </c>
      <c r="M12" s="60">
        <f>'Field data and Waste 1'!M12</f>
        <v>1</v>
      </c>
      <c r="N12" s="60">
        <f>'Field data and Waste 1'!N12</f>
        <v>1</v>
      </c>
      <c r="O12" s="60">
        <f>'Field data and Waste 1'!O12</f>
        <v>2</v>
      </c>
      <c r="P12" s="60">
        <f>'Field data and Waste 1'!P12</f>
        <v>1</v>
      </c>
      <c r="Q12" s="60">
        <f>'Field data and Waste 1'!Q12</f>
        <v>1</v>
      </c>
      <c r="R12" s="60">
        <f>'Field data and Waste 1'!R12</f>
        <v>2</v>
      </c>
      <c r="S12" s="60">
        <f>'Field data and Waste 1'!S12</f>
        <v>1</v>
      </c>
      <c r="T12" s="60">
        <f>'Field data and Waste 1'!T12</f>
        <v>1</v>
      </c>
      <c r="U12" s="60">
        <f>'Field data and Waste 1'!U12</f>
        <v>1</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0</v>
      </c>
      <c r="D13" s="60">
        <f>'Field data and Waste 1'!D13</f>
        <v>0</v>
      </c>
      <c r="E13" s="60">
        <f>'Field data and Waste 1'!E13</f>
        <v>0</v>
      </c>
      <c r="F13" s="60">
        <f>'Field data and Waste 1'!F13</f>
        <v>2</v>
      </c>
      <c r="G13" s="60">
        <f>'Field data and Waste 1'!G13</f>
        <v>3</v>
      </c>
      <c r="H13" s="60">
        <f>'Field data and Waste 1'!H13</f>
        <v>2</v>
      </c>
      <c r="I13" s="60">
        <f>'Field data and Waste 1'!I13</f>
        <v>2</v>
      </c>
      <c r="J13" s="60">
        <f>'Field data and Waste 1'!J13</f>
        <v>0</v>
      </c>
      <c r="K13" s="60">
        <f>'Field data and Waste 1'!K13</f>
        <v>3</v>
      </c>
      <c r="L13" s="60">
        <f>'Field data and Waste 1'!L13</f>
        <v>4</v>
      </c>
      <c r="M13" s="60">
        <f>'Field data and Waste 1'!M13</f>
        <v>3</v>
      </c>
      <c r="N13" s="60">
        <f>'Field data and Waste 1'!N13</f>
        <v>4</v>
      </c>
      <c r="O13" s="60">
        <f>'Field data and Waste 1'!O13</f>
        <v>5</v>
      </c>
      <c r="P13" s="60">
        <f>'Field data and Waste 1'!P13</f>
        <v>4</v>
      </c>
      <c r="Q13" s="60">
        <f>'Field data and Waste 1'!Q13</f>
        <v>5</v>
      </c>
      <c r="R13" s="60">
        <f>'Field data and Waste 1'!R13</f>
        <v>6</v>
      </c>
      <c r="S13" s="60">
        <f>'Field data and Waste 1'!S13</f>
        <v>5</v>
      </c>
      <c r="T13" s="60">
        <f>'Field data and Waste 1'!T13</f>
        <v>3</v>
      </c>
      <c r="U13" s="60">
        <f>'Field data and Waste 1'!U13</f>
        <v>3</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f>'Field data and Waste 1'!C14</f>
        <v>0</v>
      </c>
      <c r="D14" s="102">
        <f>'Field data and Waste 1'!D14</f>
        <v>0</v>
      </c>
      <c r="E14" s="102">
        <f>'Field data and Waste 1'!E14</f>
        <v>0</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0</v>
      </c>
      <c r="D15" s="60">
        <f>'Field data and Waste 1'!D15</f>
        <v>0</v>
      </c>
      <c r="E15" s="60">
        <f>'Field data and Waste 1'!E15</f>
        <v>0</v>
      </c>
      <c r="F15" s="60">
        <f>'Field data and Waste 1'!F15</f>
        <v>38</v>
      </c>
      <c r="G15" s="60">
        <f>'Field data and Waste 1'!G15</f>
        <v>38</v>
      </c>
      <c r="H15" s="60">
        <f>'Field data and Waste 1'!H15</f>
        <v>38</v>
      </c>
      <c r="I15" s="60">
        <f>'Field data and Waste 1'!I15</f>
        <v>38</v>
      </c>
      <c r="J15" s="60">
        <f>'Field data and Waste 1'!J15</f>
        <v>0</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t="e">
        <f>(VLOOKUP(C$14,$AI2:$AK26,2,FALSE))*C$15</f>
        <v>#N/A</v>
      </c>
      <c r="D17" s="28" t="e">
        <f t="shared" ref="D17:V17" si="0">(VLOOKUP(D$14,$AI2:$AK26,2,FALSE))*D$15</f>
        <v>#N/A</v>
      </c>
      <c r="E17" s="28" t="e">
        <f t="shared" si="0"/>
        <v>#N/A</v>
      </c>
      <c r="F17" s="28">
        <f t="shared" si="0"/>
        <v>64.599999999999994</v>
      </c>
      <c r="G17" s="28">
        <f t="shared" si="0"/>
        <v>64.599999999999994</v>
      </c>
      <c r="H17" s="28">
        <f t="shared" si="0"/>
        <v>64.599999999999994</v>
      </c>
      <c r="I17" s="28">
        <f t="shared" si="0"/>
        <v>64.599999999999994</v>
      </c>
      <c r="J17" s="28" t="e">
        <f t="shared" si="0"/>
        <v>#N/A</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18.471187499999999</v>
      </c>
      <c r="D18" s="16">
        <f>$D32</f>
        <v>18.471187499999999</v>
      </c>
      <c r="E18" s="16">
        <f>$D33</f>
        <v>18.471187499999999</v>
      </c>
      <c r="F18" s="16">
        <f>$D34</f>
        <v>18.471187499999999</v>
      </c>
      <c r="G18" s="16">
        <f>$D35</f>
        <v>18.471187499999999</v>
      </c>
      <c r="H18" s="16">
        <f>$D36</f>
        <v>18.471187499999999</v>
      </c>
      <c r="I18" s="16">
        <f>$D37</f>
        <v>18.471187499999999</v>
      </c>
      <c r="J18" s="16">
        <f>$D38</f>
        <v>18.471187499999999</v>
      </c>
      <c r="K18" s="16">
        <f>$D39</f>
        <v>18.471187499999999</v>
      </c>
      <c r="L18" s="16">
        <f>$D40</f>
        <v>18.471187499999999</v>
      </c>
      <c r="M18" s="16">
        <f>$D41</f>
        <v>18.471187499999999</v>
      </c>
      <c r="N18" s="16">
        <f>$D42</f>
        <v>18.471187499999999</v>
      </c>
      <c r="O18" s="16">
        <f>$D43</f>
        <v>18.471187499999999</v>
      </c>
      <c r="P18" s="16">
        <f>$D44</f>
        <v>18.471187499999999</v>
      </c>
      <c r="Q18" s="16">
        <f>$D45</f>
        <v>18.471187499999999</v>
      </c>
      <c r="R18" s="16">
        <f>$D46</f>
        <v>18.471187499999999</v>
      </c>
      <c r="S18" s="16">
        <f>$D47</f>
        <v>18.471187499999999</v>
      </c>
      <c r="T18" s="16">
        <f>$D48</f>
        <v>18.471187499999999</v>
      </c>
      <c r="U18" s="16">
        <f>$D49</f>
        <v>18.471187499999999</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t="e">
        <f>C18-C17</f>
        <v>#N/A</v>
      </c>
      <c r="D19" s="16" t="e">
        <f t="shared" ref="D19:V19" si="1">D18-D17</f>
        <v>#N/A</v>
      </c>
      <c r="E19" s="16" t="e">
        <f t="shared" si="1"/>
        <v>#N/A</v>
      </c>
      <c r="F19" s="16">
        <f t="shared" si="1"/>
        <v>-46.128812499999995</v>
      </c>
      <c r="G19" s="16">
        <f t="shared" si="1"/>
        <v>-46.128812499999995</v>
      </c>
      <c r="H19" s="16">
        <f t="shared" si="1"/>
        <v>-46.128812499999995</v>
      </c>
      <c r="I19" s="16">
        <f t="shared" si="1"/>
        <v>-46.128812499999995</v>
      </c>
      <c r="J19" s="16" t="e">
        <f t="shared" si="1"/>
        <v>#N/A</v>
      </c>
      <c r="K19" s="16">
        <f t="shared" si="1"/>
        <v>-46.128812499999995</v>
      </c>
      <c r="L19" s="16">
        <f t="shared" si="1"/>
        <v>-46.128812499999995</v>
      </c>
      <c r="M19" s="16">
        <f t="shared" si="1"/>
        <v>-46.128812499999995</v>
      </c>
      <c r="N19" s="16">
        <f t="shared" si="1"/>
        <v>-46.128812499999995</v>
      </c>
      <c r="O19" s="16">
        <f t="shared" si="1"/>
        <v>-46.128812499999995</v>
      </c>
      <c r="P19" s="16">
        <f t="shared" si="1"/>
        <v>-46.128812499999995</v>
      </c>
      <c r="Q19" s="16">
        <f t="shared" si="1"/>
        <v>-46.128812499999995</v>
      </c>
      <c r="R19" s="16">
        <f t="shared" si="1"/>
        <v>-46.128812499999995</v>
      </c>
      <c r="S19" s="16">
        <f t="shared" si="1"/>
        <v>-46.128812499999995</v>
      </c>
      <c r="T19" s="16">
        <f t="shared" si="1"/>
        <v>-46.128812499999995</v>
      </c>
      <c r="U19" s="16">
        <f t="shared" si="1"/>
        <v>-46.128812499999995</v>
      </c>
      <c r="V19" s="25" t="e">
        <f t="shared" si="1"/>
        <v>#N/A</v>
      </c>
      <c r="AI19" s="48" t="s">
        <v>107</v>
      </c>
      <c r="AJ19" s="49">
        <v>3.2</v>
      </c>
      <c r="AK19" s="50">
        <v>10.5</v>
      </c>
      <c r="AL19" s="51">
        <v>17</v>
      </c>
      <c r="AM19" s="11">
        <v>6.2</v>
      </c>
      <c r="AN19" s="11" t="s">
        <v>112</v>
      </c>
    </row>
    <row r="20" spans="1:40" ht="13.5" thickBot="1" x14ac:dyDescent="0.3">
      <c r="A20" s="129" t="s">
        <v>91</v>
      </c>
      <c r="B20" s="130"/>
      <c r="C20" s="26" t="e">
        <f>IF($B31="","",IF(C$19&gt;=0,"INCREASE","DECREASE"))</f>
        <v>#N/A</v>
      </c>
      <c r="D20" s="26" t="e">
        <f>IF($B32="","",IF(D$19&gt;=0,"INCREASE","DECREASE"))</f>
        <v>#N/A</v>
      </c>
      <c r="E20" s="26" t="e">
        <f>IF($B33="","",IF(E$19&gt;=0,"INCREASE","DECREASE"))</f>
        <v>#N/A</v>
      </c>
      <c r="F20" s="26" t="str">
        <f>IF($B34="","",IF(F$19&gt;=0,"INCREASE","DECREASE"))</f>
        <v>DECREASE</v>
      </c>
      <c r="G20" s="26" t="str">
        <f>IF($B35="","",IF(G$19&gt;=0,"INCREASE","DECREASE"))</f>
        <v>DECREASE</v>
      </c>
      <c r="H20" s="26" t="str">
        <f>IF($B36="","",IF(H$19&gt;=0,"INCREASE","DECREASE"))</f>
        <v>DECREASE</v>
      </c>
      <c r="I20" s="26" t="str">
        <f>IF($B37="","",IF(I$19&gt;=0,"INCREASE","DECREASE"))</f>
        <v>DECREASE</v>
      </c>
      <c r="J20" s="26" t="e">
        <f>IF($B38="","",IF(J$19&gt;=0,"INCREASE","DECREASE"))</f>
        <v>#N/A</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
      </c>
      <c r="AI20" s="48" t="s">
        <v>114</v>
      </c>
      <c r="AJ20" s="49">
        <v>2.1</v>
      </c>
      <c r="AK20" s="50">
        <v>7.2</v>
      </c>
      <c r="AL20" s="51">
        <v>18</v>
      </c>
      <c r="AM20" s="11">
        <v>6.2</v>
      </c>
      <c r="AN20" s="11" t="s">
        <v>112</v>
      </c>
    </row>
    <row r="21" spans="1:40" ht="13" x14ac:dyDescent="0.25">
      <c r="A21" s="133" t="s">
        <v>88</v>
      </c>
      <c r="B21" s="134"/>
      <c r="C21" s="28" t="e">
        <f>(VLOOKUP(C$14,$AI2:$AK26,3,FALSE))*C$15</f>
        <v>#N/A</v>
      </c>
      <c r="D21" s="28" t="e">
        <f t="shared" ref="D21:V21" si="2">(VLOOKUP(D$14,$AI2:$AK26,3,FALSE))*D$15</f>
        <v>#N/A</v>
      </c>
      <c r="E21" s="28" t="e">
        <f t="shared" si="2"/>
        <v>#N/A</v>
      </c>
      <c r="F21" s="28">
        <f t="shared" si="2"/>
        <v>228</v>
      </c>
      <c r="G21" s="28">
        <f t="shared" si="2"/>
        <v>228</v>
      </c>
      <c r="H21" s="28">
        <f t="shared" si="2"/>
        <v>228</v>
      </c>
      <c r="I21" s="28">
        <f t="shared" si="2"/>
        <v>228</v>
      </c>
      <c r="J21" s="28" t="e">
        <f t="shared" si="2"/>
        <v>#N/A</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t="e">
        <f t="shared" si="2"/>
        <v>#N/A</v>
      </c>
      <c r="AI21" s="63" t="s">
        <v>100</v>
      </c>
      <c r="AJ21" s="66">
        <v>11</v>
      </c>
      <c r="AK21" s="65">
        <v>12</v>
      </c>
      <c r="AL21" s="29">
        <v>19</v>
      </c>
      <c r="AM21" s="11">
        <v>6.7</v>
      </c>
      <c r="AN21" s="11" t="s">
        <v>135</v>
      </c>
    </row>
    <row r="22" spans="1:40" ht="13" x14ac:dyDescent="0.25">
      <c r="A22" s="131" t="s">
        <v>89</v>
      </c>
      <c r="B22" s="132"/>
      <c r="C22" s="16">
        <f>$E31</f>
        <v>4.2164456250000004</v>
      </c>
      <c r="D22" s="16">
        <f>$E32</f>
        <v>4.2164456250000004</v>
      </c>
      <c r="E22" s="16">
        <f>$E33</f>
        <v>4.2164456250000004</v>
      </c>
      <c r="F22" s="16">
        <f>$E34</f>
        <v>4.2164456250000004</v>
      </c>
      <c r="G22" s="16">
        <f>$E35</f>
        <v>4.2164456250000004</v>
      </c>
      <c r="H22" s="16">
        <f>$E36</f>
        <v>4.2164456250000004</v>
      </c>
      <c r="I22" s="16">
        <f>$E37</f>
        <v>4.2164456250000004</v>
      </c>
      <c r="J22" s="16">
        <f>$E38</f>
        <v>4.2164456250000004</v>
      </c>
      <c r="K22" s="16">
        <f>$E39</f>
        <v>4.2164456250000004</v>
      </c>
      <c r="L22" s="16">
        <f>$E40</f>
        <v>4.2164456250000004</v>
      </c>
      <c r="M22" s="16">
        <f>$E41</f>
        <v>4.2164456250000004</v>
      </c>
      <c r="N22" s="16">
        <f>$E42</f>
        <v>4.2164456250000004</v>
      </c>
      <c r="O22" s="16">
        <f>$E43</f>
        <v>4.2164456250000004</v>
      </c>
      <c r="P22" s="16">
        <f>$E44</f>
        <v>4.2164456250000004</v>
      </c>
      <c r="Q22" s="16">
        <f>$E45</f>
        <v>4.2164456250000004</v>
      </c>
      <c r="R22" s="16">
        <f>$E46</f>
        <v>4.2164456250000004</v>
      </c>
      <c r="S22" s="16">
        <f>$E47</f>
        <v>4.2164456250000004</v>
      </c>
      <c r="T22" s="16">
        <f>$E48</f>
        <v>4.2164456250000004</v>
      </c>
      <c r="U22" s="16">
        <f>$E49</f>
        <v>4.2164456250000004</v>
      </c>
      <c r="V22" s="16">
        <f>$E50</f>
        <v>0</v>
      </c>
      <c r="AI22" s="63" t="s">
        <v>102</v>
      </c>
      <c r="AJ22" s="64">
        <v>1.2</v>
      </c>
      <c r="AK22" s="65">
        <v>5</v>
      </c>
      <c r="AL22" s="29">
        <v>20</v>
      </c>
      <c r="AM22" s="11">
        <v>6.7</v>
      </c>
      <c r="AN22" s="11" t="s">
        <v>135</v>
      </c>
    </row>
    <row r="23" spans="1:40" ht="13" x14ac:dyDescent="0.25">
      <c r="A23" s="131" t="s">
        <v>92</v>
      </c>
      <c r="B23" s="132"/>
      <c r="C23" s="16" t="e">
        <f>C22-C21</f>
        <v>#N/A</v>
      </c>
      <c r="D23" s="16" t="e">
        <f t="shared" ref="D23:V23" si="3">D22-D21</f>
        <v>#N/A</v>
      </c>
      <c r="E23" s="16" t="e">
        <f t="shared" si="3"/>
        <v>#N/A</v>
      </c>
      <c r="F23" s="16">
        <f t="shared" si="3"/>
        <v>-223.78355437499999</v>
      </c>
      <c r="G23" s="16">
        <f t="shared" si="3"/>
        <v>-223.78355437499999</v>
      </c>
      <c r="H23" s="16">
        <f t="shared" si="3"/>
        <v>-223.78355437499999</v>
      </c>
      <c r="I23" s="16">
        <f t="shared" si="3"/>
        <v>-223.78355437499999</v>
      </c>
      <c r="J23" s="16" t="e">
        <f t="shared" si="3"/>
        <v>#N/A</v>
      </c>
      <c r="K23" s="16">
        <f t="shared" si="3"/>
        <v>-223.78355437499999</v>
      </c>
      <c r="L23" s="16">
        <f t="shared" si="3"/>
        <v>-223.78355437499999</v>
      </c>
      <c r="M23" s="16">
        <f t="shared" si="3"/>
        <v>-223.78355437499999</v>
      </c>
      <c r="N23" s="16">
        <f t="shared" si="3"/>
        <v>-223.78355437499999</v>
      </c>
      <c r="O23" s="16">
        <f t="shared" si="3"/>
        <v>-223.78355437499999</v>
      </c>
      <c r="P23" s="16">
        <f t="shared" si="3"/>
        <v>-223.78355437499999</v>
      </c>
      <c r="Q23" s="16">
        <f t="shared" si="3"/>
        <v>-223.78355437499999</v>
      </c>
      <c r="R23" s="16">
        <f t="shared" si="3"/>
        <v>-223.78355437499999</v>
      </c>
      <c r="S23" s="16">
        <f t="shared" si="3"/>
        <v>-223.78355437499999</v>
      </c>
      <c r="T23" s="16">
        <f t="shared" si="3"/>
        <v>-223.78355437499999</v>
      </c>
      <c r="U23" s="16">
        <f t="shared" si="3"/>
        <v>-223.78355437499999</v>
      </c>
      <c r="V23" s="16" t="e">
        <f t="shared" si="3"/>
        <v>#N/A</v>
      </c>
      <c r="AI23" s="63" t="s">
        <v>98</v>
      </c>
      <c r="AJ23" s="66">
        <v>9</v>
      </c>
      <c r="AK23" s="65">
        <v>10</v>
      </c>
      <c r="AL23" s="29">
        <v>21</v>
      </c>
      <c r="AM23" s="11">
        <v>6.7</v>
      </c>
      <c r="AN23" s="11" t="s">
        <v>135</v>
      </c>
    </row>
    <row r="24" spans="1:40" ht="13.5" thickBot="1" x14ac:dyDescent="0.3">
      <c r="A24" s="129" t="s">
        <v>93</v>
      </c>
      <c r="B24" s="130"/>
      <c r="C24" s="26" t="e">
        <f>IF($B31="","",IF(C$23&gt;=0,"INCREASE","DECREASE"))</f>
        <v>#N/A</v>
      </c>
      <c r="D24" s="26" t="e">
        <f t="shared" ref="D24:V24" si="4">IF($B31="","",IF(D$23&gt;=0,"INCREASE","DECREASE"))</f>
        <v>#N/A</v>
      </c>
      <c r="E24" s="26" t="e">
        <f t="shared" si="4"/>
        <v>#N/A</v>
      </c>
      <c r="F24" s="26" t="str">
        <f t="shared" si="4"/>
        <v>DECREASE</v>
      </c>
      <c r="G24" s="26" t="str">
        <f t="shared" si="4"/>
        <v>DECREASE</v>
      </c>
      <c r="H24" s="26" t="str">
        <f t="shared" si="4"/>
        <v>DECREASE</v>
      </c>
      <c r="I24" s="26" t="str">
        <f t="shared" si="4"/>
        <v>DECREASE</v>
      </c>
      <c r="J24" s="26" t="e">
        <f t="shared" si="4"/>
        <v>#N/A</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2.15</v>
      </c>
      <c r="C28" s="15">
        <v>1.18</v>
      </c>
      <c r="D28" s="15">
        <v>0.15</v>
      </c>
      <c r="E28" s="15">
        <v>6.5100000000000005E-2</v>
      </c>
      <c r="F28" s="15">
        <v>1160</v>
      </c>
      <c r="G28" s="15">
        <v>53.7</v>
      </c>
      <c r="H28" s="15">
        <v>344</v>
      </c>
      <c r="I28" s="15">
        <v>17</v>
      </c>
      <c r="J28" s="15">
        <v>1.31</v>
      </c>
      <c r="K28" s="23">
        <v>0.94</v>
      </c>
      <c r="L28" s="15">
        <v>17</v>
      </c>
      <c r="M28" s="15">
        <v>7.38</v>
      </c>
      <c r="N28" s="15">
        <v>183000</v>
      </c>
      <c r="O28" s="15">
        <v>22800</v>
      </c>
      <c r="P28" s="15"/>
      <c r="Q28" s="15">
        <v>6020</v>
      </c>
      <c r="R28" s="15"/>
      <c r="S28" s="15">
        <v>42.4</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v>250</v>
      </c>
      <c r="C31" s="77">
        <f>IF(C$27="%w/w SAR",((C$28*10)*$B31),IF(C$27="%w/w DM",(((C$28*10)*($B$28/100))*$B31),IF(C$27="kg/t SAR",(C$28*$B31),IF(C$27="kg/t DM",((C$28*($B$28/100))*$B31),IF(C$27="mg/kg SAR",((C$28*0.001)*$B31),IF(C$27="mg/kg DM",(((C$28*0.001)*($B$28/100))*$B31),0))))))</f>
        <v>63.424999999999997</v>
      </c>
      <c r="D31" s="77">
        <f>(IF(D$27="%w/w SAR",((D$28*10)*$B31),IF(D$27="%w/w DM",(((D$28*10)*($B$28/100))*$B31),IF(D$27="kg/t SAR",(D$28*$B31),IF(D$27="kg/t DM",((D$28*($B$28/100))*$B31),IF(D$27="mg/kg SAR",((D$28*0.001)*$B31),IF(D$27="mg/kg DM",(((D$28*0.001)*($B$28/100))*$B31),"0")))))))*2.291</f>
        <v>18.471187499999999</v>
      </c>
      <c r="E31" s="77">
        <f>(IF(E$27="%w/w SAR",((E$28*10)*$B31),IF(E$27="%w/w DM",(((E$28*10)*($B$28/100))*$B31),IF(E$27="kg/t SAR",(E$28*$B31),IF(E$27="kg/t DM",((E$28*($B$28/100))*$B31),IF(E$27="mg/kg SAR",((E$28*0.001)*$B31),IF(E$27="mg/kg DM",(((E$28*0.001)*($B$28/100))*$B31),"0")))))))*1.205</f>
        <v>4.2164456250000004</v>
      </c>
      <c r="F31" s="77">
        <f>(IF(F$27="%w/w SAR",((F$28*10)*$B31),IF(F$27="%w/w DM",(((F$28*10)*($B$28/100))*$B31),IF(F$27="kg/t SAR",(F$28*$B31),IF(F$27="kg/t DM",((F$28*($B$28/100))*$B31),IF(F$27="mg/kg SAR",((F$28*0.001)*$B31),IF(F$27="mg/kg DM",(((F$28*0.001)*($B$28/100))*$B31),"0")))))))*1.658</f>
        <v>10.337629999999999</v>
      </c>
      <c r="G31" s="77">
        <f t="shared" ref="G31:P46" si="5">IF(G$27="%w/w SAR",((G$28*10)*$B31),IF(G$27="%w/w DM",(((G$28*10)*($B$28/100))*$B31),IF(G$27="kg/t SAR",(G$28*$B31),IF(G$27="kg/t DM",((G$28*($B$28/100))*$B31),IF(G$27="mg/kg SAR",((G$28*0.001)*$B31),IF(G$27="mg/kg DM",(((G$28*0.001)*($B$28/100))*$B31),0))))))</f>
        <v>0.28863749999999999</v>
      </c>
      <c r="H31" s="77">
        <f t="shared" si="5"/>
        <v>1.849</v>
      </c>
      <c r="I31" s="77">
        <f t="shared" si="5"/>
        <v>9.1374999999999998E-2</v>
      </c>
      <c r="J31" s="77">
        <f t="shared" si="5"/>
        <v>7.0412500000000006E-3</v>
      </c>
      <c r="K31" s="77">
        <f t="shared" si="5"/>
        <v>5.0524999999999997E-3</v>
      </c>
      <c r="L31" s="77">
        <f t="shared" si="5"/>
        <v>9.1374999999999998E-2</v>
      </c>
      <c r="M31" s="77">
        <f t="shared" si="5"/>
        <v>3.9667500000000001E-2</v>
      </c>
      <c r="N31" s="77">
        <f t="shared" si="5"/>
        <v>983.625</v>
      </c>
      <c r="O31" s="77">
        <f t="shared" si="5"/>
        <v>122.55</v>
      </c>
      <c r="P31" s="77">
        <f t="shared" si="5"/>
        <v>0</v>
      </c>
      <c r="Q31" s="77">
        <f>(IF(Q$27="%w/w SAR",((Q$28*10)*$B31),IF(Q$27="%w/w DM",(((Q$28*10)*($B$28/100))*$B31),IF(Q$27="kg/t SAR",(Q$28*$B31),IF(Q$27="kg/t DM",((Q$28*($B$28/100))*$B31),IF(Q$27="mg/kg SAR",((Q$28*0.001)*$B31),IF(Q$27="mg/kg DM",(((Q$28*0.001)*($B$28/100))*$B31),0)))))))*2.5</f>
        <v>80.893749999999983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0.22789999999999999</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v>250</v>
      </c>
      <c r="C32" s="77">
        <f t="shared" ref="C32:C50" si="6">IF(C$27="%w/w SAR",((C$28*10)*$B32),IF(C$27="%w/w DM",(((C$28*10)*($B$28/100))*$B32),IF(C$27="kg/t SAR",(C$28*$B32),IF(C$27="kg/t DM",((C$28*($B$28/100))*$B32),IF(C$27="mg/kg SAR",((C$28*0.001)*$B32),IF(C$27="mg/kg DM",(((C$28*0.001)*($B$28/100))*$B32),0))))))</f>
        <v>63.424999999999997</v>
      </c>
      <c r="D32" s="77">
        <f t="shared" ref="D32:D50" si="7">(IF(D$27="%w/w SAR",((D$28*10)*$B32),IF(D$27="%w/w DM",(((D$28*10)*($B$28/100))*$B32),IF(D$27="kg/t SAR",(D$28*$B32),IF(D$27="kg/t DM",((D$28*($B$28/100))*$B32),IF(D$27="mg/kg SAR",((D$28*0.001)*$B32),IF(D$27="mg/kg DM",(((D$28*0.001)*($B$28/100))*$B32),"0")))))))*2.291</f>
        <v>18.471187499999999</v>
      </c>
      <c r="E32" s="77">
        <f t="shared" ref="E32:E50" si="8">(IF(E$27="%w/w SAR",((E$28*10)*$B32),IF(E$27="%w/w DM",(((E$28*10)*($B$28/100))*$B32),IF(E$27="kg/t SAR",(E$28*$B32),IF(E$27="kg/t DM",((E$28*($B$28/100))*$B32),IF(E$27="mg/kg SAR",((E$28*0.001)*$B32),IF(E$27="mg/kg DM",(((E$28*0.001)*($B$28/100))*$B32),"0")))))))*1.205</f>
        <v>4.2164456250000004</v>
      </c>
      <c r="F32" s="77">
        <f t="shared" ref="F32:F50" si="9">(IF(F$27="%w/w SAR",((F$28*10)*$B32),IF(F$27="%w/w DM",(((F$28*10)*($B$28/100))*$B32),IF(F$27="kg/t SAR",(F$28*$B32),IF(F$27="kg/t DM",((F$28*($B$28/100))*$B32),IF(F$27="mg/kg SAR",((F$28*0.001)*$B32),IF(F$27="mg/kg DM",(((F$28*0.001)*($B$28/100))*$B32),"0")))))))*1.658</f>
        <v>10.337629999999999</v>
      </c>
      <c r="G32" s="77">
        <f t="shared" si="5"/>
        <v>0.28863749999999999</v>
      </c>
      <c r="H32" s="77">
        <f t="shared" si="5"/>
        <v>1.849</v>
      </c>
      <c r="I32" s="77">
        <f t="shared" si="5"/>
        <v>9.1374999999999998E-2</v>
      </c>
      <c r="J32" s="77">
        <f t="shared" si="5"/>
        <v>7.0412500000000006E-3</v>
      </c>
      <c r="K32" s="77">
        <f t="shared" si="5"/>
        <v>5.0524999999999997E-3</v>
      </c>
      <c r="L32" s="77">
        <f t="shared" si="5"/>
        <v>9.1374999999999998E-2</v>
      </c>
      <c r="M32" s="77">
        <f t="shared" si="5"/>
        <v>3.9667500000000001E-2</v>
      </c>
      <c r="N32" s="77">
        <f t="shared" si="5"/>
        <v>983.625</v>
      </c>
      <c r="O32" s="77">
        <f t="shared" si="5"/>
        <v>122.55</v>
      </c>
      <c r="P32" s="77">
        <f t="shared" si="5"/>
        <v>0</v>
      </c>
      <c r="Q32" s="77">
        <f t="shared" ref="Q32:Q50" si="10">(IF(Q$27="%w/w SAR",((Q$28*10)*$B32),IF(Q$27="%w/w DM",(((Q$28*10)*($B$28/100))*$B32),IF(Q$27="kg/t SAR",(Q$28*$B32),IF(Q$27="kg/t DM",((Q$28*($B$28/100))*$B32),IF(Q$27="mg/kg SAR",((Q$28*0.001)*$B32),IF(Q$27="mg/kg DM",(((Q$28*0.001)*($B$28/100))*$B32),0)))))))*2.5</f>
        <v>80.893749999999983</v>
      </c>
      <c r="R32" s="77">
        <f t="shared" ref="R32:U50" si="11">IF(R$27="%w/w SAR",((R$28*10)*$B32),IF(R$27="%w/w DM",(((R$28*10)*($B$28/100))*$B32),IF(R$27="kg/t SAR",(R$28*$B32),IF(R$27="kg/t DM",((R$28*($B$28/100))*$B32),IF(R$27="mg/kg SAR",((R$28*0.001)*$B32),IF(R$27="mg/kg DM",(((R$28*0.001)*($B$28/100))*$B32),0))))))</f>
        <v>0</v>
      </c>
      <c r="S32" s="77">
        <f t="shared" si="11"/>
        <v>0.22789999999999999</v>
      </c>
      <c r="T32" s="77">
        <f t="shared" si="11"/>
        <v>0</v>
      </c>
      <c r="U32" s="77">
        <f t="shared" si="11"/>
        <v>0</v>
      </c>
      <c r="AB32" s="59"/>
      <c r="AC32" s="59"/>
      <c r="AD32" s="59"/>
      <c r="AE32" s="59"/>
      <c r="AF32" s="59"/>
      <c r="AG32" s="59"/>
      <c r="AH32" s="59"/>
      <c r="AI32" s="59"/>
    </row>
    <row r="33" spans="1:35" s="72" customFormat="1" ht="13" x14ac:dyDescent="0.35">
      <c r="A33" s="13">
        <f>E8</f>
        <v>0</v>
      </c>
      <c r="B33" s="15">
        <v>250</v>
      </c>
      <c r="C33" s="77">
        <f t="shared" si="6"/>
        <v>63.424999999999997</v>
      </c>
      <c r="D33" s="77">
        <f t="shared" si="7"/>
        <v>18.471187499999999</v>
      </c>
      <c r="E33" s="77">
        <f t="shared" si="8"/>
        <v>4.2164456250000004</v>
      </c>
      <c r="F33" s="77">
        <f t="shared" si="9"/>
        <v>10.337629999999999</v>
      </c>
      <c r="G33" s="77">
        <f t="shared" si="5"/>
        <v>0.28863749999999999</v>
      </c>
      <c r="H33" s="77">
        <f t="shared" si="5"/>
        <v>1.849</v>
      </c>
      <c r="I33" s="77">
        <f t="shared" si="5"/>
        <v>9.1374999999999998E-2</v>
      </c>
      <c r="J33" s="77">
        <f t="shared" si="5"/>
        <v>7.0412500000000006E-3</v>
      </c>
      <c r="K33" s="77">
        <f t="shared" si="5"/>
        <v>5.0524999999999997E-3</v>
      </c>
      <c r="L33" s="77">
        <f t="shared" si="5"/>
        <v>9.1374999999999998E-2</v>
      </c>
      <c r="M33" s="77">
        <f t="shared" si="5"/>
        <v>3.9667500000000001E-2</v>
      </c>
      <c r="N33" s="77">
        <f t="shared" si="5"/>
        <v>983.625</v>
      </c>
      <c r="O33" s="77">
        <f t="shared" si="5"/>
        <v>122.55</v>
      </c>
      <c r="P33" s="77">
        <f t="shared" si="5"/>
        <v>0</v>
      </c>
      <c r="Q33" s="77">
        <f t="shared" si="10"/>
        <v>80.893749999999983</v>
      </c>
      <c r="R33" s="77">
        <f t="shared" si="11"/>
        <v>0</v>
      </c>
      <c r="S33" s="77">
        <f t="shared" si="11"/>
        <v>0.22789999999999999</v>
      </c>
      <c r="T33" s="77">
        <f t="shared" si="11"/>
        <v>0</v>
      </c>
      <c r="U33" s="77">
        <f t="shared" si="11"/>
        <v>0</v>
      </c>
      <c r="AB33" s="59"/>
      <c r="AC33" s="59"/>
      <c r="AD33" s="59"/>
      <c r="AE33" s="59"/>
      <c r="AF33" s="59"/>
      <c r="AG33" s="59"/>
      <c r="AH33" s="59"/>
      <c r="AI33" s="59"/>
    </row>
    <row r="34" spans="1:35" s="72" customFormat="1" ht="13" x14ac:dyDescent="0.35">
      <c r="A34" s="13">
        <f>F8</f>
        <v>1294</v>
      </c>
      <c r="B34" s="15">
        <v>250</v>
      </c>
      <c r="C34" s="77">
        <f t="shared" si="6"/>
        <v>63.424999999999997</v>
      </c>
      <c r="D34" s="77">
        <f t="shared" si="7"/>
        <v>18.471187499999999</v>
      </c>
      <c r="E34" s="77">
        <f t="shared" si="8"/>
        <v>4.2164456250000004</v>
      </c>
      <c r="F34" s="77">
        <f t="shared" si="9"/>
        <v>10.337629999999999</v>
      </c>
      <c r="G34" s="77">
        <f t="shared" si="5"/>
        <v>0.28863749999999999</v>
      </c>
      <c r="H34" s="77">
        <f t="shared" si="5"/>
        <v>1.849</v>
      </c>
      <c r="I34" s="77">
        <f t="shared" si="5"/>
        <v>9.1374999999999998E-2</v>
      </c>
      <c r="J34" s="77">
        <f t="shared" si="5"/>
        <v>7.0412500000000006E-3</v>
      </c>
      <c r="K34" s="77">
        <f t="shared" si="5"/>
        <v>5.0524999999999997E-3</v>
      </c>
      <c r="L34" s="77">
        <f t="shared" si="5"/>
        <v>9.1374999999999998E-2</v>
      </c>
      <c r="M34" s="77">
        <f t="shared" si="5"/>
        <v>3.9667500000000001E-2</v>
      </c>
      <c r="N34" s="77">
        <f t="shared" si="5"/>
        <v>983.625</v>
      </c>
      <c r="O34" s="77">
        <f t="shared" si="5"/>
        <v>122.55</v>
      </c>
      <c r="P34" s="77">
        <f t="shared" si="5"/>
        <v>0</v>
      </c>
      <c r="Q34" s="77">
        <f t="shared" si="10"/>
        <v>80.893749999999983</v>
      </c>
      <c r="R34" s="77">
        <f t="shared" si="11"/>
        <v>0</v>
      </c>
      <c r="S34" s="77">
        <f t="shared" si="11"/>
        <v>0.22789999999999999</v>
      </c>
      <c r="T34" s="77">
        <f t="shared" si="11"/>
        <v>0</v>
      </c>
      <c r="U34" s="77">
        <f t="shared" si="11"/>
        <v>0</v>
      </c>
      <c r="AB34" s="59"/>
      <c r="AC34" s="59"/>
      <c r="AD34" s="59"/>
      <c r="AE34" s="59"/>
      <c r="AF34" s="59"/>
      <c r="AG34" s="59"/>
      <c r="AH34" s="59"/>
      <c r="AI34" s="59"/>
    </row>
    <row r="35" spans="1:35" s="72" customFormat="1" ht="13" x14ac:dyDescent="0.35">
      <c r="A35" s="13">
        <f>G8</f>
        <v>2225</v>
      </c>
      <c r="B35" s="15">
        <v>250</v>
      </c>
      <c r="C35" s="77">
        <f t="shared" si="6"/>
        <v>63.424999999999997</v>
      </c>
      <c r="D35" s="77">
        <f t="shared" si="7"/>
        <v>18.471187499999999</v>
      </c>
      <c r="E35" s="77">
        <f t="shared" si="8"/>
        <v>4.2164456250000004</v>
      </c>
      <c r="F35" s="77">
        <f t="shared" si="9"/>
        <v>10.337629999999999</v>
      </c>
      <c r="G35" s="77">
        <f t="shared" si="5"/>
        <v>0.28863749999999999</v>
      </c>
      <c r="H35" s="77">
        <f t="shared" si="5"/>
        <v>1.849</v>
      </c>
      <c r="I35" s="77">
        <f t="shared" si="5"/>
        <v>9.1374999999999998E-2</v>
      </c>
      <c r="J35" s="77">
        <f t="shared" si="5"/>
        <v>7.0412500000000006E-3</v>
      </c>
      <c r="K35" s="77">
        <f t="shared" si="5"/>
        <v>5.0524999999999997E-3</v>
      </c>
      <c r="L35" s="77">
        <f t="shared" si="5"/>
        <v>9.1374999999999998E-2</v>
      </c>
      <c r="M35" s="77">
        <f t="shared" si="5"/>
        <v>3.9667500000000001E-2</v>
      </c>
      <c r="N35" s="77">
        <f t="shared" si="5"/>
        <v>983.625</v>
      </c>
      <c r="O35" s="77">
        <f t="shared" si="5"/>
        <v>122.55</v>
      </c>
      <c r="P35" s="77">
        <f t="shared" si="5"/>
        <v>0</v>
      </c>
      <c r="Q35" s="77">
        <f t="shared" si="10"/>
        <v>80.893749999999983</v>
      </c>
      <c r="R35" s="77">
        <f t="shared" si="11"/>
        <v>0</v>
      </c>
      <c r="S35" s="77">
        <f t="shared" si="11"/>
        <v>0.22789999999999999</v>
      </c>
      <c r="T35" s="77">
        <f t="shared" si="11"/>
        <v>0</v>
      </c>
      <c r="U35" s="77">
        <f t="shared" si="11"/>
        <v>0</v>
      </c>
      <c r="AB35" s="59"/>
      <c r="AC35" s="59"/>
      <c r="AD35" s="59"/>
      <c r="AE35" s="59"/>
      <c r="AF35" s="59"/>
      <c r="AG35" s="59"/>
      <c r="AH35" s="59"/>
      <c r="AI35" s="59"/>
    </row>
    <row r="36" spans="1:35" s="72" customFormat="1" ht="13" x14ac:dyDescent="0.35">
      <c r="A36" s="13">
        <f>H8</f>
        <v>3210</v>
      </c>
      <c r="B36" s="15">
        <v>250</v>
      </c>
      <c r="C36" s="77">
        <f t="shared" si="6"/>
        <v>63.424999999999997</v>
      </c>
      <c r="D36" s="77">
        <f t="shared" si="7"/>
        <v>18.471187499999999</v>
      </c>
      <c r="E36" s="77">
        <f t="shared" si="8"/>
        <v>4.2164456250000004</v>
      </c>
      <c r="F36" s="77">
        <f t="shared" si="9"/>
        <v>10.337629999999999</v>
      </c>
      <c r="G36" s="77">
        <f t="shared" si="5"/>
        <v>0.28863749999999999</v>
      </c>
      <c r="H36" s="77">
        <f t="shared" si="5"/>
        <v>1.849</v>
      </c>
      <c r="I36" s="77">
        <f t="shared" si="5"/>
        <v>9.1374999999999998E-2</v>
      </c>
      <c r="J36" s="77">
        <f t="shared" si="5"/>
        <v>7.0412500000000006E-3</v>
      </c>
      <c r="K36" s="77">
        <f t="shared" si="5"/>
        <v>5.0524999999999997E-3</v>
      </c>
      <c r="L36" s="77">
        <f t="shared" si="5"/>
        <v>9.1374999999999998E-2</v>
      </c>
      <c r="M36" s="77">
        <f t="shared" si="5"/>
        <v>3.9667500000000001E-2</v>
      </c>
      <c r="N36" s="77">
        <f t="shared" si="5"/>
        <v>983.625</v>
      </c>
      <c r="O36" s="77">
        <f t="shared" si="5"/>
        <v>122.55</v>
      </c>
      <c r="P36" s="77">
        <f t="shared" si="5"/>
        <v>0</v>
      </c>
      <c r="Q36" s="77">
        <f t="shared" si="10"/>
        <v>80.893749999999983</v>
      </c>
      <c r="R36" s="77">
        <f t="shared" si="11"/>
        <v>0</v>
      </c>
      <c r="S36" s="77">
        <f t="shared" si="11"/>
        <v>0.22789999999999999</v>
      </c>
      <c r="T36" s="77">
        <f t="shared" si="11"/>
        <v>0</v>
      </c>
      <c r="U36" s="77">
        <f t="shared" si="11"/>
        <v>0</v>
      </c>
      <c r="AB36" s="59"/>
      <c r="AC36" s="59"/>
      <c r="AD36" s="59"/>
      <c r="AE36" s="59"/>
      <c r="AF36" s="59"/>
      <c r="AG36" s="59"/>
      <c r="AH36" s="59"/>
      <c r="AI36" s="59"/>
    </row>
    <row r="37" spans="1:35" s="72" customFormat="1" ht="13" x14ac:dyDescent="0.35">
      <c r="A37" s="13">
        <f>I8</f>
        <v>3732</v>
      </c>
      <c r="B37" s="15">
        <v>250</v>
      </c>
      <c r="C37" s="77">
        <f t="shared" si="6"/>
        <v>63.424999999999997</v>
      </c>
      <c r="D37" s="77">
        <f t="shared" si="7"/>
        <v>18.471187499999999</v>
      </c>
      <c r="E37" s="77">
        <f t="shared" si="8"/>
        <v>4.2164456250000004</v>
      </c>
      <c r="F37" s="77">
        <f t="shared" si="9"/>
        <v>10.337629999999999</v>
      </c>
      <c r="G37" s="77">
        <f t="shared" si="5"/>
        <v>0.28863749999999999</v>
      </c>
      <c r="H37" s="77">
        <f t="shared" si="5"/>
        <v>1.849</v>
      </c>
      <c r="I37" s="77">
        <f t="shared" si="5"/>
        <v>9.1374999999999998E-2</v>
      </c>
      <c r="J37" s="77">
        <f t="shared" si="5"/>
        <v>7.0412500000000006E-3</v>
      </c>
      <c r="K37" s="77">
        <f t="shared" si="5"/>
        <v>5.0524999999999997E-3</v>
      </c>
      <c r="L37" s="77">
        <f t="shared" si="5"/>
        <v>9.1374999999999998E-2</v>
      </c>
      <c r="M37" s="77">
        <f t="shared" si="5"/>
        <v>3.9667500000000001E-2</v>
      </c>
      <c r="N37" s="77">
        <f t="shared" si="5"/>
        <v>983.625</v>
      </c>
      <c r="O37" s="77">
        <f t="shared" si="5"/>
        <v>122.55</v>
      </c>
      <c r="P37" s="77">
        <f t="shared" si="5"/>
        <v>0</v>
      </c>
      <c r="Q37" s="77">
        <f t="shared" si="10"/>
        <v>80.893749999999983</v>
      </c>
      <c r="R37" s="77">
        <f t="shared" si="11"/>
        <v>0</v>
      </c>
      <c r="S37" s="77">
        <f t="shared" si="11"/>
        <v>0.22789999999999999</v>
      </c>
      <c r="T37" s="77">
        <f t="shared" si="11"/>
        <v>0</v>
      </c>
      <c r="U37" s="77">
        <f t="shared" si="11"/>
        <v>0</v>
      </c>
      <c r="AB37" s="59"/>
      <c r="AC37" s="59"/>
      <c r="AD37" s="59"/>
      <c r="AE37" s="59"/>
      <c r="AF37" s="59"/>
      <c r="AG37" s="59"/>
      <c r="AH37" s="59"/>
      <c r="AI37" s="59"/>
    </row>
    <row r="38" spans="1:35" s="72" customFormat="1" ht="13" x14ac:dyDescent="0.35">
      <c r="A38" s="13">
        <f>J8</f>
        <v>0</v>
      </c>
      <c r="B38" s="15">
        <v>250</v>
      </c>
      <c r="C38" s="77">
        <f t="shared" si="6"/>
        <v>63.424999999999997</v>
      </c>
      <c r="D38" s="77">
        <f t="shared" si="7"/>
        <v>18.471187499999999</v>
      </c>
      <c r="E38" s="77">
        <f t="shared" si="8"/>
        <v>4.2164456250000004</v>
      </c>
      <c r="F38" s="77">
        <f t="shared" si="9"/>
        <v>10.337629999999999</v>
      </c>
      <c r="G38" s="77">
        <f t="shared" si="5"/>
        <v>0.28863749999999999</v>
      </c>
      <c r="H38" s="77">
        <f t="shared" si="5"/>
        <v>1.849</v>
      </c>
      <c r="I38" s="77">
        <f t="shared" si="5"/>
        <v>9.1374999999999998E-2</v>
      </c>
      <c r="J38" s="77">
        <f t="shared" si="5"/>
        <v>7.0412500000000006E-3</v>
      </c>
      <c r="K38" s="77">
        <f t="shared" si="5"/>
        <v>5.0524999999999997E-3</v>
      </c>
      <c r="L38" s="77">
        <f t="shared" si="5"/>
        <v>9.1374999999999998E-2</v>
      </c>
      <c r="M38" s="77">
        <f t="shared" si="5"/>
        <v>3.9667500000000001E-2</v>
      </c>
      <c r="N38" s="77">
        <f t="shared" si="5"/>
        <v>983.625</v>
      </c>
      <c r="O38" s="77">
        <f t="shared" si="5"/>
        <v>122.55</v>
      </c>
      <c r="P38" s="77">
        <f t="shared" si="5"/>
        <v>0</v>
      </c>
      <c r="Q38" s="77">
        <f t="shared" si="10"/>
        <v>80.893749999999983</v>
      </c>
      <c r="R38" s="77">
        <f t="shared" si="11"/>
        <v>0</v>
      </c>
      <c r="S38" s="77">
        <f t="shared" si="11"/>
        <v>0.22789999999999999</v>
      </c>
      <c r="T38" s="77">
        <f t="shared" si="11"/>
        <v>0</v>
      </c>
      <c r="U38" s="77">
        <f t="shared" si="11"/>
        <v>0</v>
      </c>
      <c r="AB38" s="59"/>
      <c r="AC38" s="59"/>
      <c r="AD38" s="59"/>
      <c r="AE38" s="59"/>
      <c r="AF38" s="59"/>
      <c r="AG38" s="59"/>
      <c r="AH38" s="59"/>
      <c r="AI38" s="59"/>
    </row>
    <row r="39" spans="1:35" s="72" customFormat="1" ht="13" x14ac:dyDescent="0.35">
      <c r="A39" s="13">
        <f>K8</f>
        <v>5867</v>
      </c>
      <c r="B39" s="15">
        <v>250</v>
      </c>
      <c r="C39" s="77">
        <f t="shared" si="6"/>
        <v>63.424999999999997</v>
      </c>
      <c r="D39" s="77">
        <f t="shared" si="7"/>
        <v>18.471187499999999</v>
      </c>
      <c r="E39" s="77">
        <f t="shared" si="8"/>
        <v>4.2164456250000004</v>
      </c>
      <c r="F39" s="77">
        <f t="shared" si="9"/>
        <v>10.337629999999999</v>
      </c>
      <c r="G39" s="77">
        <f t="shared" si="5"/>
        <v>0.28863749999999999</v>
      </c>
      <c r="H39" s="77">
        <f t="shared" si="5"/>
        <v>1.849</v>
      </c>
      <c r="I39" s="77">
        <f t="shared" si="5"/>
        <v>9.1374999999999998E-2</v>
      </c>
      <c r="J39" s="77">
        <f t="shared" si="5"/>
        <v>7.0412500000000006E-3</v>
      </c>
      <c r="K39" s="77">
        <f t="shared" si="5"/>
        <v>5.0524999999999997E-3</v>
      </c>
      <c r="L39" s="77">
        <f t="shared" si="5"/>
        <v>9.1374999999999998E-2</v>
      </c>
      <c r="M39" s="77">
        <f t="shared" si="5"/>
        <v>3.9667500000000001E-2</v>
      </c>
      <c r="N39" s="77">
        <f t="shared" si="5"/>
        <v>983.625</v>
      </c>
      <c r="O39" s="77">
        <f t="shared" si="5"/>
        <v>122.55</v>
      </c>
      <c r="P39" s="77">
        <f t="shared" si="5"/>
        <v>0</v>
      </c>
      <c r="Q39" s="77">
        <f t="shared" si="10"/>
        <v>80.893749999999983</v>
      </c>
      <c r="R39" s="77">
        <f t="shared" si="11"/>
        <v>0</v>
      </c>
      <c r="S39" s="77">
        <f t="shared" si="11"/>
        <v>0.22789999999999999</v>
      </c>
      <c r="T39" s="77">
        <f t="shared" si="11"/>
        <v>0</v>
      </c>
      <c r="U39" s="77">
        <f t="shared" si="11"/>
        <v>0</v>
      </c>
      <c r="AB39" s="59"/>
      <c r="AC39" s="59"/>
      <c r="AD39" s="59"/>
      <c r="AE39" s="59"/>
      <c r="AF39" s="59"/>
      <c r="AG39" s="59"/>
      <c r="AH39" s="59"/>
      <c r="AI39" s="59"/>
    </row>
    <row r="40" spans="1:35" s="72" customFormat="1" ht="13" x14ac:dyDescent="0.35">
      <c r="A40" s="13">
        <f>L8</f>
        <v>1808</v>
      </c>
      <c r="B40" s="15">
        <v>250</v>
      </c>
      <c r="C40" s="77">
        <f t="shared" si="6"/>
        <v>63.424999999999997</v>
      </c>
      <c r="D40" s="77">
        <f t="shared" si="7"/>
        <v>18.471187499999999</v>
      </c>
      <c r="E40" s="77">
        <f t="shared" si="8"/>
        <v>4.2164456250000004</v>
      </c>
      <c r="F40" s="77">
        <f t="shared" si="9"/>
        <v>10.337629999999999</v>
      </c>
      <c r="G40" s="77">
        <f t="shared" si="5"/>
        <v>0.28863749999999999</v>
      </c>
      <c r="H40" s="77">
        <f t="shared" si="5"/>
        <v>1.849</v>
      </c>
      <c r="I40" s="77">
        <f t="shared" si="5"/>
        <v>9.1374999999999998E-2</v>
      </c>
      <c r="J40" s="77">
        <f t="shared" si="5"/>
        <v>7.0412500000000006E-3</v>
      </c>
      <c r="K40" s="77">
        <f t="shared" si="5"/>
        <v>5.0524999999999997E-3</v>
      </c>
      <c r="L40" s="77">
        <f t="shared" si="5"/>
        <v>9.1374999999999998E-2</v>
      </c>
      <c r="M40" s="77">
        <f t="shared" si="5"/>
        <v>3.9667500000000001E-2</v>
      </c>
      <c r="N40" s="77">
        <f t="shared" si="5"/>
        <v>983.625</v>
      </c>
      <c r="O40" s="77">
        <f t="shared" si="5"/>
        <v>122.55</v>
      </c>
      <c r="P40" s="77">
        <f t="shared" si="5"/>
        <v>0</v>
      </c>
      <c r="Q40" s="77">
        <f t="shared" si="10"/>
        <v>80.893749999999983</v>
      </c>
      <c r="R40" s="77">
        <f t="shared" si="11"/>
        <v>0</v>
      </c>
      <c r="S40" s="77">
        <f t="shared" si="11"/>
        <v>0.22789999999999999</v>
      </c>
      <c r="T40" s="77">
        <f t="shared" si="11"/>
        <v>0</v>
      </c>
      <c r="U40" s="77">
        <f t="shared" si="11"/>
        <v>0</v>
      </c>
      <c r="AB40" s="59"/>
      <c r="AC40" s="59"/>
      <c r="AD40" s="59"/>
      <c r="AE40" s="59"/>
      <c r="AF40" s="59"/>
      <c r="AG40" s="59"/>
      <c r="AH40" s="59"/>
      <c r="AI40" s="59"/>
    </row>
    <row r="41" spans="1:35" s="72" customFormat="1" ht="13" x14ac:dyDescent="0.35">
      <c r="A41" s="13">
        <f>M8</f>
        <v>24</v>
      </c>
      <c r="B41" s="15">
        <v>250</v>
      </c>
      <c r="C41" s="77">
        <f t="shared" si="6"/>
        <v>63.424999999999997</v>
      </c>
      <c r="D41" s="77">
        <f t="shared" si="7"/>
        <v>18.471187499999999</v>
      </c>
      <c r="E41" s="77">
        <f t="shared" si="8"/>
        <v>4.2164456250000004</v>
      </c>
      <c r="F41" s="77">
        <f t="shared" si="9"/>
        <v>10.337629999999999</v>
      </c>
      <c r="G41" s="77">
        <f t="shared" si="5"/>
        <v>0.28863749999999999</v>
      </c>
      <c r="H41" s="77">
        <f t="shared" si="5"/>
        <v>1.849</v>
      </c>
      <c r="I41" s="77">
        <f t="shared" si="5"/>
        <v>9.1374999999999998E-2</v>
      </c>
      <c r="J41" s="77">
        <f t="shared" si="5"/>
        <v>7.0412500000000006E-3</v>
      </c>
      <c r="K41" s="77">
        <f t="shared" si="5"/>
        <v>5.0524999999999997E-3</v>
      </c>
      <c r="L41" s="77">
        <f t="shared" si="5"/>
        <v>9.1374999999999998E-2</v>
      </c>
      <c r="M41" s="77">
        <f t="shared" si="5"/>
        <v>3.9667500000000001E-2</v>
      </c>
      <c r="N41" s="77">
        <f t="shared" si="5"/>
        <v>983.625</v>
      </c>
      <c r="O41" s="77">
        <f t="shared" si="5"/>
        <v>122.55</v>
      </c>
      <c r="P41" s="77">
        <f t="shared" si="5"/>
        <v>0</v>
      </c>
      <c r="Q41" s="77">
        <f t="shared" si="10"/>
        <v>80.893749999999983</v>
      </c>
      <c r="R41" s="77">
        <f t="shared" si="11"/>
        <v>0</v>
      </c>
      <c r="S41" s="77">
        <f t="shared" si="11"/>
        <v>0.22789999999999999</v>
      </c>
      <c r="T41" s="77">
        <f t="shared" si="11"/>
        <v>0</v>
      </c>
      <c r="U41" s="77">
        <f t="shared" si="11"/>
        <v>0</v>
      </c>
      <c r="AB41" s="59"/>
      <c r="AC41" s="59"/>
      <c r="AD41" s="59"/>
      <c r="AE41" s="59"/>
      <c r="AF41" s="59"/>
      <c r="AG41" s="59"/>
      <c r="AH41" s="59"/>
      <c r="AI41" s="59"/>
    </row>
    <row r="42" spans="1:35" s="72" customFormat="1" ht="13" x14ac:dyDescent="0.35">
      <c r="A42" s="13">
        <f>N8</f>
        <v>25</v>
      </c>
      <c r="B42" s="15">
        <v>250</v>
      </c>
      <c r="C42" s="77">
        <f t="shared" si="6"/>
        <v>63.424999999999997</v>
      </c>
      <c r="D42" s="77">
        <f t="shared" si="7"/>
        <v>18.471187499999999</v>
      </c>
      <c r="E42" s="77">
        <f t="shared" si="8"/>
        <v>4.2164456250000004</v>
      </c>
      <c r="F42" s="77">
        <f t="shared" si="9"/>
        <v>10.337629999999999</v>
      </c>
      <c r="G42" s="77">
        <f t="shared" si="5"/>
        <v>0.28863749999999999</v>
      </c>
      <c r="H42" s="77">
        <f t="shared" si="5"/>
        <v>1.849</v>
      </c>
      <c r="I42" s="77">
        <f t="shared" si="5"/>
        <v>9.1374999999999998E-2</v>
      </c>
      <c r="J42" s="77">
        <f t="shared" si="5"/>
        <v>7.0412500000000006E-3</v>
      </c>
      <c r="K42" s="77">
        <f t="shared" si="5"/>
        <v>5.0524999999999997E-3</v>
      </c>
      <c r="L42" s="77">
        <f t="shared" si="5"/>
        <v>9.1374999999999998E-2</v>
      </c>
      <c r="M42" s="77">
        <f t="shared" si="5"/>
        <v>3.9667500000000001E-2</v>
      </c>
      <c r="N42" s="77">
        <f t="shared" si="5"/>
        <v>983.625</v>
      </c>
      <c r="O42" s="77">
        <f t="shared" si="5"/>
        <v>122.55</v>
      </c>
      <c r="P42" s="77">
        <f t="shared" si="5"/>
        <v>0</v>
      </c>
      <c r="Q42" s="77">
        <f t="shared" si="10"/>
        <v>80.893749999999983</v>
      </c>
      <c r="R42" s="77">
        <f t="shared" si="11"/>
        <v>0</v>
      </c>
      <c r="S42" s="77">
        <f t="shared" si="11"/>
        <v>0.22789999999999999</v>
      </c>
      <c r="T42" s="77">
        <f t="shared" si="11"/>
        <v>0</v>
      </c>
      <c r="U42" s="77">
        <f t="shared" si="11"/>
        <v>0</v>
      </c>
      <c r="AB42" s="59"/>
      <c r="AC42" s="59"/>
      <c r="AD42" s="59"/>
      <c r="AE42" s="59"/>
      <c r="AF42" s="59"/>
      <c r="AG42" s="59"/>
      <c r="AH42" s="59"/>
      <c r="AI42" s="59"/>
    </row>
    <row r="43" spans="1:35" s="72" customFormat="1" ht="13" x14ac:dyDescent="0.35">
      <c r="A43" s="13">
        <f>O8</f>
        <v>26</v>
      </c>
      <c r="B43" s="15">
        <v>250</v>
      </c>
      <c r="C43" s="77">
        <f t="shared" si="6"/>
        <v>63.424999999999997</v>
      </c>
      <c r="D43" s="77">
        <f t="shared" si="7"/>
        <v>18.471187499999999</v>
      </c>
      <c r="E43" s="77">
        <f t="shared" si="8"/>
        <v>4.2164456250000004</v>
      </c>
      <c r="F43" s="77">
        <f t="shared" si="9"/>
        <v>10.337629999999999</v>
      </c>
      <c r="G43" s="77">
        <f t="shared" si="5"/>
        <v>0.28863749999999999</v>
      </c>
      <c r="H43" s="77">
        <f t="shared" si="5"/>
        <v>1.849</v>
      </c>
      <c r="I43" s="77">
        <f t="shared" si="5"/>
        <v>9.1374999999999998E-2</v>
      </c>
      <c r="J43" s="77">
        <f t="shared" si="5"/>
        <v>7.0412500000000006E-3</v>
      </c>
      <c r="K43" s="77">
        <f t="shared" si="5"/>
        <v>5.0524999999999997E-3</v>
      </c>
      <c r="L43" s="77">
        <f t="shared" si="5"/>
        <v>9.1374999999999998E-2</v>
      </c>
      <c r="M43" s="77">
        <f t="shared" si="5"/>
        <v>3.9667500000000001E-2</v>
      </c>
      <c r="N43" s="77">
        <f t="shared" si="5"/>
        <v>983.625</v>
      </c>
      <c r="O43" s="77">
        <f t="shared" si="5"/>
        <v>122.55</v>
      </c>
      <c r="P43" s="77">
        <f t="shared" si="5"/>
        <v>0</v>
      </c>
      <c r="Q43" s="77">
        <f t="shared" si="10"/>
        <v>80.893749999999983</v>
      </c>
      <c r="R43" s="77">
        <f t="shared" si="11"/>
        <v>0</v>
      </c>
      <c r="S43" s="77">
        <f t="shared" si="11"/>
        <v>0.22789999999999999</v>
      </c>
      <c r="T43" s="77">
        <f t="shared" si="11"/>
        <v>0</v>
      </c>
      <c r="U43" s="77">
        <f t="shared" si="11"/>
        <v>0</v>
      </c>
      <c r="AB43" s="59"/>
      <c r="AC43" s="59"/>
      <c r="AD43" s="59"/>
      <c r="AE43" s="59"/>
      <c r="AF43" s="59"/>
      <c r="AG43" s="59"/>
      <c r="AH43" s="59"/>
      <c r="AI43" s="59"/>
    </row>
    <row r="44" spans="1:35" s="72" customFormat="1" ht="13" x14ac:dyDescent="0.35">
      <c r="A44" s="13">
        <f>P8</f>
        <v>27</v>
      </c>
      <c r="B44" s="15">
        <v>250</v>
      </c>
      <c r="C44" s="77">
        <f t="shared" si="6"/>
        <v>63.424999999999997</v>
      </c>
      <c r="D44" s="77">
        <f t="shared" si="7"/>
        <v>18.471187499999999</v>
      </c>
      <c r="E44" s="77">
        <f t="shared" si="8"/>
        <v>4.2164456250000004</v>
      </c>
      <c r="F44" s="77">
        <f t="shared" si="9"/>
        <v>10.337629999999999</v>
      </c>
      <c r="G44" s="77">
        <f t="shared" si="5"/>
        <v>0.28863749999999999</v>
      </c>
      <c r="H44" s="77">
        <f t="shared" si="5"/>
        <v>1.849</v>
      </c>
      <c r="I44" s="77">
        <f t="shared" si="5"/>
        <v>9.1374999999999998E-2</v>
      </c>
      <c r="J44" s="77">
        <f t="shared" si="5"/>
        <v>7.0412500000000006E-3</v>
      </c>
      <c r="K44" s="77">
        <f t="shared" si="5"/>
        <v>5.0524999999999997E-3</v>
      </c>
      <c r="L44" s="77">
        <f t="shared" si="5"/>
        <v>9.1374999999999998E-2</v>
      </c>
      <c r="M44" s="77">
        <f t="shared" si="5"/>
        <v>3.9667500000000001E-2</v>
      </c>
      <c r="N44" s="77">
        <f t="shared" si="5"/>
        <v>983.625</v>
      </c>
      <c r="O44" s="77">
        <f t="shared" si="5"/>
        <v>122.55</v>
      </c>
      <c r="P44" s="77">
        <f t="shared" si="5"/>
        <v>0</v>
      </c>
      <c r="Q44" s="77">
        <f t="shared" si="10"/>
        <v>80.893749999999983</v>
      </c>
      <c r="R44" s="77">
        <f t="shared" si="11"/>
        <v>0</v>
      </c>
      <c r="S44" s="77">
        <f t="shared" si="11"/>
        <v>0.22789999999999999</v>
      </c>
      <c r="T44" s="77">
        <f t="shared" si="11"/>
        <v>0</v>
      </c>
      <c r="U44" s="77">
        <f t="shared" si="11"/>
        <v>0</v>
      </c>
      <c r="AB44" s="59"/>
      <c r="AC44" s="59"/>
      <c r="AD44" s="59"/>
      <c r="AE44" s="59"/>
      <c r="AF44" s="59"/>
      <c r="AG44" s="59"/>
      <c r="AH44" s="59"/>
      <c r="AI44" s="59"/>
    </row>
    <row r="45" spans="1:35" s="72" customFormat="1" ht="13" x14ac:dyDescent="0.35">
      <c r="A45" s="13">
        <f>Q8</f>
        <v>33</v>
      </c>
      <c r="B45" s="15">
        <v>250</v>
      </c>
      <c r="C45" s="77">
        <f t="shared" si="6"/>
        <v>63.424999999999997</v>
      </c>
      <c r="D45" s="77">
        <f t="shared" si="7"/>
        <v>18.471187499999999</v>
      </c>
      <c r="E45" s="77">
        <f t="shared" si="8"/>
        <v>4.2164456250000004</v>
      </c>
      <c r="F45" s="77">
        <f t="shared" si="9"/>
        <v>10.337629999999999</v>
      </c>
      <c r="G45" s="77">
        <f t="shared" si="5"/>
        <v>0.28863749999999999</v>
      </c>
      <c r="H45" s="77">
        <f t="shared" si="5"/>
        <v>1.849</v>
      </c>
      <c r="I45" s="77">
        <f t="shared" si="5"/>
        <v>9.1374999999999998E-2</v>
      </c>
      <c r="J45" s="77">
        <f t="shared" si="5"/>
        <v>7.0412500000000006E-3</v>
      </c>
      <c r="K45" s="77">
        <f t="shared" si="5"/>
        <v>5.0524999999999997E-3</v>
      </c>
      <c r="L45" s="77">
        <f t="shared" si="5"/>
        <v>9.1374999999999998E-2</v>
      </c>
      <c r="M45" s="77">
        <f t="shared" si="5"/>
        <v>3.9667500000000001E-2</v>
      </c>
      <c r="N45" s="77">
        <f t="shared" si="5"/>
        <v>983.625</v>
      </c>
      <c r="O45" s="77">
        <f t="shared" si="5"/>
        <v>122.55</v>
      </c>
      <c r="P45" s="77">
        <f t="shared" si="5"/>
        <v>0</v>
      </c>
      <c r="Q45" s="77">
        <f t="shared" si="10"/>
        <v>80.893749999999983</v>
      </c>
      <c r="R45" s="77">
        <f t="shared" si="11"/>
        <v>0</v>
      </c>
      <c r="S45" s="77">
        <f t="shared" si="11"/>
        <v>0.22789999999999999</v>
      </c>
      <c r="T45" s="77">
        <f t="shared" si="11"/>
        <v>0</v>
      </c>
      <c r="U45" s="77">
        <f t="shared" si="11"/>
        <v>0</v>
      </c>
      <c r="AB45" s="59"/>
      <c r="AC45" s="59"/>
      <c r="AD45" s="59"/>
      <c r="AE45" s="59"/>
      <c r="AF45" s="59"/>
      <c r="AG45" s="59"/>
      <c r="AH45" s="59"/>
      <c r="AI45" s="59"/>
    </row>
    <row r="46" spans="1:35" s="72" customFormat="1" ht="13" x14ac:dyDescent="0.35">
      <c r="A46" s="13">
        <f>R8</f>
        <v>34</v>
      </c>
      <c r="B46" s="15">
        <v>250</v>
      </c>
      <c r="C46" s="77">
        <f t="shared" si="6"/>
        <v>63.424999999999997</v>
      </c>
      <c r="D46" s="77">
        <f t="shared" si="7"/>
        <v>18.471187499999999</v>
      </c>
      <c r="E46" s="77">
        <f t="shared" si="8"/>
        <v>4.2164456250000004</v>
      </c>
      <c r="F46" s="77">
        <f t="shared" si="9"/>
        <v>10.337629999999999</v>
      </c>
      <c r="G46" s="77">
        <f t="shared" si="5"/>
        <v>0.28863749999999999</v>
      </c>
      <c r="H46" s="77">
        <f t="shared" si="5"/>
        <v>1.849</v>
      </c>
      <c r="I46" s="77">
        <f t="shared" si="5"/>
        <v>9.1374999999999998E-2</v>
      </c>
      <c r="J46" s="77">
        <f t="shared" si="5"/>
        <v>7.0412500000000006E-3</v>
      </c>
      <c r="K46" s="77">
        <f t="shared" si="5"/>
        <v>5.0524999999999997E-3</v>
      </c>
      <c r="L46" s="77">
        <f t="shared" si="5"/>
        <v>9.1374999999999998E-2</v>
      </c>
      <c r="M46" s="77">
        <f t="shared" si="5"/>
        <v>3.9667500000000001E-2</v>
      </c>
      <c r="N46" s="77">
        <f t="shared" si="5"/>
        <v>983.625</v>
      </c>
      <c r="O46" s="77">
        <f t="shared" si="5"/>
        <v>122.55</v>
      </c>
      <c r="P46" s="77">
        <f t="shared" si="5"/>
        <v>0</v>
      </c>
      <c r="Q46" s="77">
        <f t="shared" si="10"/>
        <v>80.893749999999983</v>
      </c>
      <c r="R46" s="77">
        <f t="shared" si="11"/>
        <v>0</v>
      </c>
      <c r="S46" s="77">
        <f t="shared" si="11"/>
        <v>0.22789999999999999</v>
      </c>
      <c r="T46" s="77">
        <f t="shared" si="11"/>
        <v>0</v>
      </c>
      <c r="U46" s="77">
        <f t="shared" si="11"/>
        <v>0</v>
      </c>
      <c r="AB46" s="59"/>
      <c r="AC46" s="59"/>
      <c r="AD46" s="59"/>
      <c r="AE46" s="59"/>
      <c r="AF46" s="59"/>
      <c r="AG46" s="59"/>
      <c r="AH46" s="59"/>
      <c r="AI46" s="59"/>
    </row>
    <row r="47" spans="1:35" s="72" customFormat="1" ht="13" x14ac:dyDescent="0.35">
      <c r="A47" s="13">
        <f>S8</f>
        <v>35</v>
      </c>
      <c r="B47" s="15">
        <v>250</v>
      </c>
      <c r="C47" s="77">
        <f t="shared" si="6"/>
        <v>63.424999999999997</v>
      </c>
      <c r="D47" s="77">
        <f t="shared" si="7"/>
        <v>18.471187499999999</v>
      </c>
      <c r="E47" s="77">
        <f t="shared" si="8"/>
        <v>4.2164456250000004</v>
      </c>
      <c r="F47" s="77">
        <f t="shared" si="9"/>
        <v>10.337629999999999</v>
      </c>
      <c r="G47" s="77">
        <f t="shared" ref="G47:P50" si="12">IF(G$27="%w/w SAR",((G$28*10)*$B47),IF(G$27="%w/w DM",(((G$28*10)*($B$28/100))*$B47),IF(G$27="kg/t SAR",(G$28*$B47),IF(G$27="kg/t DM",((G$28*($B$28/100))*$B47),IF(G$27="mg/kg SAR",((G$28*0.001)*$B47),IF(G$27="mg/kg DM",(((G$28*0.001)*($B$28/100))*$B47),0))))))</f>
        <v>0.28863749999999999</v>
      </c>
      <c r="H47" s="77">
        <f t="shared" si="12"/>
        <v>1.849</v>
      </c>
      <c r="I47" s="77">
        <f t="shared" si="12"/>
        <v>9.1374999999999998E-2</v>
      </c>
      <c r="J47" s="77">
        <f t="shared" si="12"/>
        <v>7.0412500000000006E-3</v>
      </c>
      <c r="K47" s="77">
        <f t="shared" si="12"/>
        <v>5.0524999999999997E-3</v>
      </c>
      <c r="L47" s="77">
        <f t="shared" si="12"/>
        <v>9.1374999999999998E-2</v>
      </c>
      <c r="M47" s="77">
        <f t="shared" si="12"/>
        <v>3.9667500000000001E-2</v>
      </c>
      <c r="N47" s="77">
        <f t="shared" si="12"/>
        <v>983.625</v>
      </c>
      <c r="O47" s="77">
        <f t="shared" si="12"/>
        <v>122.55</v>
      </c>
      <c r="P47" s="77">
        <f t="shared" si="12"/>
        <v>0</v>
      </c>
      <c r="Q47" s="77">
        <f t="shared" si="10"/>
        <v>80.893749999999983</v>
      </c>
      <c r="R47" s="77">
        <f t="shared" si="11"/>
        <v>0</v>
      </c>
      <c r="S47" s="77">
        <f t="shared" si="11"/>
        <v>0.22789999999999999</v>
      </c>
      <c r="T47" s="77">
        <f t="shared" si="11"/>
        <v>0</v>
      </c>
      <c r="U47" s="77">
        <f t="shared" si="11"/>
        <v>0</v>
      </c>
      <c r="AB47" s="59"/>
      <c r="AC47" s="59"/>
      <c r="AD47" s="59"/>
      <c r="AE47" s="59"/>
      <c r="AF47" s="59"/>
      <c r="AG47" s="59"/>
      <c r="AH47" s="59"/>
      <c r="AI47" s="59"/>
    </row>
    <row r="48" spans="1:35" s="72" customFormat="1" ht="13" x14ac:dyDescent="0.35">
      <c r="A48" s="13" t="str">
        <f>T8</f>
        <v>36a</v>
      </c>
      <c r="B48" s="15">
        <v>250</v>
      </c>
      <c r="C48" s="77">
        <f t="shared" si="6"/>
        <v>63.424999999999997</v>
      </c>
      <c r="D48" s="77">
        <f t="shared" si="7"/>
        <v>18.471187499999999</v>
      </c>
      <c r="E48" s="77">
        <f t="shared" si="8"/>
        <v>4.2164456250000004</v>
      </c>
      <c r="F48" s="77">
        <f t="shared" si="9"/>
        <v>10.337629999999999</v>
      </c>
      <c r="G48" s="77">
        <f t="shared" si="12"/>
        <v>0.28863749999999999</v>
      </c>
      <c r="H48" s="77">
        <f t="shared" si="12"/>
        <v>1.849</v>
      </c>
      <c r="I48" s="77">
        <f t="shared" si="12"/>
        <v>9.1374999999999998E-2</v>
      </c>
      <c r="J48" s="77">
        <f t="shared" si="12"/>
        <v>7.0412500000000006E-3</v>
      </c>
      <c r="K48" s="77">
        <f t="shared" si="12"/>
        <v>5.0524999999999997E-3</v>
      </c>
      <c r="L48" s="77">
        <f t="shared" si="12"/>
        <v>9.1374999999999998E-2</v>
      </c>
      <c r="M48" s="77">
        <f t="shared" si="12"/>
        <v>3.9667500000000001E-2</v>
      </c>
      <c r="N48" s="77">
        <f t="shared" si="12"/>
        <v>983.625</v>
      </c>
      <c r="O48" s="77">
        <f t="shared" si="12"/>
        <v>122.55</v>
      </c>
      <c r="P48" s="77">
        <f t="shared" si="12"/>
        <v>0</v>
      </c>
      <c r="Q48" s="77">
        <f t="shared" si="10"/>
        <v>80.893749999999983</v>
      </c>
      <c r="R48" s="77">
        <f t="shared" si="11"/>
        <v>0</v>
      </c>
      <c r="S48" s="77">
        <f t="shared" si="11"/>
        <v>0.22789999999999999</v>
      </c>
      <c r="T48" s="77">
        <f t="shared" si="11"/>
        <v>0</v>
      </c>
      <c r="U48" s="77">
        <f t="shared" si="11"/>
        <v>0</v>
      </c>
      <c r="AB48" s="59"/>
      <c r="AC48" s="59"/>
      <c r="AD48" s="59"/>
      <c r="AE48" s="59"/>
      <c r="AF48" s="59"/>
      <c r="AG48" s="59"/>
      <c r="AH48" s="59"/>
      <c r="AI48" s="59"/>
    </row>
    <row r="49" spans="1:35" s="72" customFormat="1" ht="13" x14ac:dyDescent="0.35">
      <c r="A49" s="13">
        <f>U8</f>
        <v>37</v>
      </c>
      <c r="B49" s="15">
        <v>250</v>
      </c>
      <c r="C49" s="77">
        <f t="shared" si="6"/>
        <v>63.424999999999997</v>
      </c>
      <c r="D49" s="77">
        <f t="shared" si="7"/>
        <v>18.471187499999999</v>
      </c>
      <c r="E49" s="77">
        <f t="shared" si="8"/>
        <v>4.2164456250000004</v>
      </c>
      <c r="F49" s="77">
        <f t="shared" si="9"/>
        <v>10.337629999999999</v>
      </c>
      <c r="G49" s="77">
        <f t="shared" si="12"/>
        <v>0.28863749999999999</v>
      </c>
      <c r="H49" s="77">
        <f t="shared" si="12"/>
        <v>1.849</v>
      </c>
      <c r="I49" s="77">
        <f t="shared" si="12"/>
        <v>9.1374999999999998E-2</v>
      </c>
      <c r="J49" s="77">
        <f t="shared" si="12"/>
        <v>7.0412500000000006E-3</v>
      </c>
      <c r="K49" s="77">
        <f t="shared" si="12"/>
        <v>5.0524999999999997E-3</v>
      </c>
      <c r="L49" s="77">
        <f t="shared" si="12"/>
        <v>9.1374999999999998E-2</v>
      </c>
      <c r="M49" s="77">
        <f t="shared" si="12"/>
        <v>3.9667500000000001E-2</v>
      </c>
      <c r="N49" s="77">
        <f t="shared" si="12"/>
        <v>983.625</v>
      </c>
      <c r="O49" s="77">
        <f t="shared" si="12"/>
        <v>122.55</v>
      </c>
      <c r="P49" s="77">
        <f t="shared" si="12"/>
        <v>0</v>
      </c>
      <c r="Q49" s="77">
        <f t="shared" si="10"/>
        <v>80.893749999999983</v>
      </c>
      <c r="R49" s="77">
        <f t="shared" si="11"/>
        <v>0</v>
      </c>
      <c r="S49" s="77">
        <f t="shared" si="11"/>
        <v>0.22789999999999999</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0</v>
      </c>
      <c r="E57" s="8">
        <f t="shared" si="13"/>
        <v>1294</v>
      </c>
      <c r="F57" s="8">
        <f t="shared" si="13"/>
        <v>2225</v>
      </c>
      <c r="G57" s="8">
        <f t="shared" si="13"/>
        <v>3210</v>
      </c>
      <c r="H57" s="8">
        <f t="shared" si="13"/>
        <v>3732</v>
      </c>
      <c r="I57" s="8">
        <f t="shared" si="13"/>
        <v>0</v>
      </c>
      <c r="J57" s="8">
        <f t="shared" si="13"/>
        <v>5867</v>
      </c>
      <c r="K57" s="8">
        <f t="shared" si="13"/>
        <v>1808</v>
      </c>
      <c r="L57" s="8">
        <f t="shared" si="13"/>
        <v>24</v>
      </c>
      <c r="M57" s="8">
        <f t="shared" si="13"/>
        <v>25</v>
      </c>
      <c r="N57" s="8">
        <f t="shared" si="13"/>
        <v>26</v>
      </c>
      <c r="O57" s="8">
        <f t="shared" si="13"/>
        <v>27</v>
      </c>
      <c r="P57" s="8">
        <f t="shared" si="13"/>
        <v>33</v>
      </c>
      <c r="Q57" s="8">
        <f t="shared" si="13"/>
        <v>34</v>
      </c>
      <c r="R57" s="8">
        <f t="shared" si="13"/>
        <v>35</v>
      </c>
      <c r="S57" s="8" t="str">
        <f t="shared" si="13"/>
        <v>36a</v>
      </c>
      <c r="T57" s="8">
        <f t="shared" si="13"/>
        <v>37</v>
      </c>
      <c r="U57" s="8">
        <f t="shared" si="13"/>
        <v>0</v>
      </c>
    </row>
    <row r="58" spans="1:35" s="19" customFormat="1" ht="13" x14ac:dyDescent="0.35">
      <c r="A58" s="92" t="s">
        <v>136</v>
      </c>
      <c r="B58" s="13" t="e">
        <f>C16&amp;" I "&amp;(VLOOKUP(C14,Table245[],6,FALSE))</f>
        <v>#N/A</v>
      </c>
      <c r="C58" s="13" t="e">
        <f>D16&amp;" I "&amp;(VLOOKUP(D14,Table245[],6,FALSE))</f>
        <v>#N/A</v>
      </c>
      <c r="D58" s="13" t="e">
        <f>E16&amp;" I "&amp;(VLOOKUP(E14,Table245[],6,FALSE))</f>
        <v>#N/A</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e">
        <f>J16&amp;" I "&amp;(VLOOKUP(J14,Table245[],6,FALSE))</f>
        <v>#N/A</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str">
        <f>S16&amp;" I "&amp;(VLOOKUP(S14,Table245[],6,FALSE))</f>
        <v>Medium/Clay I Grass</v>
      </c>
      <c r="S58" s="13" t="str">
        <f>T16&amp;" I "&amp;(VLOOKUP(T14,Table245[],6,FALSE))</f>
        <v>Medium/Clay I Grass</v>
      </c>
      <c r="T58" s="13" t="str">
        <f>U16&amp;" I "&amp;(VLOOKUP(U14,Table245[],6,FALSE))</f>
        <v>Medium/Clay I Grass</v>
      </c>
      <c r="U58" s="13" t="e">
        <f>V16&amp;" I "&amp;(VLOOKUP(V14,Table245[],6,FALSE))</f>
        <v>#N/A</v>
      </c>
    </row>
    <row r="59" spans="1:35" s="19" customFormat="1" ht="13" x14ac:dyDescent="0.3">
      <c r="A59" s="111" t="s">
        <v>132</v>
      </c>
      <c r="B59" s="76" t="e">
        <f>VLOOKUP(C$14,Table245[],5,FALSE)</f>
        <v>#N/A</v>
      </c>
      <c r="C59" s="76" t="e">
        <f>VLOOKUP(D$14,Table245[],5,FALSE)</f>
        <v>#N/A</v>
      </c>
      <c r="D59" s="76" t="e">
        <f>VLOOKUP(E$14,Table245[],5,FALSE)</f>
        <v>#N/A</v>
      </c>
      <c r="E59" s="76">
        <f>VLOOKUP(F$14,Table245[],5,FALSE)</f>
        <v>6.2</v>
      </c>
      <c r="F59" s="76">
        <f>VLOOKUP(G$14,Table245[],5,FALSE)</f>
        <v>6.2</v>
      </c>
      <c r="G59" s="76">
        <f>VLOOKUP(H$14,Table245[],5,FALSE)</f>
        <v>6.2</v>
      </c>
      <c r="H59" s="76">
        <f>VLOOKUP(I$14,Table245[],5,FALSE)</f>
        <v>6.2</v>
      </c>
      <c r="I59" s="76" t="e">
        <f>VLOOKUP(J$14,Table245[],5,FALSE)</f>
        <v>#N/A</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f>VLOOKUP(R$14,Table245[],5,FALSE)</f>
        <v>6.2</v>
      </c>
      <c r="R59" s="76">
        <f>VLOOKUP(S$14,Table245[],5,FALSE)</f>
        <v>6.2</v>
      </c>
      <c r="S59" s="76">
        <f>VLOOKUP(T$14,Table245[],5,FALSE)</f>
        <v>6.2</v>
      </c>
      <c r="T59" s="76">
        <f>VLOOKUP(U$14,Table245[],5,FALSE)</f>
        <v>6.2</v>
      </c>
      <c r="U59" s="76" t="e">
        <f>VLOOKUP(V$14,Table245[],5,FALSE)</f>
        <v>#N/A</v>
      </c>
    </row>
    <row r="60" spans="1:35" s="19" customFormat="1" ht="13" x14ac:dyDescent="0.3">
      <c r="A60" s="111" t="s">
        <v>4</v>
      </c>
      <c r="B60" s="76">
        <f>C10</f>
        <v>0</v>
      </c>
      <c r="C60" s="76">
        <f t="shared" ref="C60:U60" si="14">D10</f>
        <v>0</v>
      </c>
      <c r="D60" s="76">
        <f t="shared" si="14"/>
        <v>0</v>
      </c>
      <c r="E60" s="76">
        <f t="shared" si="14"/>
        <v>7</v>
      </c>
      <c r="F60" s="76">
        <f t="shared" si="14"/>
        <v>7.6</v>
      </c>
      <c r="G60" s="76">
        <f t="shared" si="14"/>
        <v>7.3</v>
      </c>
      <c r="H60" s="76">
        <f t="shared" si="14"/>
        <v>7.5</v>
      </c>
      <c r="I60" s="76">
        <f t="shared" si="14"/>
        <v>0</v>
      </c>
      <c r="J60" s="76">
        <f t="shared" si="14"/>
        <v>7.9</v>
      </c>
      <c r="K60" s="76">
        <f t="shared" si="14"/>
        <v>6.4</v>
      </c>
      <c r="L60" s="76">
        <f t="shared" si="14"/>
        <v>8.1999999999999993</v>
      </c>
      <c r="M60" s="76">
        <f t="shared" si="14"/>
        <v>8.1999999999999993</v>
      </c>
      <c r="N60" s="76">
        <f t="shared" si="14"/>
        <v>7.6</v>
      </c>
      <c r="O60" s="76">
        <f t="shared" si="14"/>
        <v>7.2</v>
      </c>
      <c r="P60" s="76">
        <f t="shared" si="14"/>
        <v>7.1</v>
      </c>
      <c r="Q60" s="76">
        <f t="shared" si="14"/>
        <v>7.1</v>
      </c>
      <c r="R60" s="76">
        <f t="shared" si="14"/>
        <v>7</v>
      </c>
      <c r="S60" s="76">
        <f t="shared" si="14"/>
        <v>7.9</v>
      </c>
      <c r="T60" s="76">
        <f t="shared" si="14"/>
        <v>8</v>
      </c>
      <c r="U60" s="76">
        <f t="shared" si="14"/>
        <v>0</v>
      </c>
    </row>
    <row r="61" spans="1:35" s="19" customFormat="1" ht="13" x14ac:dyDescent="0.3">
      <c r="A61" s="111" t="s">
        <v>133</v>
      </c>
      <c r="B61" s="76" t="e">
        <f t="shared" ref="B61:U61" si="15">VLOOKUP(B58,$AD9:$AE18,2,FALSE)</f>
        <v>#N/A</v>
      </c>
      <c r="C61" s="76" t="e">
        <f t="shared" si="15"/>
        <v>#N/A</v>
      </c>
      <c r="D61" s="76" t="e">
        <f t="shared" si="15"/>
        <v>#N/A</v>
      </c>
      <c r="E61" s="76">
        <f t="shared" si="15"/>
        <v>6</v>
      </c>
      <c r="F61" s="76">
        <f t="shared" si="15"/>
        <v>6</v>
      </c>
      <c r="G61" s="76">
        <f t="shared" si="15"/>
        <v>6</v>
      </c>
      <c r="H61" s="76">
        <f t="shared" si="15"/>
        <v>6</v>
      </c>
      <c r="I61" s="76" t="e">
        <f t="shared" si="15"/>
        <v>#N/A</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250</v>
      </c>
      <c r="T62" s="77">
        <f>B49</f>
        <v>250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f t="shared" si="17"/>
        <v>-4.7999999999999989</v>
      </c>
      <c r="F64" s="77">
        <f t="shared" si="17"/>
        <v>-8.3999999999999968</v>
      </c>
      <c r="G64" s="77">
        <f t="shared" si="17"/>
        <v>-6.5999999999999979</v>
      </c>
      <c r="H64" s="77">
        <f t="shared" si="17"/>
        <v>-7.7999999999999989</v>
      </c>
      <c r="I64" s="77" t="e">
        <f t="shared" si="17"/>
        <v>#N/A</v>
      </c>
      <c r="J64" s="77">
        <f t="shared" si="17"/>
        <v>-10.200000000000001</v>
      </c>
      <c r="K64" s="77">
        <f t="shared" si="17"/>
        <v>-1.2000000000000011</v>
      </c>
      <c r="L64" s="77">
        <f t="shared" si="17"/>
        <v>-11.999999999999995</v>
      </c>
      <c r="M64" s="77">
        <f t="shared" si="17"/>
        <v>-11.999999999999995</v>
      </c>
      <c r="N64" s="77">
        <f t="shared" si="17"/>
        <v>-8.3999999999999968</v>
      </c>
      <c r="O64" s="77">
        <f t="shared" si="17"/>
        <v>-6</v>
      </c>
      <c r="P64" s="77">
        <f t="shared" si="17"/>
        <v>-5.3999999999999968</v>
      </c>
      <c r="Q64" s="77">
        <f t="shared" si="17"/>
        <v>-5.3999999999999968</v>
      </c>
      <c r="R64" s="77">
        <f t="shared" si="17"/>
        <v>-4.7999999999999989</v>
      </c>
      <c r="S64" s="77">
        <f t="shared" si="17"/>
        <v>-10.200000000000001</v>
      </c>
      <c r="T64" s="77">
        <f t="shared" si="17"/>
        <v>-10.799999999999999</v>
      </c>
      <c r="U64" s="77" t="e">
        <f t="shared" si="17"/>
        <v>#N/A</v>
      </c>
    </row>
    <row r="65" spans="1:21" s="19" customFormat="1" ht="52" x14ac:dyDescent="0.3">
      <c r="A65" s="112" t="s">
        <v>157</v>
      </c>
      <c r="B65" s="77" t="e">
        <f>B63-B64</f>
        <v>#N/A</v>
      </c>
      <c r="C65" s="77" t="e">
        <f t="shared" ref="C65:U65" si="18">C63-C64</f>
        <v>#N/A</v>
      </c>
      <c r="D65" s="77" t="e">
        <f t="shared" si="18"/>
        <v>#N/A</v>
      </c>
      <c r="E65" s="77">
        <f t="shared" si="18"/>
        <v>4.7999999999999989</v>
      </c>
      <c r="F65" s="77">
        <f t="shared" si="18"/>
        <v>8.3999999999999968</v>
      </c>
      <c r="G65" s="77">
        <f t="shared" si="18"/>
        <v>6.5999999999999979</v>
      </c>
      <c r="H65" s="77">
        <f t="shared" si="18"/>
        <v>7.7999999999999989</v>
      </c>
      <c r="I65" s="77" t="e">
        <f t="shared" si="18"/>
        <v>#N/A</v>
      </c>
      <c r="J65" s="77">
        <f t="shared" si="18"/>
        <v>10.200000000000001</v>
      </c>
      <c r="K65" s="77">
        <f t="shared" si="18"/>
        <v>1.2000000000000011</v>
      </c>
      <c r="L65" s="77">
        <f t="shared" si="18"/>
        <v>11.999999999999995</v>
      </c>
      <c r="M65" s="77">
        <f t="shared" si="18"/>
        <v>11.999999999999995</v>
      </c>
      <c r="N65" s="77">
        <f t="shared" si="18"/>
        <v>8.3999999999999968</v>
      </c>
      <c r="O65" s="77">
        <f t="shared" si="18"/>
        <v>6</v>
      </c>
      <c r="P65" s="77">
        <f t="shared" si="18"/>
        <v>5.3999999999999968</v>
      </c>
      <c r="Q65" s="77">
        <f t="shared" si="18"/>
        <v>5.3999999999999968</v>
      </c>
      <c r="R65" s="77">
        <f t="shared" si="18"/>
        <v>4.7999999999999989</v>
      </c>
      <c r="S65" s="77">
        <f t="shared" si="18"/>
        <v>10.200000000000001</v>
      </c>
      <c r="T65" s="77">
        <f t="shared" si="18"/>
        <v>10.799999999999999</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str">
        <f t="shared" si="19"/>
        <v>OVER</v>
      </c>
      <c r="F66" s="78" t="str">
        <f t="shared" si="19"/>
        <v>OVER</v>
      </c>
      <c r="G66" s="78" t="str">
        <f t="shared" si="19"/>
        <v>OVER</v>
      </c>
      <c r="H66" s="78" t="str">
        <f t="shared" si="19"/>
        <v>OVER</v>
      </c>
      <c r="I66" s="78" t="e">
        <f t="shared" si="19"/>
        <v>#N/A</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topLeftCell="A7" zoomScale="90" zoomScaleNormal="90" workbookViewId="0">
      <selection activeCell="B49" sqref="B4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PAN-018217</v>
      </c>
      <c r="D1" s="141"/>
      <c r="E1" s="93" t="s">
        <v>45</v>
      </c>
      <c r="F1" s="39">
        <f>'Field data and Waste 1'!F1</f>
        <v>44.6</v>
      </c>
      <c r="G1" s="123" t="s">
        <v>43</v>
      </c>
      <c r="H1" s="124"/>
      <c r="I1" s="118">
        <v>8.1</v>
      </c>
      <c r="J1" s="127" t="s">
        <v>153</v>
      </c>
      <c r="K1" s="127"/>
      <c r="L1" s="97">
        <v>2806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t="s">
        <v>170</v>
      </c>
      <c r="G2" s="125" t="s">
        <v>110</v>
      </c>
      <c r="H2" s="126"/>
      <c r="I2" s="118"/>
      <c r="J2" s="127" t="s">
        <v>158</v>
      </c>
      <c r="K2" s="127"/>
      <c r="L2" s="97">
        <v>0.48</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t="s">
        <v>78</v>
      </c>
      <c r="G3" s="127" t="s">
        <v>159</v>
      </c>
      <c r="H3" s="127"/>
      <c r="I3" s="118"/>
      <c r="J3" s="123" t="s">
        <v>154</v>
      </c>
      <c r="K3" s="124"/>
      <c r="L3" s="97">
        <f>(L1/(L2*10000))*100</f>
        <v>58.458333333333336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Abergelli Farm, Felindre, Swansea, SA5 7NN</v>
      </c>
      <c r="D4" s="141"/>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0</v>
      </c>
      <c r="D8" s="60">
        <f>'Field data and Waste 1'!D8</f>
        <v>0</v>
      </c>
      <c r="E8" s="60">
        <f>'Field data and Waste 1'!E8</f>
        <v>0</v>
      </c>
      <c r="F8" s="60">
        <f>'Field data and Waste 1'!F8</f>
        <v>1294</v>
      </c>
      <c r="G8" s="60">
        <f>'Field data and Waste 1'!G8</f>
        <v>2225</v>
      </c>
      <c r="H8" s="60">
        <f>'Field data and Waste 1'!H8</f>
        <v>3210</v>
      </c>
      <c r="I8" s="60">
        <f>'Field data and Waste 1'!I8</f>
        <v>3732</v>
      </c>
      <c r="J8" s="60">
        <f>'Field data and Waste 1'!J8</f>
        <v>0</v>
      </c>
      <c r="K8" s="60">
        <f>'Field data and Waste 1'!K8</f>
        <v>5867</v>
      </c>
      <c r="L8" s="60">
        <f>'Field data and Waste 1'!L8</f>
        <v>1808</v>
      </c>
      <c r="M8" s="60">
        <f>'Field data and Waste 1'!M8</f>
        <v>24</v>
      </c>
      <c r="N8" s="60">
        <f>'Field data and Waste 1'!N8</f>
        <v>25</v>
      </c>
      <c r="O8" s="60">
        <f>'Field data and Waste 1'!O8</f>
        <v>26</v>
      </c>
      <c r="P8" s="60">
        <f>'Field data and Waste 1'!P8</f>
        <v>27</v>
      </c>
      <c r="Q8" s="60">
        <f>'Field data and Waste 1'!Q8</f>
        <v>33</v>
      </c>
      <c r="R8" s="60">
        <f>'Field data and Waste 1'!R8</f>
        <v>34</v>
      </c>
      <c r="S8" s="60">
        <f>'Field data and Waste 1'!S8</f>
        <v>35</v>
      </c>
      <c r="T8" s="60" t="str">
        <f>'Field data and Waste 1'!T8</f>
        <v>36a</v>
      </c>
      <c r="U8" s="60">
        <f>'Field data and Waste 1'!U8</f>
        <v>37</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0</v>
      </c>
      <c r="D9" s="60">
        <f>'Field data and Waste 1'!D9</f>
        <v>0</v>
      </c>
      <c r="E9" s="60">
        <f>'Field data and Waste 1'!E9</f>
        <v>0</v>
      </c>
      <c r="F9" s="60" t="str">
        <f>'Field data and Waste 1'!F9</f>
        <v>Moderate</v>
      </c>
      <c r="G9" s="60" t="str">
        <f>'Field data and Waste 1'!G9</f>
        <v>Moderate</v>
      </c>
      <c r="H9" s="60" t="str">
        <f>'Field data and Waste 1'!H9</f>
        <v>Moderate</v>
      </c>
      <c r="I9" s="60" t="str">
        <f>'Field data and Waste 1'!I9</f>
        <v>Moderate</v>
      </c>
      <c r="J9" s="60">
        <f>'Field data and Waste 1'!J9</f>
        <v>0</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0</v>
      </c>
      <c r="D10" s="60">
        <f>'Field data and Waste 1'!D10</f>
        <v>0</v>
      </c>
      <c r="E10" s="60">
        <f>'Field data and Waste 1'!E10</f>
        <v>0</v>
      </c>
      <c r="F10" s="60">
        <f>'Field data and Waste 1'!F10</f>
        <v>7</v>
      </c>
      <c r="G10" s="60">
        <f>'Field data and Waste 1'!G10</f>
        <v>7.6</v>
      </c>
      <c r="H10" s="60">
        <f>'Field data and Waste 1'!H10</f>
        <v>7.3</v>
      </c>
      <c r="I10" s="60">
        <f>'Field data and Waste 1'!I10</f>
        <v>7.5</v>
      </c>
      <c r="J10" s="60">
        <f>'Field data and Waste 1'!J10</f>
        <v>0</v>
      </c>
      <c r="K10" s="60">
        <f>'Field data and Waste 1'!K10</f>
        <v>7.9</v>
      </c>
      <c r="L10" s="60">
        <f>'Field data and Waste 1'!L10</f>
        <v>6.4</v>
      </c>
      <c r="M10" s="60">
        <f>'Field data and Waste 1'!M10</f>
        <v>8.1999999999999993</v>
      </c>
      <c r="N10" s="60">
        <f>'Field data and Waste 1'!N10</f>
        <v>8.1999999999999993</v>
      </c>
      <c r="O10" s="60">
        <f>'Field data and Waste 1'!O10</f>
        <v>7.6</v>
      </c>
      <c r="P10" s="60">
        <f>'Field data and Waste 1'!P10</f>
        <v>7.2</v>
      </c>
      <c r="Q10" s="60">
        <f>'Field data and Waste 1'!Q10</f>
        <v>7.1</v>
      </c>
      <c r="R10" s="60">
        <f>'Field data and Waste 1'!R10</f>
        <v>7.1</v>
      </c>
      <c r="S10" s="60">
        <f>'Field data and Waste 1'!S10</f>
        <v>7</v>
      </c>
      <c r="T10" s="60">
        <f>'Field data and Waste 1'!T10</f>
        <v>7.9</v>
      </c>
      <c r="U10" s="60">
        <f>'Field data and Waste 1'!U10</f>
        <v>8</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2</v>
      </c>
      <c r="M11" s="60">
        <f>'Field data and Waste 1'!M11</f>
        <v>0</v>
      </c>
      <c r="N11" s="60">
        <f>'Field data and Waste 1'!N11</f>
        <v>0</v>
      </c>
      <c r="O11" s="60">
        <f>'Field data and Waste 1'!O11</f>
        <v>1</v>
      </c>
      <c r="P11" s="60">
        <f>'Field data and Waste 1'!P11</f>
        <v>1</v>
      </c>
      <c r="Q11" s="60">
        <f>'Field data and Waste 1'!Q11</f>
        <v>1</v>
      </c>
      <c r="R11" s="60">
        <f>'Field data and Waste 1'!R11</f>
        <v>1</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1</v>
      </c>
      <c r="G12" s="60">
        <f>'Field data and Waste 1'!G12</f>
        <v>1</v>
      </c>
      <c r="H12" s="60">
        <f>'Field data and Waste 1'!H12</f>
        <v>1</v>
      </c>
      <c r="I12" s="60">
        <f>'Field data and Waste 1'!I12</f>
        <v>1</v>
      </c>
      <c r="J12" s="60">
        <f>'Field data and Waste 1'!J12</f>
        <v>0</v>
      </c>
      <c r="K12" s="60">
        <f>'Field data and Waste 1'!K12</f>
        <v>1</v>
      </c>
      <c r="L12" s="60">
        <f>'Field data and Waste 1'!L12</f>
        <v>2</v>
      </c>
      <c r="M12" s="60">
        <f>'Field data and Waste 1'!M12</f>
        <v>1</v>
      </c>
      <c r="N12" s="60">
        <f>'Field data and Waste 1'!N12</f>
        <v>1</v>
      </c>
      <c r="O12" s="60">
        <f>'Field data and Waste 1'!O12</f>
        <v>2</v>
      </c>
      <c r="P12" s="60">
        <f>'Field data and Waste 1'!P12</f>
        <v>1</v>
      </c>
      <c r="Q12" s="60">
        <f>'Field data and Waste 1'!Q12</f>
        <v>1</v>
      </c>
      <c r="R12" s="60">
        <f>'Field data and Waste 1'!R12</f>
        <v>2</v>
      </c>
      <c r="S12" s="60">
        <f>'Field data and Waste 1'!S12</f>
        <v>1</v>
      </c>
      <c r="T12" s="60">
        <f>'Field data and Waste 1'!T12</f>
        <v>1</v>
      </c>
      <c r="U12" s="60">
        <f>'Field data and Waste 1'!U12</f>
        <v>1</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0</v>
      </c>
      <c r="D13" s="60">
        <f>'Field data and Waste 1'!D13</f>
        <v>0</v>
      </c>
      <c r="E13" s="60">
        <f>'Field data and Waste 1'!E13</f>
        <v>0</v>
      </c>
      <c r="F13" s="60">
        <f>'Field data and Waste 1'!F13</f>
        <v>2</v>
      </c>
      <c r="G13" s="60">
        <f>'Field data and Waste 1'!G13</f>
        <v>3</v>
      </c>
      <c r="H13" s="60">
        <f>'Field data and Waste 1'!H13</f>
        <v>2</v>
      </c>
      <c r="I13" s="60">
        <f>'Field data and Waste 1'!I13</f>
        <v>2</v>
      </c>
      <c r="J13" s="60">
        <f>'Field data and Waste 1'!J13</f>
        <v>0</v>
      </c>
      <c r="K13" s="60">
        <f>'Field data and Waste 1'!K13</f>
        <v>3</v>
      </c>
      <c r="L13" s="60">
        <f>'Field data and Waste 1'!L13</f>
        <v>4</v>
      </c>
      <c r="M13" s="60">
        <f>'Field data and Waste 1'!M13</f>
        <v>3</v>
      </c>
      <c r="N13" s="60">
        <f>'Field data and Waste 1'!N13</f>
        <v>4</v>
      </c>
      <c r="O13" s="60">
        <f>'Field data and Waste 1'!O13</f>
        <v>5</v>
      </c>
      <c r="P13" s="60">
        <f>'Field data and Waste 1'!P13</f>
        <v>4</v>
      </c>
      <c r="Q13" s="60">
        <f>'Field data and Waste 1'!Q13</f>
        <v>5</v>
      </c>
      <c r="R13" s="60">
        <f>'Field data and Waste 1'!R13</f>
        <v>6</v>
      </c>
      <c r="S13" s="60">
        <f>'Field data and Waste 1'!S13</f>
        <v>5</v>
      </c>
      <c r="T13" s="60">
        <f>'Field data and Waste 1'!T13</f>
        <v>3</v>
      </c>
      <c r="U13" s="60">
        <f>'Field data and Waste 1'!U13</f>
        <v>3</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f>'Field data and Waste 1'!C14</f>
        <v>0</v>
      </c>
      <c r="D14" s="102">
        <f>'Field data and Waste 1'!D14</f>
        <v>0</v>
      </c>
      <c r="E14" s="102">
        <f>'Field data and Waste 1'!E14</f>
        <v>0</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0</v>
      </c>
      <c r="D15" s="60">
        <f>'Field data and Waste 1'!D15</f>
        <v>0</v>
      </c>
      <c r="E15" s="60">
        <f>'Field data and Waste 1'!E15</f>
        <v>0</v>
      </c>
      <c r="F15" s="60">
        <f>'Field data and Waste 1'!F15</f>
        <v>38</v>
      </c>
      <c r="G15" s="60">
        <f>'Field data and Waste 1'!G15</f>
        <v>38</v>
      </c>
      <c r="H15" s="60">
        <f>'Field data and Waste 1'!H15</f>
        <v>38</v>
      </c>
      <c r="I15" s="60">
        <f>'Field data and Waste 1'!I15</f>
        <v>38</v>
      </c>
      <c r="J15" s="60">
        <f>'Field data and Waste 1'!J15</f>
        <v>0</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t="e">
        <f>(VLOOKUP(C$14,$AI2:$AK26,2,FALSE))*C$15</f>
        <v>#N/A</v>
      </c>
      <c r="D17" s="28" t="e">
        <f t="shared" ref="D17:V17" si="0">(VLOOKUP(D$14,$AI2:$AK26,2,FALSE))*D$15</f>
        <v>#N/A</v>
      </c>
      <c r="E17" s="28" t="e">
        <f t="shared" si="0"/>
        <v>#N/A</v>
      </c>
      <c r="F17" s="28">
        <f t="shared" si="0"/>
        <v>64.599999999999994</v>
      </c>
      <c r="G17" s="28">
        <f t="shared" si="0"/>
        <v>64.599999999999994</v>
      </c>
      <c r="H17" s="28">
        <f t="shared" si="0"/>
        <v>64.599999999999994</v>
      </c>
      <c r="I17" s="28">
        <f t="shared" si="0"/>
        <v>64.599999999999994</v>
      </c>
      <c r="J17" s="28" t="e">
        <f t="shared" si="0"/>
        <v>#N/A</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59.107799999999997</v>
      </c>
      <c r="D18" s="16">
        <f>$D32</f>
        <v>59.107799999999997</v>
      </c>
      <c r="E18" s="16">
        <f>$D33</f>
        <v>59.107799999999997</v>
      </c>
      <c r="F18" s="16">
        <f>$D34</f>
        <v>59.107799999999997</v>
      </c>
      <c r="G18" s="16">
        <f>$D35</f>
        <v>59.107799999999997</v>
      </c>
      <c r="H18" s="16">
        <f>$D36</f>
        <v>59.107799999999997</v>
      </c>
      <c r="I18" s="16">
        <f>$D37</f>
        <v>59.107799999999997</v>
      </c>
      <c r="J18" s="16">
        <f>$D38</f>
        <v>59.107799999999997</v>
      </c>
      <c r="K18" s="16">
        <f>$D39</f>
        <v>0</v>
      </c>
      <c r="L18" s="16">
        <f>$D40</f>
        <v>59.107799999999997</v>
      </c>
      <c r="M18" s="16">
        <f>$D41</f>
        <v>0</v>
      </c>
      <c r="N18" s="16">
        <f>$D42</f>
        <v>0</v>
      </c>
      <c r="O18" s="16">
        <f>$D43</f>
        <v>0</v>
      </c>
      <c r="P18" s="16">
        <f>$D44</f>
        <v>59.107799999999997</v>
      </c>
      <c r="Q18" s="16">
        <f>$D45</f>
        <v>59.107799999999997</v>
      </c>
      <c r="R18" s="16">
        <f>$D46</f>
        <v>59.107799999999997</v>
      </c>
      <c r="S18" s="16">
        <f>$D47</f>
        <v>59.107799999999997</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t="e">
        <f>C18-C17</f>
        <v>#N/A</v>
      </c>
      <c r="D19" s="16" t="e">
        <f t="shared" ref="D19:V19" si="1">D18-D17</f>
        <v>#N/A</v>
      </c>
      <c r="E19" s="16" t="e">
        <f t="shared" si="1"/>
        <v>#N/A</v>
      </c>
      <c r="F19" s="16">
        <f t="shared" si="1"/>
        <v>-5.4921999999999969</v>
      </c>
      <c r="G19" s="16">
        <f t="shared" si="1"/>
        <v>-5.4921999999999969</v>
      </c>
      <c r="H19" s="16">
        <f t="shared" si="1"/>
        <v>-5.4921999999999969</v>
      </c>
      <c r="I19" s="16">
        <f t="shared" si="1"/>
        <v>-5.4921999999999969</v>
      </c>
      <c r="J19" s="16" t="e">
        <f t="shared" si="1"/>
        <v>#N/A</v>
      </c>
      <c r="K19" s="16">
        <f t="shared" si="1"/>
        <v>-64.599999999999994</v>
      </c>
      <c r="L19" s="16">
        <f t="shared" si="1"/>
        <v>-5.4921999999999969</v>
      </c>
      <c r="M19" s="16">
        <f t="shared" si="1"/>
        <v>-64.599999999999994</v>
      </c>
      <c r="N19" s="16">
        <f t="shared" si="1"/>
        <v>-64.599999999999994</v>
      </c>
      <c r="O19" s="16">
        <f t="shared" si="1"/>
        <v>-64.599999999999994</v>
      </c>
      <c r="P19" s="16">
        <f t="shared" si="1"/>
        <v>-5.4921999999999969</v>
      </c>
      <c r="Q19" s="16">
        <f t="shared" si="1"/>
        <v>-5.4921999999999969</v>
      </c>
      <c r="R19" s="16">
        <f t="shared" si="1"/>
        <v>-5.4921999999999969</v>
      </c>
      <c r="S19" s="16">
        <f t="shared" si="1"/>
        <v>-5.4921999999999969</v>
      </c>
      <c r="T19" s="16">
        <f t="shared" si="1"/>
        <v>-64.599999999999994</v>
      </c>
      <c r="U19" s="16">
        <f t="shared" si="1"/>
        <v>-64.599999999999994</v>
      </c>
      <c r="V19" s="25" t="e">
        <f t="shared" si="1"/>
        <v>#N/A</v>
      </c>
      <c r="AI19" s="48" t="s">
        <v>107</v>
      </c>
      <c r="AJ19" s="49">
        <v>3.2</v>
      </c>
      <c r="AK19" s="50">
        <v>10.5</v>
      </c>
      <c r="AL19" s="51">
        <v>17</v>
      </c>
      <c r="AM19" s="11">
        <v>6.2</v>
      </c>
      <c r="AN19" s="11" t="s">
        <v>112</v>
      </c>
    </row>
    <row r="20" spans="1:40" ht="13.5" thickBot="1" x14ac:dyDescent="0.3">
      <c r="A20" s="129" t="s">
        <v>91</v>
      </c>
      <c r="B20" s="130"/>
      <c r="C20" s="26" t="e">
        <f>IF($B31="","",IF(C$19&gt;=0,"INCREASE","DECREASE"))</f>
        <v>#N/A</v>
      </c>
      <c r="D20" s="26" t="e">
        <f>IF($B32="","",IF(D$19&gt;=0,"INCREASE","DECREASE"))</f>
        <v>#N/A</v>
      </c>
      <c r="E20" s="26" t="e">
        <f>IF($B33="","",IF(E$19&gt;=0,"INCREASE","DECREASE"))</f>
        <v>#N/A</v>
      </c>
      <c r="F20" s="26" t="str">
        <f>IF($B34="","",IF(F$19&gt;=0,"INCREASE","DECREASE"))</f>
        <v>DECREASE</v>
      </c>
      <c r="G20" s="26" t="str">
        <f>IF($B35="","",IF(G$19&gt;=0,"INCREASE","DECREASE"))</f>
        <v>DECREASE</v>
      </c>
      <c r="H20" s="26" t="str">
        <f>IF($B36="","",IF(H$19&gt;=0,"INCREASE","DECREASE"))</f>
        <v>DECREASE</v>
      </c>
      <c r="I20" s="26" t="str">
        <f>IF($B37="","",IF(I$19&gt;=0,"INCREASE","DECREASE"))</f>
        <v>DECREASE</v>
      </c>
      <c r="J20" s="26" t="e">
        <f>IF($B38="","",IF(J$19&gt;=0,"INCREASE","DECREASE"))</f>
        <v>#N/A</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
      </c>
      <c r="AI20" s="48" t="s">
        <v>114</v>
      </c>
      <c r="AJ20" s="49">
        <v>2.1</v>
      </c>
      <c r="AK20" s="50">
        <v>7.2</v>
      </c>
      <c r="AL20" s="51">
        <v>18</v>
      </c>
      <c r="AM20" s="11">
        <v>6.2</v>
      </c>
      <c r="AN20" s="11" t="s">
        <v>112</v>
      </c>
    </row>
    <row r="21" spans="1:40" ht="13" x14ac:dyDescent="0.25">
      <c r="A21" s="133" t="s">
        <v>88</v>
      </c>
      <c r="B21" s="134"/>
      <c r="C21" s="28" t="e">
        <f>(VLOOKUP(C$14,$AI2:$AK26,3,FALSE))*C$15</f>
        <v>#N/A</v>
      </c>
      <c r="D21" s="28" t="e">
        <f t="shared" ref="D21:V21" si="2">(VLOOKUP(D$14,$AI2:$AK24,3,FALSE))*D$15</f>
        <v>#N/A</v>
      </c>
      <c r="E21" s="28" t="e">
        <f t="shared" si="2"/>
        <v>#N/A</v>
      </c>
      <c r="F21" s="28">
        <f t="shared" si="2"/>
        <v>228</v>
      </c>
      <c r="G21" s="28">
        <f t="shared" si="2"/>
        <v>228</v>
      </c>
      <c r="H21" s="28">
        <f t="shared" si="2"/>
        <v>228</v>
      </c>
      <c r="I21" s="28">
        <f t="shared" si="2"/>
        <v>228</v>
      </c>
      <c r="J21" s="28" t="e">
        <f t="shared" si="2"/>
        <v>#N/A</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t="e">
        <f t="shared" si="2"/>
        <v>#N/A</v>
      </c>
      <c r="AI21" s="63" t="s">
        <v>100</v>
      </c>
      <c r="AJ21" s="66">
        <v>11</v>
      </c>
      <c r="AK21" s="65">
        <v>12</v>
      </c>
      <c r="AL21" s="29">
        <v>19</v>
      </c>
      <c r="AM21" s="11">
        <v>6.7</v>
      </c>
      <c r="AN21" s="11" t="s">
        <v>135</v>
      </c>
    </row>
    <row r="22" spans="1:40" ht="13" x14ac:dyDescent="0.25">
      <c r="A22" s="131" t="s">
        <v>89</v>
      </c>
      <c r="B22" s="132"/>
      <c r="C22" s="16">
        <f>$E31</f>
        <v>121.10250000000002</v>
      </c>
      <c r="D22" s="16">
        <f>$E32</f>
        <v>121.10250000000002</v>
      </c>
      <c r="E22" s="16">
        <f>$E33</f>
        <v>121.10250000000002</v>
      </c>
      <c r="F22" s="16">
        <f>$E34</f>
        <v>121.10250000000002</v>
      </c>
      <c r="G22" s="16">
        <f>$E35</f>
        <v>121.10250000000002</v>
      </c>
      <c r="H22" s="16">
        <f>$E36</f>
        <v>121.10250000000002</v>
      </c>
      <c r="I22" s="16">
        <f>$E37</f>
        <v>121.10250000000002</v>
      </c>
      <c r="J22" s="16">
        <f>$E38</f>
        <v>121.10250000000002</v>
      </c>
      <c r="K22" s="16">
        <f>$E39</f>
        <v>0</v>
      </c>
      <c r="L22" s="16">
        <f>$E40</f>
        <v>121.10250000000002</v>
      </c>
      <c r="M22" s="16">
        <f>$E41</f>
        <v>0</v>
      </c>
      <c r="N22" s="16">
        <f>$E42</f>
        <v>0</v>
      </c>
      <c r="O22" s="16">
        <f>$E43</f>
        <v>0</v>
      </c>
      <c r="P22" s="16">
        <f>$E44</f>
        <v>121.10250000000002</v>
      </c>
      <c r="Q22" s="16">
        <f>$E45</f>
        <v>121.10250000000002</v>
      </c>
      <c r="R22" s="16">
        <f>$E46</f>
        <v>121.10250000000002</v>
      </c>
      <c r="S22" s="16">
        <f>$E47</f>
        <v>121.10250000000002</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t="e">
        <f>C22-C21</f>
        <v>#N/A</v>
      </c>
      <c r="D23" s="16" t="e">
        <f t="shared" ref="D23:V23" si="3">D22-D21</f>
        <v>#N/A</v>
      </c>
      <c r="E23" s="16" t="e">
        <f t="shared" si="3"/>
        <v>#N/A</v>
      </c>
      <c r="F23" s="16">
        <f t="shared" si="3"/>
        <v>-106.89749999999998</v>
      </c>
      <c r="G23" s="16">
        <f t="shared" si="3"/>
        <v>-106.89749999999998</v>
      </c>
      <c r="H23" s="16">
        <f t="shared" si="3"/>
        <v>-106.89749999999998</v>
      </c>
      <c r="I23" s="16">
        <f t="shared" si="3"/>
        <v>-106.89749999999998</v>
      </c>
      <c r="J23" s="16" t="e">
        <f t="shared" si="3"/>
        <v>#N/A</v>
      </c>
      <c r="K23" s="16">
        <f t="shared" si="3"/>
        <v>-228</v>
      </c>
      <c r="L23" s="16">
        <f t="shared" si="3"/>
        <v>-106.89749999999998</v>
      </c>
      <c r="M23" s="16">
        <f t="shared" si="3"/>
        <v>-228</v>
      </c>
      <c r="N23" s="16">
        <f t="shared" si="3"/>
        <v>-228</v>
      </c>
      <c r="O23" s="16">
        <f t="shared" si="3"/>
        <v>-228</v>
      </c>
      <c r="P23" s="16">
        <f t="shared" si="3"/>
        <v>-106.89749999999998</v>
      </c>
      <c r="Q23" s="16">
        <f t="shared" si="3"/>
        <v>-106.89749999999998</v>
      </c>
      <c r="R23" s="16">
        <f t="shared" si="3"/>
        <v>-106.89749999999998</v>
      </c>
      <c r="S23" s="16">
        <f t="shared" si="3"/>
        <v>-106.89749999999998</v>
      </c>
      <c r="T23" s="16">
        <f t="shared" si="3"/>
        <v>-228</v>
      </c>
      <c r="U23" s="16">
        <f t="shared" si="3"/>
        <v>-228</v>
      </c>
      <c r="V23" s="16" t="e">
        <f t="shared" si="3"/>
        <v>#N/A</v>
      </c>
      <c r="AI23" s="63" t="s">
        <v>98</v>
      </c>
      <c r="AJ23" s="66">
        <v>9</v>
      </c>
      <c r="AK23" s="65">
        <v>10</v>
      </c>
      <c r="AL23" s="29">
        <v>21</v>
      </c>
      <c r="AM23" s="11">
        <v>6.7</v>
      </c>
      <c r="AN23" s="11" t="s">
        <v>135</v>
      </c>
    </row>
    <row r="24" spans="1:40" ht="13.5" thickBot="1" x14ac:dyDescent="0.3">
      <c r="A24" s="129" t="s">
        <v>93</v>
      </c>
      <c r="B24" s="130"/>
      <c r="C24" s="26" t="e">
        <f>IF($B31="","",IF(C$23&gt;=0,"INCREASE","DECREASE"))</f>
        <v>#N/A</v>
      </c>
      <c r="D24" s="26" t="e">
        <f t="shared" ref="D24:V24" si="4">IF($B31="","",IF(D$23&gt;=0,"INCREASE","DECREASE"))</f>
        <v>#N/A</v>
      </c>
      <c r="E24" s="26" t="e">
        <f t="shared" si="4"/>
        <v>#N/A</v>
      </c>
      <c r="F24" s="26" t="str">
        <f t="shared" si="4"/>
        <v>DECREASE</v>
      </c>
      <c r="G24" s="26" t="str">
        <f t="shared" si="4"/>
        <v>DECREASE</v>
      </c>
      <c r="H24" s="26" t="str">
        <f t="shared" si="4"/>
        <v>DECREASE</v>
      </c>
      <c r="I24" s="26" t="str">
        <f t="shared" si="4"/>
        <v>DECREASE</v>
      </c>
      <c r="J24" s="26" t="e">
        <f t="shared" si="4"/>
        <v>#N/A</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4.43</v>
      </c>
      <c r="C28" s="15">
        <v>0.48</v>
      </c>
      <c r="D28" s="15">
        <v>516</v>
      </c>
      <c r="E28" s="15">
        <v>2010</v>
      </c>
      <c r="F28" s="15">
        <v>102</v>
      </c>
      <c r="G28" s="15">
        <v>1.02</v>
      </c>
      <c r="H28" s="15">
        <v>6.87</v>
      </c>
      <c r="I28" s="15">
        <v>0.5</v>
      </c>
      <c r="J28" s="15">
        <v>0.02</v>
      </c>
      <c r="K28" s="23">
        <v>0.05</v>
      </c>
      <c r="L28" s="15">
        <v>0.3</v>
      </c>
      <c r="M28" s="15">
        <v>0.35</v>
      </c>
      <c r="N28" s="15"/>
      <c r="O28" s="15"/>
      <c r="P28" s="15"/>
      <c r="Q28" s="15">
        <v>425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v>50</v>
      </c>
      <c r="C31" s="77">
        <f>IF(C$27="%w/w SAR",((C$28*10)*$B31),IF(C$27="%w/w DM",(((C$28*10)*($B$28/100))*$B31),IF(C$27="kg/t SAR",(C$28*$B31),IF(C$27="kg/t DM",((C$28*($B$28/100))*$B31),IF(C$27="mg/kg SAR",((C$28*0.001)*$B31),IF(C$27="mg/kg DM",(((C$28*0.001)*($B$28/100))*$B31),0))))))</f>
        <v>240</v>
      </c>
      <c r="D31" s="77">
        <f>(IF(D$27="%w/w SAR",((D$28*10)*$B31),IF(D$27="%w/w DM",(((D$28*10)*($B$28/100))*$B31),IF(D$27="kg/t SAR",(D$28*$B31),IF(D$27="kg/t DM",((D$28*($B$28/100))*$B31),IF(D$27="mg/kg SAR",((D$28*0.001)*$B31),IF(D$27="mg/kg DM",(((D$28*0.001)*($B$28/100))*$B31),"0")))))))*2.291</f>
        <v>59.107799999999997</v>
      </c>
      <c r="E31" s="77">
        <f>(IF(E$27="%w/w SAR",((E$28*10)*$B31),IF(E$27="%w/w DM",(((E$28*10)*($B$28/100))*$B31),IF(E$27="kg/t SAR",(E$28*$B31),IF(E$27="kg/t DM",((E$28*($B$28/100))*$B31),IF(E$27="mg/kg SAR",((E$28*0.001)*$B31),IF(E$27="mg/kg DM",(((E$28*0.001)*($B$28/100))*$B31),"0")))))))*1.205</f>
        <v>121.10250000000002</v>
      </c>
      <c r="F31" s="77">
        <f>(IF(F$27="%w/w SAR",((F$28*10)*$B31),IF(F$27="%w/w DM",(((F$28*10)*($B$28/100))*$B31),IF(F$27="kg/t SAR",(F$28*$B31),IF(F$27="kg/t DM",((F$28*($B$28/100))*$B31),IF(F$27="mg/kg SAR",((F$28*0.001)*$B31),IF(F$27="mg/kg DM",(((F$28*0.001)*($B$28/100))*$B31),"0")))))))*1.658</f>
        <v>8.4558</v>
      </c>
      <c r="G31" s="77">
        <f t="shared" ref="G31:P46" si="5">IF(G$27="%w/w SAR",((G$28*10)*$B31),IF(G$27="%w/w DM",(((G$28*10)*($B$28/100))*$B31),IF(G$27="kg/t SAR",(G$28*$B31),IF(G$27="kg/t DM",((G$28*($B$28/100))*$B31),IF(G$27="mg/kg SAR",((G$28*0.001)*$B31),IF(G$27="mg/kg DM",(((G$28*0.001)*($B$28/100))*$B31),0))))))</f>
        <v>5.1000000000000004E-2</v>
      </c>
      <c r="H31" s="77">
        <f t="shared" si="5"/>
        <v>0.34350000000000003</v>
      </c>
      <c r="I31" s="77">
        <f t="shared" si="5"/>
        <v>2.5000000000000001E-2</v>
      </c>
      <c r="J31" s="77">
        <f t="shared" si="5"/>
        <v>1E-3</v>
      </c>
      <c r="K31" s="77">
        <f t="shared" si="5"/>
        <v>2.5000000000000001E-3</v>
      </c>
      <c r="L31" s="77">
        <f t="shared" si="5"/>
        <v>1.4999999999999999E-2</v>
      </c>
      <c r="M31" s="77">
        <f t="shared" si="5"/>
        <v>1.7499999999999998E-2</v>
      </c>
      <c r="N31" s="77">
        <f t="shared" si="5"/>
        <v>0</v>
      </c>
      <c r="O31" s="77">
        <f t="shared" si="5"/>
        <v>0</v>
      </c>
      <c r="P31" s="77">
        <f t="shared" si="5"/>
        <v>0</v>
      </c>
      <c r="Q31" s="77">
        <f>(IF(Q$27="%w/w SAR",((Q$28*10)*$B31),IF(Q$27="%w/w DM",(((Q$28*10)*($B$28/100))*$B31),IF(Q$27="kg/t SAR",(Q$28*$B31),IF(Q$27="kg/t DM",((Q$28*($B$28/100))*$B31),IF(Q$27="mg/kg SAR",((Q$28*0.001)*$B31),IF(Q$27="mg/kg DM",(((Q$28*0.001)*($B$28/100))*$B31),0)))))))*2.5</f>
        <v>53.125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v>50</v>
      </c>
      <c r="C32" s="77">
        <f t="shared" ref="C32:C50" si="6">IF(C$27="%w/w SAR",((C$28*10)*$B32),IF(C$27="%w/w DM",(((C$28*10)*($B$28/100))*$B32),IF(C$27="kg/t SAR",(C$28*$B32),IF(C$27="kg/t DM",((C$28*($B$28/100))*$B32),IF(C$27="mg/kg SAR",((C$28*0.001)*$B32),IF(C$27="mg/kg DM",(((C$28*0.001)*($B$28/100))*$B32),0))))))</f>
        <v>240</v>
      </c>
      <c r="D32" s="77">
        <f t="shared" ref="D32:D50" si="7">(IF(D$27="%w/w SAR",((D$28*10)*$B32),IF(D$27="%w/w DM",(((D$28*10)*($B$28/100))*$B32),IF(D$27="kg/t SAR",(D$28*$B32),IF(D$27="kg/t DM",((D$28*($B$28/100))*$B32),IF(D$27="mg/kg SAR",((D$28*0.001)*$B32),IF(D$27="mg/kg DM",(((D$28*0.001)*($B$28/100))*$B32),"0")))))))*2.291</f>
        <v>59.107799999999997</v>
      </c>
      <c r="E32" s="77">
        <f t="shared" ref="E32:E50" si="8">(IF(E$27="%w/w SAR",((E$28*10)*$B32),IF(E$27="%w/w DM",(((E$28*10)*($B$28/100))*$B32),IF(E$27="kg/t SAR",(E$28*$B32),IF(E$27="kg/t DM",((E$28*($B$28/100))*$B32),IF(E$27="mg/kg SAR",((E$28*0.001)*$B32),IF(E$27="mg/kg DM",(((E$28*0.001)*($B$28/100))*$B32),"0")))))))*1.205</f>
        <v>121.10250000000002</v>
      </c>
      <c r="F32" s="77">
        <f t="shared" ref="F32:F50" si="9">(IF(F$27="%w/w SAR",((F$28*10)*$B32),IF(F$27="%w/w DM",(((F$28*10)*($B$28/100))*$B32),IF(F$27="kg/t SAR",(F$28*$B32),IF(F$27="kg/t DM",((F$28*($B$28/100))*$B32),IF(F$27="mg/kg SAR",((F$28*0.001)*$B32),IF(F$27="mg/kg DM",(((F$28*0.001)*($B$28/100))*$B32),"0")))))))*1.658</f>
        <v>8.4558</v>
      </c>
      <c r="G32" s="77">
        <f t="shared" si="5"/>
        <v>5.1000000000000004E-2</v>
      </c>
      <c r="H32" s="77">
        <f t="shared" si="5"/>
        <v>0.34350000000000003</v>
      </c>
      <c r="I32" s="77">
        <f t="shared" si="5"/>
        <v>2.5000000000000001E-2</v>
      </c>
      <c r="J32" s="77">
        <f t="shared" si="5"/>
        <v>1E-3</v>
      </c>
      <c r="K32" s="77">
        <f t="shared" si="5"/>
        <v>2.5000000000000001E-3</v>
      </c>
      <c r="L32" s="77">
        <f t="shared" si="5"/>
        <v>1.4999999999999999E-2</v>
      </c>
      <c r="M32" s="77">
        <f t="shared" si="5"/>
        <v>1.7499999999999998E-2</v>
      </c>
      <c r="N32" s="77">
        <f t="shared" si="5"/>
        <v>0</v>
      </c>
      <c r="O32" s="77">
        <f t="shared" si="5"/>
        <v>0</v>
      </c>
      <c r="P32" s="77">
        <f t="shared" si="5"/>
        <v>0</v>
      </c>
      <c r="Q32" s="77">
        <f t="shared" ref="Q32:Q50" si="10">(IF(Q$27="%w/w SAR",((Q$28*10)*$B32),IF(Q$27="%w/w DM",(((Q$28*10)*($B$28/100))*$B32),IF(Q$27="kg/t SAR",(Q$28*$B32),IF(Q$27="kg/t DM",((Q$28*($B$28/100))*$B32),IF(Q$27="mg/kg SAR",((Q$28*0.001)*$B32),IF(Q$27="mg/kg DM",(((Q$28*0.001)*($B$28/100))*$B32),0)))))))*2.5</f>
        <v>53.125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0</v>
      </c>
      <c r="B33" s="15">
        <v>50</v>
      </c>
      <c r="C33" s="77">
        <f t="shared" si="6"/>
        <v>240</v>
      </c>
      <c r="D33" s="77">
        <f t="shared" si="7"/>
        <v>59.107799999999997</v>
      </c>
      <c r="E33" s="77">
        <f t="shared" si="8"/>
        <v>121.10250000000002</v>
      </c>
      <c r="F33" s="77">
        <f t="shared" si="9"/>
        <v>8.4558</v>
      </c>
      <c r="G33" s="77">
        <f t="shared" si="5"/>
        <v>5.1000000000000004E-2</v>
      </c>
      <c r="H33" s="77">
        <f t="shared" si="5"/>
        <v>0.34350000000000003</v>
      </c>
      <c r="I33" s="77">
        <f t="shared" si="5"/>
        <v>2.5000000000000001E-2</v>
      </c>
      <c r="J33" s="77">
        <f t="shared" si="5"/>
        <v>1E-3</v>
      </c>
      <c r="K33" s="77">
        <f t="shared" si="5"/>
        <v>2.5000000000000001E-3</v>
      </c>
      <c r="L33" s="77">
        <f t="shared" si="5"/>
        <v>1.4999999999999999E-2</v>
      </c>
      <c r="M33" s="77">
        <f t="shared" si="5"/>
        <v>1.7499999999999998E-2</v>
      </c>
      <c r="N33" s="77">
        <f t="shared" si="5"/>
        <v>0</v>
      </c>
      <c r="O33" s="77">
        <f t="shared" si="5"/>
        <v>0</v>
      </c>
      <c r="P33" s="77">
        <f t="shared" si="5"/>
        <v>0</v>
      </c>
      <c r="Q33" s="77">
        <f t="shared" si="10"/>
        <v>53.125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1294</v>
      </c>
      <c r="B34" s="15">
        <v>50</v>
      </c>
      <c r="C34" s="77">
        <f t="shared" si="6"/>
        <v>240</v>
      </c>
      <c r="D34" s="77">
        <f t="shared" si="7"/>
        <v>59.107799999999997</v>
      </c>
      <c r="E34" s="77">
        <f t="shared" si="8"/>
        <v>121.10250000000002</v>
      </c>
      <c r="F34" s="77">
        <f t="shared" si="9"/>
        <v>8.4558</v>
      </c>
      <c r="G34" s="77">
        <f t="shared" si="5"/>
        <v>5.1000000000000004E-2</v>
      </c>
      <c r="H34" s="77">
        <f t="shared" si="5"/>
        <v>0.34350000000000003</v>
      </c>
      <c r="I34" s="77">
        <f t="shared" si="5"/>
        <v>2.5000000000000001E-2</v>
      </c>
      <c r="J34" s="77">
        <f t="shared" si="5"/>
        <v>1E-3</v>
      </c>
      <c r="K34" s="77">
        <f t="shared" si="5"/>
        <v>2.5000000000000001E-3</v>
      </c>
      <c r="L34" s="77">
        <f t="shared" si="5"/>
        <v>1.4999999999999999E-2</v>
      </c>
      <c r="M34" s="77">
        <f t="shared" si="5"/>
        <v>1.7499999999999998E-2</v>
      </c>
      <c r="N34" s="77">
        <f t="shared" si="5"/>
        <v>0</v>
      </c>
      <c r="O34" s="77">
        <f t="shared" si="5"/>
        <v>0</v>
      </c>
      <c r="P34" s="77">
        <f t="shared" si="5"/>
        <v>0</v>
      </c>
      <c r="Q34" s="77">
        <f t="shared" si="10"/>
        <v>53.125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2225</v>
      </c>
      <c r="B35" s="15">
        <v>50</v>
      </c>
      <c r="C35" s="77">
        <f t="shared" si="6"/>
        <v>240</v>
      </c>
      <c r="D35" s="77">
        <f t="shared" si="7"/>
        <v>59.107799999999997</v>
      </c>
      <c r="E35" s="77">
        <f t="shared" si="8"/>
        <v>121.10250000000002</v>
      </c>
      <c r="F35" s="77">
        <f t="shared" si="9"/>
        <v>8.4558</v>
      </c>
      <c r="G35" s="77">
        <f t="shared" si="5"/>
        <v>5.1000000000000004E-2</v>
      </c>
      <c r="H35" s="77">
        <f t="shared" si="5"/>
        <v>0.34350000000000003</v>
      </c>
      <c r="I35" s="77">
        <f t="shared" si="5"/>
        <v>2.5000000000000001E-2</v>
      </c>
      <c r="J35" s="77">
        <f t="shared" si="5"/>
        <v>1E-3</v>
      </c>
      <c r="K35" s="77">
        <f t="shared" si="5"/>
        <v>2.5000000000000001E-3</v>
      </c>
      <c r="L35" s="77">
        <f t="shared" si="5"/>
        <v>1.4999999999999999E-2</v>
      </c>
      <c r="M35" s="77">
        <f t="shared" si="5"/>
        <v>1.7499999999999998E-2</v>
      </c>
      <c r="N35" s="77">
        <f t="shared" si="5"/>
        <v>0</v>
      </c>
      <c r="O35" s="77">
        <f t="shared" si="5"/>
        <v>0</v>
      </c>
      <c r="P35" s="77">
        <f t="shared" si="5"/>
        <v>0</v>
      </c>
      <c r="Q35" s="77">
        <f t="shared" si="10"/>
        <v>53.125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3210</v>
      </c>
      <c r="B36" s="15">
        <v>50</v>
      </c>
      <c r="C36" s="77">
        <f t="shared" si="6"/>
        <v>240</v>
      </c>
      <c r="D36" s="77">
        <f t="shared" si="7"/>
        <v>59.107799999999997</v>
      </c>
      <c r="E36" s="77">
        <f t="shared" si="8"/>
        <v>121.10250000000002</v>
      </c>
      <c r="F36" s="77">
        <f t="shared" si="9"/>
        <v>8.4558</v>
      </c>
      <c r="G36" s="77">
        <f t="shared" si="5"/>
        <v>5.1000000000000004E-2</v>
      </c>
      <c r="H36" s="77">
        <f t="shared" si="5"/>
        <v>0.34350000000000003</v>
      </c>
      <c r="I36" s="77">
        <f t="shared" si="5"/>
        <v>2.5000000000000001E-2</v>
      </c>
      <c r="J36" s="77">
        <f t="shared" si="5"/>
        <v>1E-3</v>
      </c>
      <c r="K36" s="77">
        <f t="shared" si="5"/>
        <v>2.5000000000000001E-3</v>
      </c>
      <c r="L36" s="77">
        <f t="shared" si="5"/>
        <v>1.4999999999999999E-2</v>
      </c>
      <c r="M36" s="77">
        <f t="shared" si="5"/>
        <v>1.7499999999999998E-2</v>
      </c>
      <c r="N36" s="77">
        <f t="shared" si="5"/>
        <v>0</v>
      </c>
      <c r="O36" s="77">
        <f t="shared" si="5"/>
        <v>0</v>
      </c>
      <c r="P36" s="77">
        <f t="shared" si="5"/>
        <v>0</v>
      </c>
      <c r="Q36" s="77">
        <f t="shared" si="10"/>
        <v>53.125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3732</v>
      </c>
      <c r="B37" s="15">
        <v>50</v>
      </c>
      <c r="C37" s="77">
        <f t="shared" si="6"/>
        <v>240</v>
      </c>
      <c r="D37" s="77">
        <f t="shared" si="7"/>
        <v>59.107799999999997</v>
      </c>
      <c r="E37" s="77">
        <f t="shared" si="8"/>
        <v>121.10250000000002</v>
      </c>
      <c r="F37" s="77">
        <f t="shared" si="9"/>
        <v>8.4558</v>
      </c>
      <c r="G37" s="77">
        <f t="shared" si="5"/>
        <v>5.1000000000000004E-2</v>
      </c>
      <c r="H37" s="77">
        <f t="shared" si="5"/>
        <v>0.34350000000000003</v>
      </c>
      <c r="I37" s="77">
        <f t="shared" si="5"/>
        <v>2.5000000000000001E-2</v>
      </c>
      <c r="J37" s="77">
        <f t="shared" si="5"/>
        <v>1E-3</v>
      </c>
      <c r="K37" s="77">
        <f t="shared" si="5"/>
        <v>2.5000000000000001E-3</v>
      </c>
      <c r="L37" s="77">
        <f t="shared" si="5"/>
        <v>1.4999999999999999E-2</v>
      </c>
      <c r="M37" s="77">
        <f t="shared" si="5"/>
        <v>1.7499999999999998E-2</v>
      </c>
      <c r="N37" s="77">
        <f t="shared" si="5"/>
        <v>0</v>
      </c>
      <c r="O37" s="77">
        <f t="shared" si="5"/>
        <v>0</v>
      </c>
      <c r="P37" s="77">
        <f t="shared" si="5"/>
        <v>0</v>
      </c>
      <c r="Q37" s="77">
        <f t="shared" si="10"/>
        <v>53.125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v>50</v>
      </c>
      <c r="C38" s="77">
        <f t="shared" si="6"/>
        <v>240</v>
      </c>
      <c r="D38" s="77">
        <f t="shared" si="7"/>
        <v>59.107799999999997</v>
      </c>
      <c r="E38" s="77">
        <f t="shared" si="8"/>
        <v>121.10250000000002</v>
      </c>
      <c r="F38" s="77">
        <f t="shared" si="9"/>
        <v>8.4558</v>
      </c>
      <c r="G38" s="77">
        <f t="shared" si="5"/>
        <v>5.1000000000000004E-2</v>
      </c>
      <c r="H38" s="77">
        <f t="shared" si="5"/>
        <v>0.34350000000000003</v>
      </c>
      <c r="I38" s="77">
        <f t="shared" si="5"/>
        <v>2.5000000000000001E-2</v>
      </c>
      <c r="J38" s="77">
        <f t="shared" si="5"/>
        <v>1E-3</v>
      </c>
      <c r="K38" s="77">
        <f t="shared" si="5"/>
        <v>2.5000000000000001E-3</v>
      </c>
      <c r="L38" s="77">
        <f t="shared" si="5"/>
        <v>1.4999999999999999E-2</v>
      </c>
      <c r="M38" s="77">
        <f t="shared" si="5"/>
        <v>1.7499999999999998E-2</v>
      </c>
      <c r="N38" s="77">
        <f t="shared" si="5"/>
        <v>0</v>
      </c>
      <c r="O38" s="77">
        <f t="shared" si="5"/>
        <v>0</v>
      </c>
      <c r="P38" s="77">
        <f t="shared" si="5"/>
        <v>0</v>
      </c>
      <c r="Q38" s="77">
        <f t="shared" si="10"/>
        <v>53.125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5867</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1808</v>
      </c>
      <c r="B40" s="15">
        <v>50</v>
      </c>
      <c r="C40" s="77">
        <f t="shared" si="6"/>
        <v>240</v>
      </c>
      <c r="D40" s="77">
        <f t="shared" si="7"/>
        <v>59.107799999999997</v>
      </c>
      <c r="E40" s="77">
        <f t="shared" si="8"/>
        <v>121.10250000000002</v>
      </c>
      <c r="F40" s="77">
        <f t="shared" si="9"/>
        <v>8.4558</v>
      </c>
      <c r="G40" s="77">
        <f t="shared" si="5"/>
        <v>5.1000000000000004E-2</v>
      </c>
      <c r="H40" s="77">
        <f t="shared" si="5"/>
        <v>0.34350000000000003</v>
      </c>
      <c r="I40" s="77">
        <f t="shared" si="5"/>
        <v>2.5000000000000001E-2</v>
      </c>
      <c r="J40" s="77">
        <f t="shared" si="5"/>
        <v>1E-3</v>
      </c>
      <c r="K40" s="77">
        <f t="shared" si="5"/>
        <v>2.5000000000000001E-3</v>
      </c>
      <c r="L40" s="77">
        <f t="shared" si="5"/>
        <v>1.4999999999999999E-2</v>
      </c>
      <c r="M40" s="77">
        <f t="shared" si="5"/>
        <v>1.7499999999999998E-2</v>
      </c>
      <c r="N40" s="77">
        <f t="shared" si="5"/>
        <v>0</v>
      </c>
      <c r="O40" s="77">
        <f t="shared" si="5"/>
        <v>0</v>
      </c>
      <c r="P40" s="77">
        <f t="shared" si="5"/>
        <v>0</v>
      </c>
      <c r="Q40" s="77">
        <f t="shared" si="10"/>
        <v>53.125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24</v>
      </c>
      <c r="B41" s="15">
        <v>0</v>
      </c>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25</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26</v>
      </c>
      <c r="B43" s="15">
        <v>0</v>
      </c>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27</v>
      </c>
      <c r="B44" s="15">
        <v>50</v>
      </c>
      <c r="C44" s="77">
        <f t="shared" si="6"/>
        <v>240</v>
      </c>
      <c r="D44" s="77">
        <f t="shared" si="7"/>
        <v>59.107799999999997</v>
      </c>
      <c r="E44" s="77">
        <f t="shared" si="8"/>
        <v>121.10250000000002</v>
      </c>
      <c r="F44" s="77">
        <f t="shared" si="9"/>
        <v>8.4558</v>
      </c>
      <c r="G44" s="77">
        <f t="shared" si="5"/>
        <v>5.1000000000000004E-2</v>
      </c>
      <c r="H44" s="77">
        <f t="shared" si="5"/>
        <v>0.34350000000000003</v>
      </c>
      <c r="I44" s="77">
        <f t="shared" si="5"/>
        <v>2.5000000000000001E-2</v>
      </c>
      <c r="J44" s="77">
        <f t="shared" si="5"/>
        <v>1E-3</v>
      </c>
      <c r="K44" s="77">
        <f t="shared" si="5"/>
        <v>2.5000000000000001E-3</v>
      </c>
      <c r="L44" s="77">
        <f t="shared" si="5"/>
        <v>1.4999999999999999E-2</v>
      </c>
      <c r="M44" s="77">
        <f t="shared" si="5"/>
        <v>1.7499999999999998E-2</v>
      </c>
      <c r="N44" s="77">
        <f t="shared" si="5"/>
        <v>0</v>
      </c>
      <c r="O44" s="77">
        <f t="shared" si="5"/>
        <v>0</v>
      </c>
      <c r="P44" s="77">
        <f t="shared" si="5"/>
        <v>0</v>
      </c>
      <c r="Q44" s="77">
        <f t="shared" si="10"/>
        <v>53.125</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33</v>
      </c>
      <c r="B45" s="15">
        <v>50</v>
      </c>
      <c r="C45" s="77">
        <f t="shared" si="6"/>
        <v>240</v>
      </c>
      <c r="D45" s="77">
        <f t="shared" si="7"/>
        <v>59.107799999999997</v>
      </c>
      <c r="E45" s="77">
        <f t="shared" si="8"/>
        <v>121.10250000000002</v>
      </c>
      <c r="F45" s="77">
        <f t="shared" si="9"/>
        <v>8.4558</v>
      </c>
      <c r="G45" s="77">
        <f t="shared" si="5"/>
        <v>5.1000000000000004E-2</v>
      </c>
      <c r="H45" s="77">
        <f t="shared" si="5"/>
        <v>0.34350000000000003</v>
      </c>
      <c r="I45" s="77">
        <f t="shared" si="5"/>
        <v>2.5000000000000001E-2</v>
      </c>
      <c r="J45" s="77">
        <f t="shared" si="5"/>
        <v>1E-3</v>
      </c>
      <c r="K45" s="77">
        <f t="shared" si="5"/>
        <v>2.5000000000000001E-3</v>
      </c>
      <c r="L45" s="77">
        <f t="shared" si="5"/>
        <v>1.4999999999999999E-2</v>
      </c>
      <c r="M45" s="77">
        <f t="shared" si="5"/>
        <v>1.7499999999999998E-2</v>
      </c>
      <c r="N45" s="77">
        <f t="shared" si="5"/>
        <v>0</v>
      </c>
      <c r="O45" s="77">
        <f t="shared" si="5"/>
        <v>0</v>
      </c>
      <c r="P45" s="77">
        <f t="shared" si="5"/>
        <v>0</v>
      </c>
      <c r="Q45" s="77">
        <f t="shared" si="10"/>
        <v>53.125</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34</v>
      </c>
      <c r="B46" s="15">
        <v>50</v>
      </c>
      <c r="C46" s="77">
        <f t="shared" si="6"/>
        <v>240</v>
      </c>
      <c r="D46" s="77">
        <f t="shared" si="7"/>
        <v>59.107799999999997</v>
      </c>
      <c r="E46" s="77">
        <f t="shared" si="8"/>
        <v>121.10250000000002</v>
      </c>
      <c r="F46" s="77">
        <f t="shared" si="9"/>
        <v>8.4558</v>
      </c>
      <c r="G46" s="77">
        <f t="shared" si="5"/>
        <v>5.1000000000000004E-2</v>
      </c>
      <c r="H46" s="77">
        <f t="shared" si="5"/>
        <v>0.34350000000000003</v>
      </c>
      <c r="I46" s="77">
        <f t="shared" si="5"/>
        <v>2.5000000000000001E-2</v>
      </c>
      <c r="J46" s="77">
        <f t="shared" si="5"/>
        <v>1E-3</v>
      </c>
      <c r="K46" s="77">
        <f t="shared" si="5"/>
        <v>2.5000000000000001E-3</v>
      </c>
      <c r="L46" s="77">
        <f t="shared" si="5"/>
        <v>1.4999999999999999E-2</v>
      </c>
      <c r="M46" s="77">
        <f t="shared" si="5"/>
        <v>1.7499999999999998E-2</v>
      </c>
      <c r="N46" s="77">
        <f t="shared" si="5"/>
        <v>0</v>
      </c>
      <c r="O46" s="77">
        <f t="shared" si="5"/>
        <v>0</v>
      </c>
      <c r="P46" s="77">
        <f t="shared" si="5"/>
        <v>0</v>
      </c>
      <c r="Q46" s="77">
        <f t="shared" si="10"/>
        <v>53.125</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35</v>
      </c>
      <c r="B47" s="15">
        <v>50</v>
      </c>
      <c r="C47" s="77">
        <f t="shared" si="6"/>
        <v>240</v>
      </c>
      <c r="D47" s="77">
        <f t="shared" si="7"/>
        <v>59.107799999999997</v>
      </c>
      <c r="E47" s="77">
        <f t="shared" si="8"/>
        <v>121.10250000000002</v>
      </c>
      <c r="F47" s="77">
        <f t="shared" si="9"/>
        <v>8.4558</v>
      </c>
      <c r="G47" s="77">
        <f t="shared" ref="G47:P50" si="12">IF(G$27="%w/w SAR",((G$28*10)*$B47),IF(G$27="%w/w DM",(((G$28*10)*($B$28/100))*$B47),IF(G$27="kg/t SAR",(G$28*$B47),IF(G$27="kg/t DM",((G$28*($B$28/100))*$B47),IF(G$27="mg/kg SAR",((G$28*0.001)*$B47),IF(G$27="mg/kg DM",(((G$28*0.001)*($B$28/100))*$B47),0))))))</f>
        <v>5.1000000000000004E-2</v>
      </c>
      <c r="H47" s="77">
        <f t="shared" si="12"/>
        <v>0.34350000000000003</v>
      </c>
      <c r="I47" s="77">
        <f t="shared" si="12"/>
        <v>2.5000000000000001E-2</v>
      </c>
      <c r="J47" s="77">
        <f t="shared" si="12"/>
        <v>1E-3</v>
      </c>
      <c r="K47" s="77">
        <f t="shared" si="12"/>
        <v>2.5000000000000001E-3</v>
      </c>
      <c r="L47" s="77">
        <f t="shared" si="12"/>
        <v>1.4999999999999999E-2</v>
      </c>
      <c r="M47" s="77">
        <f t="shared" si="12"/>
        <v>1.7499999999999998E-2</v>
      </c>
      <c r="N47" s="77">
        <f t="shared" si="12"/>
        <v>0</v>
      </c>
      <c r="O47" s="77">
        <f t="shared" si="12"/>
        <v>0</v>
      </c>
      <c r="P47" s="77">
        <f t="shared" si="12"/>
        <v>0</v>
      </c>
      <c r="Q47" s="77">
        <f t="shared" si="10"/>
        <v>53.125</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t="str">
        <f>T8</f>
        <v>36a</v>
      </c>
      <c r="B48" s="15">
        <v>0</v>
      </c>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37</v>
      </c>
      <c r="B49" s="15">
        <v>0</v>
      </c>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0</v>
      </c>
      <c r="E57" s="8">
        <f t="shared" si="13"/>
        <v>1294</v>
      </c>
      <c r="F57" s="8">
        <f t="shared" si="13"/>
        <v>2225</v>
      </c>
      <c r="G57" s="8">
        <f t="shared" si="13"/>
        <v>3210</v>
      </c>
      <c r="H57" s="8">
        <f t="shared" si="13"/>
        <v>3732</v>
      </c>
      <c r="I57" s="8">
        <f t="shared" si="13"/>
        <v>0</v>
      </c>
      <c r="J57" s="8">
        <f t="shared" si="13"/>
        <v>5867</v>
      </c>
      <c r="K57" s="8">
        <f t="shared" si="13"/>
        <v>1808</v>
      </c>
      <c r="L57" s="8">
        <f t="shared" si="13"/>
        <v>24</v>
      </c>
      <c r="M57" s="8">
        <f t="shared" si="13"/>
        <v>25</v>
      </c>
      <c r="N57" s="8">
        <f t="shared" si="13"/>
        <v>26</v>
      </c>
      <c r="O57" s="8">
        <f t="shared" si="13"/>
        <v>27</v>
      </c>
      <c r="P57" s="8">
        <f t="shared" si="13"/>
        <v>33</v>
      </c>
      <c r="Q57" s="8">
        <f t="shared" si="13"/>
        <v>34</v>
      </c>
      <c r="R57" s="8">
        <f t="shared" si="13"/>
        <v>35</v>
      </c>
      <c r="S57" s="8" t="str">
        <f t="shared" si="13"/>
        <v>36a</v>
      </c>
      <c r="T57" s="8">
        <f t="shared" si="13"/>
        <v>37</v>
      </c>
      <c r="U57" s="8">
        <f t="shared" si="13"/>
        <v>0</v>
      </c>
    </row>
    <row r="58" spans="1:35" s="19" customFormat="1" ht="13" x14ac:dyDescent="0.35">
      <c r="A58" s="92" t="s">
        <v>136</v>
      </c>
      <c r="B58" s="13" t="e">
        <f>C16&amp;" I "&amp;(VLOOKUP(C14,Table245811[],6,FALSE))</f>
        <v>#N/A</v>
      </c>
      <c r="C58" s="13" t="e">
        <f>D16&amp;" I "&amp;(VLOOKUP(D14,Table245811[],6,FALSE))</f>
        <v>#N/A</v>
      </c>
      <c r="D58" s="13" t="e">
        <f>E16&amp;" I "&amp;(VLOOKUP(E14,Table245811[],6,FALSE))</f>
        <v>#N/A</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e">
        <f>J16&amp;" I "&amp;(VLOOKUP(J14,Table245811[],6,FALSE))</f>
        <v>#N/A</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str">
        <f>S16&amp;" I "&amp;(VLOOKUP(S14,Table245811[],6,FALSE))</f>
        <v>Medium/Clay I Grass</v>
      </c>
      <c r="S58" s="13" t="str">
        <f>T16&amp;" I "&amp;(VLOOKUP(T14,Table245811[],6,FALSE))</f>
        <v>Medium/Clay I Grass</v>
      </c>
      <c r="T58" s="13" t="str">
        <f>U16&amp;" I "&amp;(VLOOKUP(U14,Table245811[],6,FALSE))</f>
        <v>Medium/Clay I Grass</v>
      </c>
      <c r="U58" s="13" t="e">
        <f>V16&amp;" I "&amp;(VLOOKUP(V14,Table245811[],6,FALSE))</f>
        <v>#N/A</v>
      </c>
    </row>
    <row r="59" spans="1:35" s="19" customFormat="1" ht="13" x14ac:dyDescent="0.3">
      <c r="A59" s="111" t="s">
        <v>132</v>
      </c>
      <c r="B59" s="76" t="e">
        <f>VLOOKUP(C$14,Table245811[],5,FALSE)</f>
        <v>#N/A</v>
      </c>
      <c r="C59" s="76" t="e">
        <f>VLOOKUP(D$14,Table245811[],5,FALSE)</f>
        <v>#N/A</v>
      </c>
      <c r="D59" s="76" t="e">
        <f>VLOOKUP(E$14,Table245811[],5,FALSE)</f>
        <v>#N/A</v>
      </c>
      <c r="E59" s="76">
        <f>VLOOKUP(F$14,Table245811[],5,FALSE)</f>
        <v>6.2</v>
      </c>
      <c r="F59" s="76">
        <f>VLOOKUP(G$14,Table245811[],5,FALSE)</f>
        <v>6.2</v>
      </c>
      <c r="G59" s="76">
        <f>VLOOKUP(H$14,Table245811[],5,FALSE)</f>
        <v>6.2</v>
      </c>
      <c r="H59" s="76">
        <f>VLOOKUP(I$14,Table245811[],5,FALSE)</f>
        <v>6.2</v>
      </c>
      <c r="I59" s="76" t="e">
        <f>VLOOKUP(J$14,Table245811[],5,FALSE)</f>
        <v>#N/A</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f>VLOOKUP(R$14,Table245811[],5,FALSE)</f>
        <v>6.2</v>
      </c>
      <c r="R59" s="76">
        <f>VLOOKUP(S$14,Table245811[],5,FALSE)</f>
        <v>6.2</v>
      </c>
      <c r="S59" s="76">
        <f>VLOOKUP(T$14,Table245811[],5,FALSE)</f>
        <v>6.2</v>
      </c>
      <c r="T59" s="76">
        <f>VLOOKUP(U$14,Table245811[],5,FALSE)</f>
        <v>6.2</v>
      </c>
      <c r="U59" s="76" t="e">
        <f>VLOOKUP(V$14,Table245811[],5,FALSE)</f>
        <v>#N/A</v>
      </c>
    </row>
    <row r="60" spans="1:35" s="19" customFormat="1" ht="13" x14ac:dyDescent="0.3">
      <c r="A60" s="111" t="s">
        <v>4</v>
      </c>
      <c r="B60" s="76">
        <f>C10</f>
        <v>0</v>
      </c>
      <c r="C60" s="76">
        <f t="shared" ref="C60:U60" si="14">D10</f>
        <v>0</v>
      </c>
      <c r="D60" s="76">
        <f t="shared" si="14"/>
        <v>0</v>
      </c>
      <c r="E60" s="76">
        <f t="shared" si="14"/>
        <v>7</v>
      </c>
      <c r="F60" s="76">
        <f t="shared" si="14"/>
        <v>7.6</v>
      </c>
      <c r="G60" s="76">
        <f t="shared" si="14"/>
        <v>7.3</v>
      </c>
      <c r="H60" s="76">
        <f t="shared" si="14"/>
        <v>7.5</v>
      </c>
      <c r="I60" s="76">
        <f t="shared" si="14"/>
        <v>0</v>
      </c>
      <c r="J60" s="76">
        <f t="shared" si="14"/>
        <v>7.9</v>
      </c>
      <c r="K60" s="76">
        <f t="shared" si="14"/>
        <v>6.4</v>
      </c>
      <c r="L60" s="76">
        <f t="shared" si="14"/>
        <v>8.1999999999999993</v>
      </c>
      <c r="M60" s="76">
        <f t="shared" si="14"/>
        <v>8.1999999999999993</v>
      </c>
      <c r="N60" s="76">
        <f t="shared" si="14"/>
        <v>7.6</v>
      </c>
      <c r="O60" s="76">
        <f t="shared" si="14"/>
        <v>7.2</v>
      </c>
      <c r="P60" s="76">
        <f t="shared" si="14"/>
        <v>7.1</v>
      </c>
      <c r="Q60" s="76">
        <f t="shared" si="14"/>
        <v>7.1</v>
      </c>
      <c r="R60" s="76">
        <f t="shared" si="14"/>
        <v>7</v>
      </c>
      <c r="S60" s="76">
        <f t="shared" si="14"/>
        <v>7.9</v>
      </c>
      <c r="T60" s="76">
        <f t="shared" si="14"/>
        <v>8</v>
      </c>
      <c r="U60" s="76">
        <f t="shared" si="14"/>
        <v>0</v>
      </c>
    </row>
    <row r="61" spans="1:35" s="19" customFormat="1" ht="13" x14ac:dyDescent="0.3">
      <c r="A61" s="111" t="s">
        <v>133</v>
      </c>
      <c r="B61" s="76" t="e">
        <f t="shared" ref="B61:U61" si="15">VLOOKUP(B58,$AD9:$AE18,2,FALSE)</f>
        <v>#N/A</v>
      </c>
      <c r="C61" s="76" t="e">
        <f t="shared" si="15"/>
        <v>#N/A</v>
      </c>
      <c r="D61" s="76" t="e">
        <f t="shared" si="15"/>
        <v>#N/A</v>
      </c>
      <c r="E61" s="76">
        <f t="shared" si="15"/>
        <v>6</v>
      </c>
      <c r="F61" s="76">
        <f t="shared" si="15"/>
        <v>6</v>
      </c>
      <c r="G61" s="76">
        <f t="shared" si="15"/>
        <v>6</v>
      </c>
      <c r="H61" s="76">
        <f t="shared" si="15"/>
        <v>6</v>
      </c>
      <c r="I61" s="76" t="e">
        <f t="shared" si="15"/>
        <v>#N/A</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t="e">
        <f t="shared" si="15"/>
        <v>#N/A</v>
      </c>
    </row>
    <row r="62" spans="1:35" s="19" customFormat="1" ht="13" x14ac:dyDescent="0.3">
      <c r="A62" s="111" t="s">
        <v>134</v>
      </c>
      <c r="B62" s="77">
        <f>B31</f>
        <v>50</v>
      </c>
      <c r="C62" s="77">
        <f>B32</f>
        <v>50</v>
      </c>
      <c r="D62" s="77">
        <f>B33</f>
        <v>50</v>
      </c>
      <c r="E62" s="77">
        <f>B34</f>
        <v>50</v>
      </c>
      <c r="F62" s="77">
        <f>B35</f>
        <v>50</v>
      </c>
      <c r="G62" s="77">
        <f>B36</f>
        <v>50</v>
      </c>
      <c r="H62" s="77">
        <f>B37</f>
        <v>50</v>
      </c>
      <c r="I62" s="77">
        <f>B38</f>
        <v>50</v>
      </c>
      <c r="J62" s="77">
        <f>B39</f>
        <v>0</v>
      </c>
      <c r="K62" s="77">
        <f>B40</f>
        <v>50</v>
      </c>
      <c r="L62" s="77">
        <f>B41</f>
        <v>0</v>
      </c>
      <c r="M62" s="77">
        <f>B42</f>
        <v>0</v>
      </c>
      <c r="N62" s="77">
        <f>B43</f>
        <v>0</v>
      </c>
      <c r="O62" s="77">
        <f>B44</f>
        <v>50</v>
      </c>
      <c r="P62" s="77">
        <f>B45</f>
        <v>50</v>
      </c>
      <c r="Q62" s="77">
        <f>B46</f>
        <v>50</v>
      </c>
      <c r="R62" s="77">
        <f>B47</f>
        <v>50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f t="shared" si="17"/>
        <v>-4.7999999999999989</v>
      </c>
      <c r="F64" s="77">
        <f t="shared" si="17"/>
        <v>-8.3999999999999968</v>
      </c>
      <c r="G64" s="77">
        <f t="shared" si="17"/>
        <v>-6.5999999999999979</v>
      </c>
      <c r="H64" s="77">
        <f t="shared" si="17"/>
        <v>-7.7999999999999989</v>
      </c>
      <c r="I64" s="77" t="e">
        <f t="shared" si="17"/>
        <v>#N/A</v>
      </c>
      <c r="J64" s="77">
        <f t="shared" si="17"/>
        <v>-10.200000000000001</v>
      </c>
      <c r="K64" s="77">
        <f t="shared" si="17"/>
        <v>-1.2000000000000011</v>
      </c>
      <c r="L64" s="77">
        <f t="shared" si="17"/>
        <v>-11.999999999999995</v>
      </c>
      <c r="M64" s="77">
        <f t="shared" si="17"/>
        <v>-11.999999999999995</v>
      </c>
      <c r="N64" s="77">
        <f t="shared" si="17"/>
        <v>-8.3999999999999968</v>
      </c>
      <c r="O64" s="77">
        <f t="shared" si="17"/>
        <v>-6</v>
      </c>
      <c r="P64" s="77">
        <f t="shared" si="17"/>
        <v>-5.3999999999999968</v>
      </c>
      <c r="Q64" s="77">
        <f t="shared" si="17"/>
        <v>-5.3999999999999968</v>
      </c>
      <c r="R64" s="77">
        <f t="shared" si="17"/>
        <v>-4.7999999999999989</v>
      </c>
      <c r="S64" s="77">
        <f t="shared" si="17"/>
        <v>-10.200000000000001</v>
      </c>
      <c r="T64" s="77">
        <f t="shared" si="17"/>
        <v>-10.799999999999999</v>
      </c>
      <c r="U64" s="77" t="e">
        <f t="shared" si="17"/>
        <v>#N/A</v>
      </c>
    </row>
    <row r="65" spans="1:21" s="19" customFormat="1" ht="52" x14ac:dyDescent="0.3">
      <c r="A65" s="112" t="s">
        <v>157</v>
      </c>
      <c r="B65" s="77" t="e">
        <f>B63-B64</f>
        <v>#N/A</v>
      </c>
      <c r="C65" s="77" t="e">
        <f t="shared" ref="C65:U65" si="18">C63-C64</f>
        <v>#N/A</v>
      </c>
      <c r="D65" s="77" t="e">
        <f t="shared" si="18"/>
        <v>#N/A</v>
      </c>
      <c r="E65" s="77">
        <f t="shared" si="18"/>
        <v>4.7999999999999989</v>
      </c>
      <c r="F65" s="77">
        <f t="shared" si="18"/>
        <v>8.3999999999999968</v>
      </c>
      <c r="G65" s="77">
        <f t="shared" si="18"/>
        <v>6.5999999999999979</v>
      </c>
      <c r="H65" s="77">
        <f t="shared" si="18"/>
        <v>7.7999999999999989</v>
      </c>
      <c r="I65" s="77" t="e">
        <f t="shared" si="18"/>
        <v>#N/A</v>
      </c>
      <c r="J65" s="77">
        <f t="shared" si="18"/>
        <v>10.200000000000001</v>
      </c>
      <c r="K65" s="77">
        <f t="shared" si="18"/>
        <v>1.2000000000000011</v>
      </c>
      <c r="L65" s="77">
        <f t="shared" si="18"/>
        <v>11.999999999999995</v>
      </c>
      <c r="M65" s="77">
        <f t="shared" si="18"/>
        <v>11.999999999999995</v>
      </c>
      <c r="N65" s="77">
        <f t="shared" si="18"/>
        <v>8.3999999999999968</v>
      </c>
      <c r="O65" s="77">
        <f t="shared" si="18"/>
        <v>6</v>
      </c>
      <c r="P65" s="77">
        <f t="shared" si="18"/>
        <v>5.3999999999999968</v>
      </c>
      <c r="Q65" s="77">
        <f t="shared" si="18"/>
        <v>5.3999999999999968</v>
      </c>
      <c r="R65" s="77">
        <f t="shared" si="18"/>
        <v>4.7999999999999989</v>
      </c>
      <c r="S65" s="77">
        <f t="shared" si="18"/>
        <v>10.200000000000001</v>
      </c>
      <c r="T65" s="77">
        <f t="shared" si="18"/>
        <v>10.799999999999999</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str">
        <f t="shared" si="19"/>
        <v>OVER</v>
      </c>
      <c r="F66" s="78" t="str">
        <f t="shared" si="19"/>
        <v>OVER</v>
      </c>
      <c r="G66" s="78" t="str">
        <f t="shared" si="19"/>
        <v>OVER</v>
      </c>
      <c r="H66" s="78" t="str">
        <f t="shared" si="19"/>
        <v>OVER</v>
      </c>
      <c r="I66" s="78" t="e">
        <f t="shared" si="19"/>
        <v>#N/A</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PAN-018217</v>
      </c>
      <c r="D1" s="141"/>
      <c r="E1" s="93" t="s">
        <v>45</v>
      </c>
      <c r="F1" s="39">
        <f>'Field data and Waste 1'!F1</f>
        <v>44.6</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Abergelli Farm, Felindre, Swansea, SA5 7NN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0</v>
      </c>
      <c r="D8" s="60">
        <f>'Field data and Waste 1'!D8</f>
        <v>0</v>
      </c>
      <c r="E8" s="60">
        <f>'Field data and Waste 1'!E8</f>
        <v>0</v>
      </c>
      <c r="F8" s="60">
        <f>'Field data and Waste 1'!F8</f>
        <v>1294</v>
      </c>
      <c r="G8" s="60">
        <f>'Field data and Waste 1'!G8</f>
        <v>2225</v>
      </c>
      <c r="H8" s="60">
        <f>'Field data and Waste 1'!H8</f>
        <v>3210</v>
      </c>
      <c r="I8" s="60">
        <f>'Field data and Waste 1'!I8</f>
        <v>3732</v>
      </c>
      <c r="J8" s="60">
        <f>'Field data and Waste 1'!J8</f>
        <v>0</v>
      </c>
      <c r="K8" s="60">
        <f>'Field data and Waste 1'!K8</f>
        <v>5867</v>
      </c>
      <c r="L8" s="60">
        <f>'Field data and Waste 1'!L8</f>
        <v>1808</v>
      </c>
      <c r="M8" s="60">
        <f>'Field data and Waste 1'!M8</f>
        <v>24</v>
      </c>
      <c r="N8" s="60">
        <f>'Field data and Waste 1'!N8</f>
        <v>25</v>
      </c>
      <c r="O8" s="60">
        <f>'Field data and Waste 1'!O8</f>
        <v>26</v>
      </c>
      <c r="P8" s="60">
        <f>'Field data and Waste 1'!P8</f>
        <v>27</v>
      </c>
      <c r="Q8" s="60">
        <f>'Field data and Waste 1'!Q8</f>
        <v>33</v>
      </c>
      <c r="R8" s="60">
        <f>'Field data and Waste 1'!R8</f>
        <v>34</v>
      </c>
      <c r="S8" s="60">
        <f>'Field data and Waste 1'!S8</f>
        <v>35</v>
      </c>
      <c r="T8" s="60" t="str">
        <f>'Field data and Waste 1'!T8</f>
        <v>36a</v>
      </c>
      <c r="U8" s="60">
        <f>'Field data and Waste 1'!U8</f>
        <v>37</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0</v>
      </c>
      <c r="D9" s="60">
        <f>'Field data and Waste 1'!D9</f>
        <v>0</v>
      </c>
      <c r="E9" s="60">
        <f>'Field data and Waste 1'!E9</f>
        <v>0</v>
      </c>
      <c r="F9" s="60" t="str">
        <f>'Field data and Waste 1'!F9</f>
        <v>Moderate</v>
      </c>
      <c r="G9" s="60" t="str">
        <f>'Field data and Waste 1'!G9</f>
        <v>Moderate</v>
      </c>
      <c r="H9" s="60" t="str">
        <f>'Field data and Waste 1'!H9</f>
        <v>Moderate</v>
      </c>
      <c r="I9" s="60" t="str">
        <f>'Field data and Waste 1'!I9</f>
        <v>Moderate</v>
      </c>
      <c r="J9" s="60">
        <f>'Field data and Waste 1'!J9</f>
        <v>0</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0</v>
      </c>
      <c r="D10" s="60">
        <f>'Field data and Waste 1'!D10</f>
        <v>0</v>
      </c>
      <c r="E10" s="60">
        <f>'Field data and Waste 1'!E10</f>
        <v>0</v>
      </c>
      <c r="F10" s="60">
        <f>'Field data and Waste 1'!F10</f>
        <v>7</v>
      </c>
      <c r="G10" s="60">
        <f>'Field data and Waste 1'!G10</f>
        <v>7.6</v>
      </c>
      <c r="H10" s="60">
        <f>'Field data and Waste 1'!H10</f>
        <v>7.3</v>
      </c>
      <c r="I10" s="60">
        <f>'Field data and Waste 1'!I10</f>
        <v>7.5</v>
      </c>
      <c r="J10" s="60">
        <f>'Field data and Waste 1'!J10</f>
        <v>0</v>
      </c>
      <c r="K10" s="60">
        <f>'Field data and Waste 1'!K10</f>
        <v>7.9</v>
      </c>
      <c r="L10" s="60">
        <f>'Field data and Waste 1'!L10</f>
        <v>6.4</v>
      </c>
      <c r="M10" s="60">
        <f>'Field data and Waste 1'!M10</f>
        <v>8.1999999999999993</v>
      </c>
      <c r="N10" s="60">
        <f>'Field data and Waste 1'!N10</f>
        <v>8.1999999999999993</v>
      </c>
      <c r="O10" s="60">
        <f>'Field data and Waste 1'!O10</f>
        <v>7.6</v>
      </c>
      <c r="P10" s="60">
        <f>'Field data and Waste 1'!P10</f>
        <v>7.2</v>
      </c>
      <c r="Q10" s="60">
        <f>'Field data and Waste 1'!Q10</f>
        <v>7.1</v>
      </c>
      <c r="R10" s="60">
        <f>'Field data and Waste 1'!R10</f>
        <v>7.1</v>
      </c>
      <c r="S10" s="60">
        <f>'Field data and Waste 1'!S10</f>
        <v>7</v>
      </c>
      <c r="T10" s="60">
        <f>'Field data and Waste 1'!T10</f>
        <v>7.9</v>
      </c>
      <c r="U10" s="60">
        <f>'Field data and Waste 1'!U10</f>
        <v>8</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2</v>
      </c>
      <c r="M11" s="60">
        <f>'Field data and Waste 1'!M11</f>
        <v>0</v>
      </c>
      <c r="N11" s="60">
        <f>'Field data and Waste 1'!N11</f>
        <v>0</v>
      </c>
      <c r="O11" s="60">
        <f>'Field data and Waste 1'!O11</f>
        <v>1</v>
      </c>
      <c r="P11" s="60">
        <f>'Field data and Waste 1'!P11</f>
        <v>1</v>
      </c>
      <c r="Q11" s="60">
        <f>'Field data and Waste 1'!Q11</f>
        <v>1</v>
      </c>
      <c r="R11" s="60">
        <f>'Field data and Waste 1'!R11</f>
        <v>1</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1</v>
      </c>
      <c r="G12" s="60">
        <f>'Field data and Waste 1'!G12</f>
        <v>1</v>
      </c>
      <c r="H12" s="60">
        <f>'Field data and Waste 1'!H12</f>
        <v>1</v>
      </c>
      <c r="I12" s="60">
        <f>'Field data and Waste 1'!I12</f>
        <v>1</v>
      </c>
      <c r="J12" s="60">
        <f>'Field data and Waste 1'!J12</f>
        <v>0</v>
      </c>
      <c r="K12" s="60">
        <f>'Field data and Waste 1'!K12</f>
        <v>1</v>
      </c>
      <c r="L12" s="60">
        <f>'Field data and Waste 1'!L12</f>
        <v>2</v>
      </c>
      <c r="M12" s="60">
        <f>'Field data and Waste 1'!M12</f>
        <v>1</v>
      </c>
      <c r="N12" s="60">
        <f>'Field data and Waste 1'!N12</f>
        <v>1</v>
      </c>
      <c r="O12" s="60">
        <f>'Field data and Waste 1'!O12</f>
        <v>2</v>
      </c>
      <c r="P12" s="60">
        <f>'Field data and Waste 1'!P12</f>
        <v>1</v>
      </c>
      <c r="Q12" s="60">
        <f>'Field data and Waste 1'!Q12</f>
        <v>1</v>
      </c>
      <c r="R12" s="60">
        <f>'Field data and Waste 1'!R12</f>
        <v>2</v>
      </c>
      <c r="S12" s="60">
        <f>'Field data and Waste 1'!S12</f>
        <v>1</v>
      </c>
      <c r="T12" s="60">
        <f>'Field data and Waste 1'!T12</f>
        <v>1</v>
      </c>
      <c r="U12" s="60">
        <f>'Field data and Waste 1'!U12</f>
        <v>1</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0</v>
      </c>
      <c r="D13" s="60">
        <f>'Field data and Waste 1'!D13</f>
        <v>0</v>
      </c>
      <c r="E13" s="60">
        <f>'Field data and Waste 1'!E13</f>
        <v>0</v>
      </c>
      <c r="F13" s="60">
        <f>'Field data and Waste 1'!F13</f>
        <v>2</v>
      </c>
      <c r="G13" s="60">
        <f>'Field data and Waste 1'!G13</f>
        <v>3</v>
      </c>
      <c r="H13" s="60">
        <f>'Field data and Waste 1'!H13</f>
        <v>2</v>
      </c>
      <c r="I13" s="60">
        <f>'Field data and Waste 1'!I13</f>
        <v>2</v>
      </c>
      <c r="J13" s="60">
        <f>'Field data and Waste 1'!J13</f>
        <v>0</v>
      </c>
      <c r="K13" s="60">
        <f>'Field data and Waste 1'!K13</f>
        <v>3</v>
      </c>
      <c r="L13" s="60">
        <f>'Field data and Waste 1'!L13</f>
        <v>4</v>
      </c>
      <c r="M13" s="60">
        <f>'Field data and Waste 1'!M13</f>
        <v>3</v>
      </c>
      <c r="N13" s="60">
        <f>'Field data and Waste 1'!N13</f>
        <v>4</v>
      </c>
      <c r="O13" s="60">
        <f>'Field data and Waste 1'!O13</f>
        <v>5</v>
      </c>
      <c r="P13" s="60">
        <f>'Field data and Waste 1'!P13</f>
        <v>4</v>
      </c>
      <c r="Q13" s="60">
        <f>'Field data and Waste 1'!Q13</f>
        <v>5</v>
      </c>
      <c r="R13" s="60">
        <f>'Field data and Waste 1'!R13</f>
        <v>6</v>
      </c>
      <c r="S13" s="60">
        <f>'Field data and Waste 1'!S13</f>
        <v>5</v>
      </c>
      <c r="T13" s="60">
        <f>'Field data and Waste 1'!T13</f>
        <v>3</v>
      </c>
      <c r="U13" s="60">
        <f>'Field data and Waste 1'!U13</f>
        <v>3</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f>'Field data and Waste 1'!C14</f>
        <v>0</v>
      </c>
      <c r="D14" s="102">
        <f>'Field data and Waste 1'!D14</f>
        <v>0</v>
      </c>
      <c r="E14" s="102">
        <f>'Field data and Waste 1'!E14</f>
        <v>0</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0</v>
      </c>
      <c r="D15" s="60">
        <f>'Field data and Waste 1'!D15</f>
        <v>0</v>
      </c>
      <c r="E15" s="60">
        <f>'Field data and Waste 1'!E15</f>
        <v>0</v>
      </c>
      <c r="F15" s="60">
        <f>'Field data and Waste 1'!F15</f>
        <v>38</v>
      </c>
      <c r="G15" s="60">
        <f>'Field data and Waste 1'!G15</f>
        <v>38</v>
      </c>
      <c r="H15" s="60">
        <f>'Field data and Waste 1'!H15</f>
        <v>38</v>
      </c>
      <c r="I15" s="60">
        <f>'Field data and Waste 1'!I15</f>
        <v>38</v>
      </c>
      <c r="J15" s="60">
        <f>'Field data and Waste 1'!J15</f>
        <v>0</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t="e">
        <f>(VLOOKUP(C$14,$AI2:$AK26,2,FALSE))*C$15</f>
        <v>#N/A</v>
      </c>
      <c r="D17" s="28" t="e">
        <f t="shared" ref="D17:V17" si="0">(VLOOKUP(D$14,$AI2:$AK26,2,FALSE))*D$15</f>
        <v>#N/A</v>
      </c>
      <c r="E17" s="28" t="e">
        <f t="shared" si="0"/>
        <v>#N/A</v>
      </c>
      <c r="F17" s="28">
        <f t="shared" si="0"/>
        <v>64.599999999999994</v>
      </c>
      <c r="G17" s="28">
        <f t="shared" si="0"/>
        <v>64.599999999999994</v>
      </c>
      <c r="H17" s="28">
        <f t="shared" si="0"/>
        <v>64.599999999999994</v>
      </c>
      <c r="I17" s="28">
        <f t="shared" si="0"/>
        <v>64.599999999999994</v>
      </c>
      <c r="J17" s="28" t="e">
        <f t="shared" si="0"/>
        <v>#N/A</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t="e">
        <f>C18-C17</f>
        <v>#N/A</v>
      </c>
      <c r="D19" s="16" t="e">
        <f t="shared" ref="D19:V19" si="1">D18-D17</f>
        <v>#N/A</v>
      </c>
      <c r="E19" s="16" t="e">
        <f t="shared" si="1"/>
        <v>#N/A</v>
      </c>
      <c r="F19" s="16">
        <f t="shared" si="1"/>
        <v>-64.599999999999994</v>
      </c>
      <c r="G19" s="16">
        <f t="shared" si="1"/>
        <v>-64.599999999999994</v>
      </c>
      <c r="H19" s="16">
        <f t="shared" si="1"/>
        <v>-64.599999999999994</v>
      </c>
      <c r="I19" s="16">
        <f t="shared" si="1"/>
        <v>-64.599999999999994</v>
      </c>
      <c r="J19" s="16" t="e">
        <f t="shared" si="1"/>
        <v>#N/A</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t="e">
        <f>(VLOOKUP(C$14,$AI2:$AK26,3,FALSE))*C$15</f>
        <v>#N/A</v>
      </c>
      <c r="D21" s="28" t="e">
        <f t="shared" ref="D21:V21" si="2">(VLOOKUP(D$14,$AI2:$AK26,3,FALSE))*D$15</f>
        <v>#N/A</v>
      </c>
      <c r="E21" s="28" t="e">
        <f t="shared" si="2"/>
        <v>#N/A</v>
      </c>
      <c r="F21" s="28">
        <f t="shared" si="2"/>
        <v>228</v>
      </c>
      <c r="G21" s="28">
        <f t="shared" si="2"/>
        <v>228</v>
      </c>
      <c r="H21" s="28">
        <f t="shared" si="2"/>
        <v>228</v>
      </c>
      <c r="I21" s="28">
        <f t="shared" si="2"/>
        <v>228</v>
      </c>
      <c r="J21" s="28" t="e">
        <f t="shared" si="2"/>
        <v>#N/A</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t="e">
        <f>C22-C21</f>
        <v>#N/A</v>
      </c>
      <c r="D23" s="16" t="e">
        <f t="shared" ref="D23:V23" si="3">D22-D21</f>
        <v>#N/A</v>
      </c>
      <c r="E23" s="16" t="e">
        <f t="shared" si="3"/>
        <v>#N/A</v>
      </c>
      <c r="F23" s="16">
        <f t="shared" si="3"/>
        <v>-228</v>
      </c>
      <c r="G23" s="16">
        <f t="shared" si="3"/>
        <v>-228</v>
      </c>
      <c r="H23" s="16">
        <f t="shared" si="3"/>
        <v>-228</v>
      </c>
      <c r="I23" s="16">
        <f t="shared" si="3"/>
        <v>-228</v>
      </c>
      <c r="J23" s="16" t="e">
        <f t="shared" si="3"/>
        <v>#N/A</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1294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2225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3210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3732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5867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1808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24</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25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26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27</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33</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34</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35</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t="str">
        <f>T8</f>
        <v>36a</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37</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0</v>
      </c>
      <c r="E57" s="8">
        <f t="shared" si="13"/>
        <v>1294</v>
      </c>
      <c r="F57" s="8">
        <f t="shared" si="13"/>
        <v>2225</v>
      </c>
      <c r="G57" s="8">
        <f t="shared" si="13"/>
        <v>3210</v>
      </c>
      <c r="H57" s="8">
        <f t="shared" si="13"/>
        <v>3732</v>
      </c>
      <c r="I57" s="8">
        <f t="shared" si="13"/>
        <v>0</v>
      </c>
      <c r="J57" s="8">
        <f t="shared" si="13"/>
        <v>5867</v>
      </c>
      <c r="K57" s="8">
        <f t="shared" si="13"/>
        <v>1808</v>
      </c>
      <c r="L57" s="8">
        <f t="shared" si="13"/>
        <v>24</v>
      </c>
      <c r="M57" s="8">
        <f t="shared" si="13"/>
        <v>25</v>
      </c>
      <c r="N57" s="8">
        <f t="shared" si="13"/>
        <v>26</v>
      </c>
      <c r="O57" s="8">
        <f t="shared" si="13"/>
        <v>27</v>
      </c>
      <c r="P57" s="8">
        <f t="shared" si="13"/>
        <v>33</v>
      </c>
      <c r="Q57" s="8">
        <f t="shared" si="13"/>
        <v>34</v>
      </c>
      <c r="R57" s="8">
        <f t="shared" si="13"/>
        <v>35</v>
      </c>
      <c r="S57" s="8" t="str">
        <f t="shared" si="13"/>
        <v>36a</v>
      </c>
      <c r="T57" s="8">
        <f t="shared" si="13"/>
        <v>37</v>
      </c>
      <c r="U57" s="8">
        <f t="shared" si="13"/>
        <v>0</v>
      </c>
    </row>
    <row r="58" spans="1:35" s="19" customFormat="1" ht="13" x14ac:dyDescent="0.35">
      <c r="A58" s="92" t="s">
        <v>136</v>
      </c>
      <c r="B58" s="13" t="e">
        <f>C16&amp;" I "&amp;(VLOOKUP(C14,Table24581112[],6,FALSE))</f>
        <v>#N/A</v>
      </c>
      <c r="C58" s="13" t="e">
        <f>D16&amp;" I "&amp;(VLOOKUP(D14,Table24581112[],6,FALSE))</f>
        <v>#N/A</v>
      </c>
      <c r="D58" s="13" t="e">
        <f>E16&amp;" I "&amp;(VLOOKUP(E14,Table24581112[],6,FALSE))</f>
        <v>#N/A</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e">
        <f>J16&amp;" I "&amp;(VLOOKUP(J14,Table24581112[],6,FALSE))</f>
        <v>#N/A</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str">
        <f>S16&amp;" I "&amp;(VLOOKUP(S14,Table24581112[],6,FALSE))</f>
        <v>Medium/Clay I Grass</v>
      </c>
      <c r="S58" s="13" t="str">
        <f>T16&amp;" I "&amp;(VLOOKUP(T14,Table24581112[],6,FALSE))</f>
        <v>Medium/Clay I Grass</v>
      </c>
      <c r="T58" s="13" t="str">
        <f>U16&amp;" I "&amp;(VLOOKUP(U14,Table24581112[],6,FALSE))</f>
        <v>Medium/Clay I Grass</v>
      </c>
      <c r="U58" s="13" t="e">
        <f>V16&amp;" I "&amp;(VLOOKUP(V14,Table24581112[],6,FALSE))</f>
        <v>#N/A</v>
      </c>
    </row>
    <row r="59" spans="1:35" s="19" customFormat="1" ht="13" x14ac:dyDescent="0.3">
      <c r="A59" s="111" t="s">
        <v>132</v>
      </c>
      <c r="B59" s="76" t="e">
        <f>VLOOKUP(C$14,Table24581112[],5,FALSE)</f>
        <v>#N/A</v>
      </c>
      <c r="C59" s="76" t="e">
        <f>VLOOKUP(D$14,Table24581112[],5,FALSE)</f>
        <v>#N/A</v>
      </c>
      <c r="D59" s="76" t="e">
        <f>VLOOKUP(E$14,Table24581112[],5,FALSE)</f>
        <v>#N/A</v>
      </c>
      <c r="E59" s="76">
        <f>VLOOKUP(F$14,Table24581112[],5,FALSE)</f>
        <v>6.2</v>
      </c>
      <c r="F59" s="76">
        <f>VLOOKUP(G$14,Table24581112[],5,FALSE)</f>
        <v>6.2</v>
      </c>
      <c r="G59" s="76">
        <f>VLOOKUP(H$14,Table24581112[],5,FALSE)</f>
        <v>6.2</v>
      </c>
      <c r="H59" s="76">
        <f>VLOOKUP(I$14,Table24581112[],5,FALSE)</f>
        <v>6.2</v>
      </c>
      <c r="I59" s="76" t="e">
        <f>VLOOKUP(J$14,Table24581112[],5,FALSE)</f>
        <v>#N/A</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f>VLOOKUP(R$14,Table24581112[],5,FALSE)</f>
        <v>6.2</v>
      </c>
      <c r="R59" s="76">
        <f>VLOOKUP(S$14,Table24581112[],5,FALSE)</f>
        <v>6.2</v>
      </c>
      <c r="S59" s="76">
        <f>VLOOKUP(T$14,Table24581112[],5,FALSE)</f>
        <v>6.2</v>
      </c>
      <c r="T59" s="76">
        <f>VLOOKUP(U$14,Table24581112[],5,FALSE)</f>
        <v>6.2</v>
      </c>
      <c r="U59" s="76" t="e">
        <f>VLOOKUP(V$14,Table24581112[],5,FALSE)</f>
        <v>#N/A</v>
      </c>
    </row>
    <row r="60" spans="1:35" s="19" customFormat="1" ht="13" x14ac:dyDescent="0.3">
      <c r="A60" s="111" t="s">
        <v>4</v>
      </c>
      <c r="B60" s="76">
        <f>C10</f>
        <v>0</v>
      </c>
      <c r="C60" s="76">
        <f t="shared" ref="C60:U60" si="14">D10</f>
        <v>0</v>
      </c>
      <c r="D60" s="76">
        <f t="shared" si="14"/>
        <v>0</v>
      </c>
      <c r="E60" s="76">
        <f t="shared" si="14"/>
        <v>7</v>
      </c>
      <c r="F60" s="76">
        <f t="shared" si="14"/>
        <v>7.6</v>
      </c>
      <c r="G60" s="76">
        <f t="shared" si="14"/>
        <v>7.3</v>
      </c>
      <c r="H60" s="76">
        <f t="shared" si="14"/>
        <v>7.5</v>
      </c>
      <c r="I60" s="76">
        <f t="shared" si="14"/>
        <v>0</v>
      </c>
      <c r="J60" s="76">
        <f t="shared" si="14"/>
        <v>7.9</v>
      </c>
      <c r="K60" s="76">
        <f t="shared" si="14"/>
        <v>6.4</v>
      </c>
      <c r="L60" s="76">
        <f t="shared" si="14"/>
        <v>8.1999999999999993</v>
      </c>
      <c r="M60" s="76">
        <f t="shared" si="14"/>
        <v>8.1999999999999993</v>
      </c>
      <c r="N60" s="76">
        <f t="shared" si="14"/>
        <v>7.6</v>
      </c>
      <c r="O60" s="76">
        <f t="shared" si="14"/>
        <v>7.2</v>
      </c>
      <c r="P60" s="76">
        <f t="shared" si="14"/>
        <v>7.1</v>
      </c>
      <c r="Q60" s="76">
        <f t="shared" si="14"/>
        <v>7.1</v>
      </c>
      <c r="R60" s="76">
        <f t="shared" si="14"/>
        <v>7</v>
      </c>
      <c r="S60" s="76">
        <f t="shared" si="14"/>
        <v>7.9</v>
      </c>
      <c r="T60" s="76">
        <f t="shared" si="14"/>
        <v>8</v>
      </c>
      <c r="U60" s="76">
        <f t="shared" si="14"/>
        <v>0</v>
      </c>
    </row>
    <row r="61" spans="1:35" s="19" customFormat="1" ht="13" x14ac:dyDescent="0.3">
      <c r="A61" s="111" t="s">
        <v>133</v>
      </c>
      <c r="B61" s="76" t="e">
        <f t="shared" ref="B61:U61" si="15">VLOOKUP(B58,$AD9:$AE18,2,FALSE)</f>
        <v>#N/A</v>
      </c>
      <c r="C61" s="76" t="e">
        <f t="shared" si="15"/>
        <v>#N/A</v>
      </c>
      <c r="D61" s="76" t="e">
        <f t="shared" si="15"/>
        <v>#N/A</v>
      </c>
      <c r="E61" s="76">
        <f t="shared" si="15"/>
        <v>6</v>
      </c>
      <c r="F61" s="76">
        <f t="shared" si="15"/>
        <v>6</v>
      </c>
      <c r="G61" s="76">
        <f t="shared" si="15"/>
        <v>6</v>
      </c>
      <c r="H61" s="76">
        <f t="shared" si="15"/>
        <v>6</v>
      </c>
      <c r="I61" s="76" t="e">
        <f t="shared" si="15"/>
        <v>#N/A</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f t="shared" si="17"/>
        <v>-4.7999999999999989</v>
      </c>
      <c r="F64" s="77">
        <f t="shared" si="17"/>
        <v>-8.3999999999999968</v>
      </c>
      <c r="G64" s="77">
        <f t="shared" si="17"/>
        <v>-6.5999999999999979</v>
      </c>
      <c r="H64" s="77">
        <f t="shared" si="17"/>
        <v>-7.7999999999999989</v>
      </c>
      <c r="I64" s="77" t="e">
        <f t="shared" si="17"/>
        <v>#N/A</v>
      </c>
      <c r="J64" s="77">
        <f t="shared" si="17"/>
        <v>-10.200000000000001</v>
      </c>
      <c r="K64" s="77">
        <f t="shared" si="17"/>
        <v>-1.2000000000000011</v>
      </c>
      <c r="L64" s="77">
        <f t="shared" si="17"/>
        <v>-11.999999999999995</v>
      </c>
      <c r="M64" s="77">
        <f t="shared" si="17"/>
        <v>-11.999999999999995</v>
      </c>
      <c r="N64" s="77">
        <f t="shared" si="17"/>
        <v>-8.3999999999999968</v>
      </c>
      <c r="O64" s="77">
        <f t="shared" si="17"/>
        <v>-6</v>
      </c>
      <c r="P64" s="77">
        <f t="shared" si="17"/>
        <v>-5.3999999999999968</v>
      </c>
      <c r="Q64" s="77">
        <f t="shared" si="17"/>
        <v>-5.3999999999999968</v>
      </c>
      <c r="R64" s="77">
        <f t="shared" si="17"/>
        <v>-4.7999999999999989</v>
      </c>
      <c r="S64" s="77">
        <f t="shared" si="17"/>
        <v>-10.200000000000001</v>
      </c>
      <c r="T64" s="77">
        <f t="shared" si="17"/>
        <v>-10.799999999999999</v>
      </c>
      <c r="U64" s="77" t="e">
        <f t="shared" si="17"/>
        <v>#N/A</v>
      </c>
    </row>
    <row r="65" spans="1:21" s="19" customFormat="1" ht="52" x14ac:dyDescent="0.3">
      <c r="A65" s="112" t="s">
        <v>157</v>
      </c>
      <c r="B65" s="77" t="e">
        <f>B63-B64</f>
        <v>#N/A</v>
      </c>
      <c r="C65" s="77" t="e">
        <f t="shared" ref="C65:U65" si="18">C63-C64</f>
        <v>#N/A</v>
      </c>
      <c r="D65" s="77" t="e">
        <f t="shared" si="18"/>
        <v>#N/A</v>
      </c>
      <c r="E65" s="77">
        <f t="shared" si="18"/>
        <v>4.7999999999999989</v>
      </c>
      <c r="F65" s="77">
        <f t="shared" si="18"/>
        <v>8.3999999999999968</v>
      </c>
      <c r="G65" s="77">
        <f t="shared" si="18"/>
        <v>6.5999999999999979</v>
      </c>
      <c r="H65" s="77">
        <f t="shared" si="18"/>
        <v>7.7999999999999989</v>
      </c>
      <c r="I65" s="77" t="e">
        <f t="shared" si="18"/>
        <v>#N/A</v>
      </c>
      <c r="J65" s="77">
        <f t="shared" si="18"/>
        <v>10.200000000000001</v>
      </c>
      <c r="K65" s="77">
        <f t="shared" si="18"/>
        <v>1.2000000000000011</v>
      </c>
      <c r="L65" s="77">
        <f t="shared" si="18"/>
        <v>11.999999999999995</v>
      </c>
      <c r="M65" s="77">
        <f t="shared" si="18"/>
        <v>11.999999999999995</v>
      </c>
      <c r="N65" s="77">
        <f t="shared" si="18"/>
        <v>8.3999999999999968</v>
      </c>
      <c r="O65" s="77">
        <f t="shared" si="18"/>
        <v>6</v>
      </c>
      <c r="P65" s="77">
        <f t="shared" si="18"/>
        <v>5.3999999999999968</v>
      </c>
      <c r="Q65" s="77">
        <f t="shared" si="18"/>
        <v>5.3999999999999968</v>
      </c>
      <c r="R65" s="77">
        <f t="shared" si="18"/>
        <v>4.7999999999999989</v>
      </c>
      <c r="S65" s="77">
        <f t="shared" si="18"/>
        <v>10.200000000000001</v>
      </c>
      <c r="T65" s="77">
        <f t="shared" si="18"/>
        <v>10.799999999999999</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str">
        <f t="shared" si="19"/>
        <v>OVER</v>
      </c>
      <c r="F66" s="78" t="str">
        <f t="shared" si="19"/>
        <v>OVER</v>
      </c>
      <c r="G66" s="78" t="str">
        <f t="shared" si="19"/>
        <v>OVER</v>
      </c>
      <c r="H66" s="78" t="str">
        <f t="shared" si="19"/>
        <v>OVER</v>
      </c>
      <c r="I66" s="78" t="e">
        <f t="shared" si="19"/>
        <v>#N/A</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PAN-018217</v>
      </c>
      <c r="D1" s="141"/>
      <c r="E1" s="93" t="s">
        <v>45</v>
      </c>
      <c r="F1" s="39">
        <f>'Field data and Waste 1'!F1</f>
        <v>44.6</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Abergelli Farm, Felindre, Swansea, SA5 7NN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0</v>
      </c>
      <c r="D8" s="60">
        <f>'Field data and Waste 1'!D8</f>
        <v>0</v>
      </c>
      <c r="E8" s="60">
        <f>'Field data and Waste 1'!E8</f>
        <v>0</v>
      </c>
      <c r="F8" s="60">
        <f>'Field data and Waste 1'!F8</f>
        <v>1294</v>
      </c>
      <c r="G8" s="60">
        <f>'Field data and Waste 1'!G8</f>
        <v>2225</v>
      </c>
      <c r="H8" s="60">
        <f>'Field data and Waste 1'!H8</f>
        <v>3210</v>
      </c>
      <c r="I8" s="60">
        <f>'Field data and Waste 1'!I8</f>
        <v>3732</v>
      </c>
      <c r="J8" s="60">
        <f>'Field data and Waste 1'!J8</f>
        <v>0</v>
      </c>
      <c r="K8" s="60">
        <f>'Field data and Waste 1'!K8</f>
        <v>5867</v>
      </c>
      <c r="L8" s="60">
        <f>'Field data and Waste 1'!L8</f>
        <v>1808</v>
      </c>
      <c r="M8" s="60">
        <f>'Field data and Waste 1'!M8</f>
        <v>24</v>
      </c>
      <c r="N8" s="60">
        <f>'Field data and Waste 1'!N8</f>
        <v>25</v>
      </c>
      <c r="O8" s="60">
        <f>'Field data and Waste 1'!O8</f>
        <v>26</v>
      </c>
      <c r="P8" s="60">
        <f>'Field data and Waste 1'!P8</f>
        <v>27</v>
      </c>
      <c r="Q8" s="60">
        <f>'Field data and Waste 1'!Q8</f>
        <v>33</v>
      </c>
      <c r="R8" s="60">
        <f>'Field data and Waste 1'!R8</f>
        <v>34</v>
      </c>
      <c r="S8" s="60">
        <f>'Field data and Waste 1'!S8</f>
        <v>35</v>
      </c>
      <c r="T8" s="60" t="str">
        <f>'Field data and Waste 1'!T8</f>
        <v>36a</v>
      </c>
      <c r="U8" s="60">
        <f>'Field data and Waste 1'!U8</f>
        <v>37</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0</v>
      </c>
      <c r="D9" s="60">
        <f>'Field data and Waste 1'!D9</f>
        <v>0</v>
      </c>
      <c r="E9" s="60">
        <f>'Field data and Waste 1'!E9</f>
        <v>0</v>
      </c>
      <c r="F9" s="60" t="str">
        <f>'Field data and Waste 1'!F9</f>
        <v>Moderate</v>
      </c>
      <c r="G9" s="60" t="str">
        <f>'Field data and Waste 1'!G9</f>
        <v>Moderate</v>
      </c>
      <c r="H9" s="60" t="str">
        <f>'Field data and Waste 1'!H9</f>
        <v>Moderate</v>
      </c>
      <c r="I9" s="60" t="str">
        <f>'Field data and Waste 1'!I9</f>
        <v>Moderate</v>
      </c>
      <c r="J9" s="60">
        <f>'Field data and Waste 1'!J9</f>
        <v>0</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0</v>
      </c>
      <c r="D10" s="60">
        <f>'Field data and Waste 1'!D10</f>
        <v>0</v>
      </c>
      <c r="E10" s="60">
        <f>'Field data and Waste 1'!E10</f>
        <v>0</v>
      </c>
      <c r="F10" s="60">
        <f>'Field data and Waste 1'!F10</f>
        <v>7</v>
      </c>
      <c r="G10" s="60">
        <f>'Field data and Waste 1'!G10</f>
        <v>7.6</v>
      </c>
      <c r="H10" s="60">
        <f>'Field data and Waste 1'!H10</f>
        <v>7.3</v>
      </c>
      <c r="I10" s="60">
        <f>'Field data and Waste 1'!I10</f>
        <v>7.5</v>
      </c>
      <c r="J10" s="60">
        <f>'Field data and Waste 1'!J10</f>
        <v>0</v>
      </c>
      <c r="K10" s="60">
        <f>'Field data and Waste 1'!K10</f>
        <v>7.9</v>
      </c>
      <c r="L10" s="60">
        <f>'Field data and Waste 1'!L10</f>
        <v>6.4</v>
      </c>
      <c r="M10" s="60">
        <f>'Field data and Waste 1'!M10</f>
        <v>8.1999999999999993</v>
      </c>
      <c r="N10" s="60">
        <f>'Field data and Waste 1'!N10</f>
        <v>8.1999999999999993</v>
      </c>
      <c r="O10" s="60">
        <f>'Field data and Waste 1'!O10</f>
        <v>7.6</v>
      </c>
      <c r="P10" s="60">
        <f>'Field data and Waste 1'!P10</f>
        <v>7.2</v>
      </c>
      <c r="Q10" s="60">
        <f>'Field data and Waste 1'!Q10</f>
        <v>7.1</v>
      </c>
      <c r="R10" s="60">
        <f>'Field data and Waste 1'!R10</f>
        <v>7.1</v>
      </c>
      <c r="S10" s="60">
        <f>'Field data and Waste 1'!S10</f>
        <v>7</v>
      </c>
      <c r="T10" s="60">
        <f>'Field data and Waste 1'!T10</f>
        <v>7.9</v>
      </c>
      <c r="U10" s="60">
        <f>'Field data and Waste 1'!U10</f>
        <v>8</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2</v>
      </c>
      <c r="M11" s="60">
        <f>'Field data and Waste 1'!M11</f>
        <v>0</v>
      </c>
      <c r="N11" s="60">
        <f>'Field data and Waste 1'!N11</f>
        <v>0</v>
      </c>
      <c r="O11" s="60">
        <f>'Field data and Waste 1'!O11</f>
        <v>1</v>
      </c>
      <c r="P11" s="60">
        <f>'Field data and Waste 1'!P11</f>
        <v>1</v>
      </c>
      <c r="Q11" s="60">
        <f>'Field data and Waste 1'!Q11</f>
        <v>1</v>
      </c>
      <c r="R11" s="60">
        <f>'Field data and Waste 1'!R11</f>
        <v>1</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1</v>
      </c>
      <c r="G12" s="60">
        <f>'Field data and Waste 1'!G12</f>
        <v>1</v>
      </c>
      <c r="H12" s="60">
        <f>'Field data and Waste 1'!H12</f>
        <v>1</v>
      </c>
      <c r="I12" s="60">
        <f>'Field data and Waste 1'!I12</f>
        <v>1</v>
      </c>
      <c r="J12" s="60">
        <f>'Field data and Waste 1'!J12</f>
        <v>0</v>
      </c>
      <c r="K12" s="60">
        <f>'Field data and Waste 1'!K12</f>
        <v>1</v>
      </c>
      <c r="L12" s="60">
        <f>'Field data and Waste 1'!L12</f>
        <v>2</v>
      </c>
      <c r="M12" s="60">
        <f>'Field data and Waste 1'!M12</f>
        <v>1</v>
      </c>
      <c r="N12" s="60">
        <f>'Field data and Waste 1'!N12</f>
        <v>1</v>
      </c>
      <c r="O12" s="60">
        <f>'Field data and Waste 1'!O12</f>
        <v>2</v>
      </c>
      <c r="P12" s="60">
        <f>'Field data and Waste 1'!P12</f>
        <v>1</v>
      </c>
      <c r="Q12" s="60">
        <f>'Field data and Waste 1'!Q12</f>
        <v>1</v>
      </c>
      <c r="R12" s="60">
        <f>'Field data and Waste 1'!R12</f>
        <v>2</v>
      </c>
      <c r="S12" s="60">
        <f>'Field data and Waste 1'!S12</f>
        <v>1</v>
      </c>
      <c r="T12" s="60">
        <f>'Field data and Waste 1'!T12</f>
        <v>1</v>
      </c>
      <c r="U12" s="60">
        <f>'Field data and Waste 1'!U12</f>
        <v>1</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0</v>
      </c>
      <c r="D13" s="60">
        <f>'Field data and Waste 1'!D13</f>
        <v>0</v>
      </c>
      <c r="E13" s="60">
        <f>'Field data and Waste 1'!E13</f>
        <v>0</v>
      </c>
      <c r="F13" s="60">
        <f>'Field data and Waste 1'!F13</f>
        <v>2</v>
      </c>
      <c r="G13" s="60">
        <f>'Field data and Waste 1'!G13</f>
        <v>3</v>
      </c>
      <c r="H13" s="60">
        <f>'Field data and Waste 1'!H13</f>
        <v>2</v>
      </c>
      <c r="I13" s="60">
        <f>'Field data and Waste 1'!I13</f>
        <v>2</v>
      </c>
      <c r="J13" s="60">
        <f>'Field data and Waste 1'!J13</f>
        <v>0</v>
      </c>
      <c r="K13" s="60">
        <f>'Field data and Waste 1'!K13</f>
        <v>3</v>
      </c>
      <c r="L13" s="60">
        <f>'Field data and Waste 1'!L13</f>
        <v>4</v>
      </c>
      <c r="M13" s="60">
        <f>'Field data and Waste 1'!M13</f>
        <v>3</v>
      </c>
      <c r="N13" s="60">
        <f>'Field data and Waste 1'!N13</f>
        <v>4</v>
      </c>
      <c r="O13" s="60">
        <f>'Field data and Waste 1'!O13</f>
        <v>5</v>
      </c>
      <c r="P13" s="60">
        <f>'Field data and Waste 1'!P13</f>
        <v>4</v>
      </c>
      <c r="Q13" s="60">
        <f>'Field data and Waste 1'!Q13</f>
        <v>5</v>
      </c>
      <c r="R13" s="60">
        <f>'Field data and Waste 1'!R13</f>
        <v>6</v>
      </c>
      <c r="S13" s="60">
        <f>'Field data and Waste 1'!S13</f>
        <v>5</v>
      </c>
      <c r="T13" s="60">
        <f>'Field data and Waste 1'!T13</f>
        <v>3</v>
      </c>
      <c r="U13" s="60">
        <f>'Field data and Waste 1'!U13</f>
        <v>3</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f>'Field data and Waste 1'!C14</f>
        <v>0</v>
      </c>
      <c r="D14" s="102">
        <f>'Field data and Waste 1'!D14</f>
        <v>0</v>
      </c>
      <c r="E14" s="102">
        <f>'Field data and Waste 1'!E14</f>
        <v>0</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0</v>
      </c>
      <c r="D15" s="60">
        <f>'Field data and Waste 1'!D15</f>
        <v>0</v>
      </c>
      <c r="E15" s="60">
        <f>'Field data and Waste 1'!E15</f>
        <v>0</v>
      </c>
      <c r="F15" s="60">
        <f>'Field data and Waste 1'!F15</f>
        <v>38</v>
      </c>
      <c r="G15" s="60">
        <f>'Field data and Waste 1'!G15</f>
        <v>38</v>
      </c>
      <c r="H15" s="60">
        <f>'Field data and Waste 1'!H15</f>
        <v>38</v>
      </c>
      <c r="I15" s="60">
        <f>'Field data and Waste 1'!I15</f>
        <v>38</v>
      </c>
      <c r="J15" s="60">
        <f>'Field data and Waste 1'!J15</f>
        <v>0</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t="e">
        <f>(VLOOKUP(C$14,$AI2:$AK26,2,FALSE))*C$15</f>
        <v>#N/A</v>
      </c>
      <c r="D17" s="28" t="e">
        <f t="shared" ref="D17:V17" si="0">(VLOOKUP(D$14,$AI2:$AK26,2,FALSE))*D$15</f>
        <v>#N/A</v>
      </c>
      <c r="E17" s="28" t="e">
        <f t="shared" si="0"/>
        <v>#N/A</v>
      </c>
      <c r="F17" s="28">
        <f t="shared" si="0"/>
        <v>64.599999999999994</v>
      </c>
      <c r="G17" s="28">
        <f t="shared" si="0"/>
        <v>64.599999999999994</v>
      </c>
      <c r="H17" s="28">
        <f t="shared" si="0"/>
        <v>64.599999999999994</v>
      </c>
      <c r="I17" s="28">
        <f t="shared" si="0"/>
        <v>64.599999999999994</v>
      </c>
      <c r="J17" s="28" t="e">
        <f t="shared" si="0"/>
        <v>#N/A</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t="e">
        <f>C18-C17</f>
        <v>#N/A</v>
      </c>
      <c r="D19" s="16" t="e">
        <f t="shared" ref="D19:V19" si="1">D18-D17</f>
        <v>#N/A</v>
      </c>
      <c r="E19" s="16" t="e">
        <f t="shared" si="1"/>
        <v>#N/A</v>
      </c>
      <c r="F19" s="16">
        <f t="shared" si="1"/>
        <v>-64.599999999999994</v>
      </c>
      <c r="G19" s="16">
        <f t="shared" si="1"/>
        <v>-64.599999999999994</v>
      </c>
      <c r="H19" s="16">
        <f t="shared" si="1"/>
        <v>-64.599999999999994</v>
      </c>
      <c r="I19" s="16">
        <f t="shared" si="1"/>
        <v>-64.599999999999994</v>
      </c>
      <c r="J19" s="16" t="e">
        <f t="shared" si="1"/>
        <v>#N/A</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t="e">
        <f>(VLOOKUP(C$14,$AI2:$AK26,3,FALSE))*C$15</f>
        <v>#N/A</v>
      </c>
      <c r="D21" s="28" t="e">
        <f t="shared" ref="D21:V21" si="2">(VLOOKUP(D$14,$AI2:$AK26,3,FALSE))*D$15</f>
        <v>#N/A</v>
      </c>
      <c r="E21" s="28" t="e">
        <f t="shared" si="2"/>
        <v>#N/A</v>
      </c>
      <c r="F21" s="28">
        <f t="shared" si="2"/>
        <v>228</v>
      </c>
      <c r="G21" s="28">
        <f t="shared" si="2"/>
        <v>228</v>
      </c>
      <c r="H21" s="28">
        <f t="shared" si="2"/>
        <v>228</v>
      </c>
      <c r="I21" s="28">
        <f t="shared" si="2"/>
        <v>228</v>
      </c>
      <c r="J21" s="28" t="e">
        <f t="shared" si="2"/>
        <v>#N/A</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t="e">
        <f>C22-C21</f>
        <v>#N/A</v>
      </c>
      <c r="D23" s="16" t="e">
        <f t="shared" ref="D23:V23" si="3">D22-D21</f>
        <v>#N/A</v>
      </c>
      <c r="E23" s="16" t="e">
        <f t="shared" si="3"/>
        <v>#N/A</v>
      </c>
      <c r="F23" s="16">
        <f t="shared" si="3"/>
        <v>-228</v>
      </c>
      <c r="G23" s="16">
        <f t="shared" si="3"/>
        <v>-228</v>
      </c>
      <c r="H23" s="16">
        <f t="shared" si="3"/>
        <v>-228</v>
      </c>
      <c r="I23" s="16">
        <f t="shared" si="3"/>
        <v>-228</v>
      </c>
      <c r="J23" s="16" t="e">
        <f t="shared" si="3"/>
        <v>#N/A</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1294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2225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3210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3732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5867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1808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24</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25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26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27</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33</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34</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35</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t="str">
        <f>T8</f>
        <v>36a</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37</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0</v>
      </c>
      <c r="E57" s="8">
        <f t="shared" si="13"/>
        <v>1294</v>
      </c>
      <c r="F57" s="8">
        <f t="shared" si="13"/>
        <v>2225</v>
      </c>
      <c r="G57" s="8">
        <f t="shared" si="13"/>
        <v>3210</v>
      </c>
      <c r="H57" s="8">
        <f t="shared" si="13"/>
        <v>3732</v>
      </c>
      <c r="I57" s="8">
        <f t="shared" si="13"/>
        <v>0</v>
      </c>
      <c r="J57" s="8">
        <f t="shared" si="13"/>
        <v>5867</v>
      </c>
      <c r="K57" s="8">
        <f t="shared" si="13"/>
        <v>1808</v>
      </c>
      <c r="L57" s="8">
        <f t="shared" si="13"/>
        <v>24</v>
      </c>
      <c r="M57" s="8">
        <f t="shared" si="13"/>
        <v>25</v>
      </c>
      <c r="N57" s="8">
        <f t="shared" si="13"/>
        <v>26</v>
      </c>
      <c r="O57" s="8">
        <f t="shared" si="13"/>
        <v>27</v>
      </c>
      <c r="P57" s="8">
        <f t="shared" si="13"/>
        <v>33</v>
      </c>
      <c r="Q57" s="8">
        <f t="shared" si="13"/>
        <v>34</v>
      </c>
      <c r="R57" s="8">
        <f t="shared" si="13"/>
        <v>35</v>
      </c>
      <c r="S57" s="8" t="str">
        <f t="shared" si="13"/>
        <v>36a</v>
      </c>
      <c r="T57" s="8">
        <f t="shared" si="13"/>
        <v>37</v>
      </c>
      <c r="U57" s="8">
        <f t="shared" si="13"/>
        <v>0</v>
      </c>
    </row>
    <row r="58" spans="1:35" s="19" customFormat="1" ht="13" x14ac:dyDescent="0.35">
      <c r="A58" s="92" t="s">
        <v>136</v>
      </c>
      <c r="B58" s="13" t="e">
        <f>C16&amp;" I "&amp;(VLOOKUP(C14,Table24581114[],6,FALSE))</f>
        <v>#N/A</v>
      </c>
      <c r="C58" s="13" t="e">
        <f>D16&amp;" I "&amp;(VLOOKUP(D14,Table24581114[],6,FALSE))</f>
        <v>#N/A</v>
      </c>
      <c r="D58" s="13" t="e">
        <f>E16&amp;" I "&amp;(VLOOKUP(E14,Table24581114[],6,FALSE))</f>
        <v>#N/A</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e">
        <f>J16&amp;" I "&amp;(VLOOKUP(J14,Table24581114[],6,FALSE))</f>
        <v>#N/A</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str">
        <f>R16&amp;" I "&amp;(VLOOKUP(R14,Table24581114[],6,FALSE))</f>
        <v>Medium/Clay I Grass</v>
      </c>
      <c r="R58" s="13" t="str">
        <f>S16&amp;" I "&amp;(VLOOKUP(S14,Table24581114[],6,FALSE))</f>
        <v>Medium/Clay I Grass</v>
      </c>
      <c r="S58" s="13" t="str">
        <f>T16&amp;" I "&amp;(VLOOKUP(T14,Table24581114[],6,FALSE))</f>
        <v>Medium/Clay I Grass</v>
      </c>
      <c r="T58" s="13" t="str">
        <f>U16&amp;" I "&amp;(VLOOKUP(U14,Table24581114[],6,FALSE))</f>
        <v>Medium/Clay I Grass</v>
      </c>
      <c r="U58" s="13" t="e">
        <f>V16&amp;" I "&amp;(VLOOKUP(V14,Table24581114[],6,FALSE))</f>
        <v>#N/A</v>
      </c>
    </row>
    <row r="59" spans="1:35" s="19" customFormat="1" ht="13" x14ac:dyDescent="0.3">
      <c r="A59" s="111" t="s">
        <v>132</v>
      </c>
      <c r="B59" s="76" t="e">
        <f>VLOOKUP(C$14,Table24581114[],5,FALSE)</f>
        <v>#N/A</v>
      </c>
      <c r="C59" s="76" t="e">
        <f>VLOOKUP(D$14,Table24581114[],5,FALSE)</f>
        <v>#N/A</v>
      </c>
      <c r="D59" s="76" t="e">
        <f>VLOOKUP(E$14,Table24581114[],5,FALSE)</f>
        <v>#N/A</v>
      </c>
      <c r="E59" s="76">
        <f>VLOOKUP(F$14,Table24581114[],5,FALSE)</f>
        <v>6.2</v>
      </c>
      <c r="F59" s="76">
        <f>VLOOKUP(G$14,Table24581114[],5,FALSE)</f>
        <v>6.2</v>
      </c>
      <c r="G59" s="76">
        <f>VLOOKUP(H$14,Table24581114[],5,FALSE)</f>
        <v>6.2</v>
      </c>
      <c r="H59" s="76">
        <f>VLOOKUP(I$14,Table24581114[],5,FALSE)</f>
        <v>6.2</v>
      </c>
      <c r="I59" s="76" t="e">
        <f>VLOOKUP(J$14,Table24581114[],5,FALSE)</f>
        <v>#N/A</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f>VLOOKUP(R$14,Table24581114[],5,FALSE)</f>
        <v>6.2</v>
      </c>
      <c r="R59" s="76">
        <f>VLOOKUP(S$14,Table24581114[],5,FALSE)</f>
        <v>6.2</v>
      </c>
      <c r="S59" s="76">
        <f>VLOOKUP(T$14,Table24581114[],5,FALSE)</f>
        <v>6.2</v>
      </c>
      <c r="T59" s="76">
        <f>VLOOKUP(U$14,Table24581114[],5,FALSE)</f>
        <v>6.2</v>
      </c>
      <c r="U59" s="76" t="e">
        <f>VLOOKUP(V$14,Table24581114[],5,FALSE)</f>
        <v>#N/A</v>
      </c>
    </row>
    <row r="60" spans="1:35" s="19" customFormat="1" ht="13" x14ac:dyDescent="0.3">
      <c r="A60" s="111" t="s">
        <v>4</v>
      </c>
      <c r="B60" s="76">
        <f>C10</f>
        <v>0</v>
      </c>
      <c r="C60" s="76">
        <f t="shared" ref="C60:U60" si="14">D10</f>
        <v>0</v>
      </c>
      <c r="D60" s="76">
        <f t="shared" si="14"/>
        <v>0</v>
      </c>
      <c r="E60" s="76">
        <f t="shared" si="14"/>
        <v>7</v>
      </c>
      <c r="F60" s="76">
        <f t="shared" si="14"/>
        <v>7.6</v>
      </c>
      <c r="G60" s="76">
        <f t="shared" si="14"/>
        <v>7.3</v>
      </c>
      <c r="H60" s="76">
        <f t="shared" si="14"/>
        <v>7.5</v>
      </c>
      <c r="I60" s="76">
        <f t="shared" si="14"/>
        <v>0</v>
      </c>
      <c r="J60" s="76">
        <f t="shared" si="14"/>
        <v>7.9</v>
      </c>
      <c r="K60" s="76">
        <f t="shared" si="14"/>
        <v>6.4</v>
      </c>
      <c r="L60" s="76">
        <f t="shared" si="14"/>
        <v>8.1999999999999993</v>
      </c>
      <c r="M60" s="76">
        <f t="shared" si="14"/>
        <v>8.1999999999999993</v>
      </c>
      <c r="N60" s="76">
        <f t="shared" si="14"/>
        <v>7.6</v>
      </c>
      <c r="O60" s="76">
        <f t="shared" si="14"/>
        <v>7.2</v>
      </c>
      <c r="P60" s="76">
        <f t="shared" si="14"/>
        <v>7.1</v>
      </c>
      <c r="Q60" s="76">
        <f t="shared" si="14"/>
        <v>7.1</v>
      </c>
      <c r="R60" s="76">
        <f t="shared" si="14"/>
        <v>7</v>
      </c>
      <c r="S60" s="76">
        <f t="shared" si="14"/>
        <v>7.9</v>
      </c>
      <c r="T60" s="76">
        <f t="shared" si="14"/>
        <v>8</v>
      </c>
      <c r="U60" s="76">
        <f t="shared" si="14"/>
        <v>0</v>
      </c>
    </row>
    <row r="61" spans="1:35" s="19" customFormat="1" ht="13" x14ac:dyDescent="0.3">
      <c r="A61" s="111" t="s">
        <v>133</v>
      </c>
      <c r="B61" s="76" t="e">
        <f t="shared" ref="B61:U61" si="15">VLOOKUP(B58,$AD9:$AE18,2,FALSE)</f>
        <v>#N/A</v>
      </c>
      <c r="C61" s="76" t="e">
        <f t="shared" si="15"/>
        <v>#N/A</v>
      </c>
      <c r="D61" s="76" t="e">
        <f t="shared" si="15"/>
        <v>#N/A</v>
      </c>
      <c r="E61" s="76">
        <f t="shared" si="15"/>
        <v>6</v>
      </c>
      <c r="F61" s="76">
        <f t="shared" si="15"/>
        <v>6</v>
      </c>
      <c r="G61" s="76">
        <f t="shared" si="15"/>
        <v>6</v>
      </c>
      <c r="H61" s="76">
        <f t="shared" si="15"/>
        <v>6</v>
      </c>
      <c r="I61" s="76" t="e">
        <f t="shared" si="15"/>
        <v>#N/A</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f t="shared" si="17"/>
        <v>-4.7999999999999989</v>
      </c>
      <c r="F64" s="77">
        <f t="shared" si="17"/>
        <v>-8.3999999999999968</v>
      </c>
      <c r="G64" s="77">
        <f t="shared" si="17"/>
        <v>-6.5999999999999979</v>
      </c>
      <c r="H64" s="77">
        <f t="shared" si="17"/>
        <v>-7.7999999999999989</v>
      </c>
      <c r="I64" s="77" t="e">
        <f t="shared" si="17"/>
        <v>#N/A</v>
      </c>
      <c r="J64" s="77">
        <f t="shared" si="17"/>
        <v>-10.200000000000001</v>
      </c>
      <c r="K64" s="77">
        <f t="shared" si="17"/>
        <v>-1.2000000000000011</v>
      </c>
      <c r="L64" s="77">
        <f t="shared" si="17"/>
        <v>-11.999999999999995</v>
      </c>
      <c r="M64" s="77">
        <f t="shared" si="17"/>
        <v>-11.999999999999995</v>
      </c>
      <c r="N64" s="77">
        <f t="shared" si="17"/>
        <v>-8.3999999999999968</v>
      </c>
      <c r="O64" s="77">
        <f t="shared" si="17"/>
        <v>-6</v>
      </c>
      <c r="P64" s="77">
        <f t="shared" si="17"/>
        <v>-5.3999999999999968</v>
      </c>
      <c r="Q64" s="77">
        <f t="shared" si="17"/>
        <v>-5.3999999999999968</v>
      </c>
      <c r="R64" s="77">
        <f t="shared" si="17"/>
        <v>-4.7999999999999989</v>
      </c>
      <c r="S64" s="77">
        <f t="shared" si="17"/>
        <v>-10.200000000000001</v>
      </c>
      <c r="T64" s="77">
        <f t="shared" si="17"/>
        <v>-10.799999999999999</v>
      </c>
      <c r="U64" s="77" t="e">
        <f t="shared" si="17"/>
        <v>#N/A</v>
      </c>
    </row>
    <row r="65" spans="1:21" s="19" customFormat="1" ht="52" x14ac:dyDescent="0.3">
      <c r="A65" s="112" t="s">
        <v>157</v>
      </c>
      <c r="B65" s="77" t="e">
        <f>B63-B64</f>
        <v>#N/A</v>
      </c>
      <c r="C65" s="77" t="e">
        <f t="shared" ref="C65:U65" si="18">C63-C64</f>
        <v>#N/A</v>
      </c>
      <c r="D65" s="77" t="e">
        <f t="shared" si="18"/>
        <v>#N/A</v>
      </c>
      <c r="E65" s="77">
        <f t="shared" si="18"/>
        <v>4.7999999999999989</v>
      </c>
      <c r="F65" s="77">
        <f t="shared" si="18"/>
        <v>8.3999999999999968</v>
      </c>
      <c r="G65" s="77">
        <f t="shared" si="18"/>
        <v>6.5999999999999979</v>
      </c>
      <c r="H65" s="77">
        <f t="shared" si="18"/>
        <v>7.7999999999999989</v>
      </c>
      <c r="I65" s="77" t="e">
        <f t="shared" si="18"/>
        <v>#N/A</v>
      </c>
      <c r="J65" s="77">
        <f t="shared" si="18"/>
        <v>10.200000000000001</v>
      </c>
      <c r="K65" s="77">
        <f t="shared" si="18"/>
        <v>1.2000000000000011</v>
      </c>
      <c r="L65" s="77">
        <f t="shared" si="18"/>
        <v>11.999999999999995</v>
      </c>
      <c r="M65" s="77">
        <f t="shared" si="18"/>
        <v>11.999999999999995</v>
      </c>
      <c r="N65" s="77">
        <f t="shared" si="18"/>
        <v>8.3999999999999968</v>
      </c>
      <c r="O65" s="77">
        <f t="shared" si="18"/>
        <v>6</v>
      </c>
      <c r="P65" s="77">
        <f t="shared" si="18"/>
        <v>5.3999999999999968</v>
      </c>
      <c r="Q65" s="77">
        <f t="shared" si="18"/>
        <v>5.3999999999999968</v>
      </c>
      <c r="R65" s="77">
        <f t="shared" si="18"/>
        <v>4.7999999999999989</v>
      </c>
      <c r="S65" s="77">
        <f t="shared" si="18"/>
        <v>10.200000000000001</v>
      </c>
      <c r="T65" s="77">
        <f t="shared" si="18"/>
        <v>10.799999999999999</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str">
        <f t="shared" si="19"/>
        <v>OVER</v>
      </c>
      <c r="F66" s="78" t="str">
        <f t="shared" si="19"/>
        <v>OVER</v>
      </c>
      <c r="G66" s="78" t="str">
        <f t="shared" si="19"/>
        <v>OVER</v>
      </c>
      <c r="H66" s="78" t="str">
        <f t="shared" si="19"/>
        <v>OVER</v>
      </c>
      <c r="I66" s="78" t="e">
        <f t="shared" si="19"/>
        <v>#N/A</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PAN-018217</v>
      </c>
      <c r="D1" s="141"/>
      <c r="E1" s="93" t="s">
        <v>45</v>
      </c>
      <c r="F1" s="39">
        <f>'Field data and Waste 1'!F1</f>
        <v>44.6</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Abergelli Farm, Felindre, Swansea, SA5 7NN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0</v>
      </c>
      <c r="D8" s="60">
        <f>'Field data and Waste 1'!D8</f>
        <v>0</v>
      </c>
      <c r="E8" s="60">
        <f>'Field data and Waste 1'!E8</f>
        <v>0</v>
      </c>
      <c r="F8" s="60">
        <f>'Field data and Waste 1'!F8</f>
        <v>1294</v>
      </c>
      <c r="G8" s="60">
        <f>'Field data and Waste 1'!G8</f>
        <v>2225</v>
      </c>
      <c r="H8" s="60">
        <f>'Field data and Waste 1'!H8</f>
        <v>3210</v>
      </c>
      <c r="I8" s="60">
        <f>'Field data and Waste 1'!I8</f>
        <v>3732</v>
      </c>
      <c r="J8" s="60">
        <f>'Field data and Waste 1'!J8</f>
        <v>0</v>
      </c>
      <c r="K8" s="60">
        <f>'Field data and Waste 1'!K8</f>
        <v>5867</v>
      </c>
      <c r="L8" s="60">
        <f>'Field data and Waste 1'!L8</f>
        <v>1808</v>
      </c>
      <c r="M8" s="60">
        <f>'Field data and Waste 1'!M8</f>
        <v>24</v>
      </c>
      <c r="N8" s="60">
        <f>'Field data and Waste 1'!N8</f>
        <v>25</v>
      </c>
      <c r="O8" s="60">
        <f>'Field data and Waste 1'!O8</f>
        <v>26</v>
      </c>
      <c r="P8" s="60">
        <f>'Field data and Waste 1'!P8</f>
        <v>27</v>
      </c>
      <c r="Q8" s="60">
        <f>'Field data and Waste 1'!Q8</f>
        <v>33</v>
      </c>
      <c r="R8" s="60">
        <f>'Field data and Waste 1'!R8</f>
        <v>34</v>
      </c>
      <c r="S8" s="60">
        <f>'Field data and Waste 1'!S8</f>
        <v>35</v>
      </c>
      <c r="T8" s="60" t="str">
        <f>'Field data and Waste 1'!T8</f>
        <v>36a</v>
      </c>
      <c r="U8" s="60">
        <f>'Field data and Waste 1'!U8</f>
        <v>37</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0</v>
      </c>
      <c r="D9" s="60">
        <f>'Field data and Waste 1'!D9</f>
        <v>0</v>
      </c>
      <c r="E9" s="60">
        <f>'Field data and Waste 1'!E9</f>
        <v>0</v>
      </c>
      <c r="F9" s="60" t="str">
        <f>'Field data and Waste 1'!F9</f>
        <v>Moderate</v>
      </c>
      <c r="G9" s="60" t="str">
        <f>'Field data and Waste 1'!G9</f>
        <v>Moderate</v>
      </c>
      <c r="H9" s="60" t="str">
        <f>'Field data and Waste 1'!H9</f>
        <v>Moderate</v>
      </c>
      <c r="I9" s="60" t="str">
        <f>'Field data and Waste 1'!I9</f>
        <v>Moderate</v>
      </c>
      <c r="J9" s="60">
        <f>'Field data and Waste 1'!J9</f>
        <v>0</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0</v>
      </c>
      <c r="D10" s="60">
        <f>'Field data and Waste 1'!D10</f>
        <v>0</v>
      </c>
      <c r="E10" s="60">
        <f>'Field data and Waste 1'!E10</f>
        <v>0</v>
      </c>
      <c r="F10" s="60">
        <f>'Field data and Waste 1'!F10</f>
        <v>7</v>
      </c>
      <c r="G10" s="60">
        <f>'Field data and Waste 1'!G10</f>
        <v>7.6</v>
      </c>
      <c r="H10" s="60">
        <f>'Field data and Waste 1'!H10</f>
        <v>7.3</v>
      </c>
      <c r="I10" s="60">
        <f>'Field data and Waste 1'!I10</f>
        <v>7.5</v>
      </c>
      <c r="J10" s="60">
        <f>'Field data and Waste 1'!J10</f>
        <v>0</v>
      </c>
      <c r="K10" s="60">
        <f>'Field data and Waste 1'!K10</f>
        <v>7.9</v>
      </c>
      <c r="L10" s="60">
        <f>'Field data and Waste 1'!L10</f>
        <v>6.4</v>
      </c>
      <c r="M10" s="60">
        <f>'Field data and Waste 1'!M10</f>
        <v>8.1999999999999993</v>
      </c>
      <c r="N10" s="60">
        <f>'Field data and Waste 1'!N10</f>
        <v>8.1999999999999993</v>
      </c>
      <c r="O10" s="60">
        <f>'Field data and Waste 1'!O10</f>
        <v>7.6</v>
      </c>
      <c r="P10" s="60">
        <f>'Field data and Waste 1'!P10</f>
        <v>7.2</v>
      </c>
      <c r="Q10" s="60">
        <f>'Field data and Waste 1'!Q10</f>
        <v>7.1</v>
      </c>
      <c r="R10" s="60">
        <f>'Field data and Waste 1'!R10</f>
        <v>7.1</v>
      </c>
      <c r="S10" s="60">
        <f>'Field data and Waste 1'!S10</f>
        <v>7</v>
      </c>
      <c r="T10" s="60">
        <f>'Field data and Waste 1'!T10</f>
        <v>7.9</v>
      </c>
      <c r="U10" s="60">
        <f>'Field data and Waste 1'!U10</f>
        <v>8</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2</v>
      </c>
      <c r="M11" s="60">
        <f>'Field data and Waste 1'!M11</f>
        <v>0</v>
      </c>
      <c r="N11" s="60">
        <f>'Field data and Waste 1'!N11</f>
        <v>0</v>
      </c>
      <c r="O11" s="60">
        <f>'Field data and Waste 1'!O11</f>
        <v>1</v>
      </c>
      <c r="P11" s="60">
        <f>'Field data and Waste 1'!P11</f>
        <v>1</v>
      </c>
      <c r="Q11" s="60">
        <f>'Field data and Waste 1'!Q11</f>
        <v>1</v>
      </c>
      <c r="R11" s="60">
        <f>'Field data and Waste 1'!R11</f>
        <v>1</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1</v>
      </c>
      <c r="G12" s="60">
        <f>'Field data and Waste 1'!G12</f>
        <v>1</v>
      </c>
      <c r="H12" s="60">
        <f>'Field data and Waste 1'!H12</f>
        <v>1</v>
      </c>
      <c r="I12" s="60">
        <f>'Field data and Waste 1'!I12</f>
        <v>1</v>
      </c>
      <c r="J12" s="60">
        <f>'Field data and Waste 1'!J12</f>
        <v>0</v>
      </c>
      <c r="K12" s="60">
        <f>'Field data and Waste 1'!K12</f>
        <v>1</v>
      </c>
      <c r="L12" s="60">
        <f>'Field data and Waste 1'!L12</f>
        <v>2</v>
      </c>
      <c r="M12" s="60">
        <f>'Field data and Waste 1'!M12</f>
        <v>1</v>
      </c>
      <c r="N12" s="60">
        <f>'Field data and Waste 1'!N12</f>
        <v>1</v>
      </c>
      <c r="O12" s="60">
        <f>'Field data and Waste 1'!O12</f>
        <v>2</v>
      </c>
      <c r="P12" s="60">
        <f>'Field data and Waste 1'!P12</f>
        <v>1</v>
      </c>
      <c r="Q12" s="60">
        <f>'Field data and Waste 1'!Q12</f>
        <v>1</v>
      </c>
      <c r="R12" s="60">
        <f>'Field data and Waste 1'!R12</f>
        <v>2</v>
      </c>
      <c r="S12" s="60">
        <f>'Field data and Waste 1'!S12</f>
        <v>1</v>
      </c>
      <c r="T12" s="60">
        <f>'Field data and Waste 1'!T12</f>
        <v>1</v>
      </c>
      <c r="U12" s="60">
        <f>'Field data and Waste 1'!U12</f>
        <v>1</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0</v>
      </c>
      <c r="D13" s="60">
        <f>'Field data and Waste 1'!D13</f>
        <v>0</v>
      </c>
      <c r="E13" s="60">
        <f>'Field data and Waste 1'!E13</f>
        <v>0</v>
      </c>
      <c r="F13" s="60">
        <f>'Field data and Waste 1'!F13</f>
        <v>2</v>
      </c>
      <c r="G13" s="60">
        <f>'Field data and Waste 1'!G13</f>
        <v>3</v>
      </c>
      <c r="H13" s="60">
        <f>'Field data and Waste 1'!H13</f>
        <v>2</v>
      </c>
      <c r="I13" s="60">
        <f>'Field data and Waste 1'!I13</f>
        <v>2</v>
      </c>
      <c r="J13" s="60">
        <f>'Field data and Waste 1'!J13</f>
        <v>0</v>
      </c>
      <c r="K13" s="60">
        <f>'Field data and Waste 1'!K13</f>
        <v>3</v>
      </c>
      <c r="L13" s="60">
        <f>'Field data and Waste 1'!L13</f>
        <v>4</v>
      </c>
      <c r="M13" s="60">
        <f>'Field data and Waste 1'!M13</f>
        <v>3</v>
      </c>
      <c r="N13" s="60">
        <f>'Field data and Waste 1'!N13</f>
        <v>4</v>
      </c>
      <c r="O13" s="60">
        <f>'Field data and Waste 1'!O13</f>
        <v>5</v>
      </c>
      <c r="P13" s="60">
        <f>'Field data and Waste 1'!P13</f>
        <v>4</v>
      </c>
      <c r="Q13" s="60">
        <f>'Field data and Waste 1'!Q13</f>
        <v>5</v>
      </c>
      <c r="R13" s="60">
        <f>'Field data and Waste 1'!R13</f>
        <v>6</v>
      </c>
      <c r="S13" s="60">
        <f>'Field data and Waste 1'!S13</f>
        <v>5</v>
      </c>
      <c r="T13" s="60">
        <f>'Field data and Waste 1'!T13</f>
        <v>3</v>
      </c>
      <c r="U13" s="60">
        <f>'Field data and Waste 1'!U13</f>
        <v>3</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f>'Field data and Waste 1'!C14</f>
        <v>0</v>
      </c>
      <c r="D14" s="102">
        <f>'Field data and Waste 1'!D14</f>
        <v>0</v>
      </c>
      <c r="E14" s="102">
        <f>'Field data and Waste 1'!E14</f>
        <v>0</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0</v>
      </c>
      <c r="D15" s="60">
        <f>'Field data and Waste 1'!D15</f>
        <v>0</v>
      </c>
      <c r="E15" s="60">
        <f>'Field data and Waste 1'!E15</f>
        <v>0</v>
      </c>
      <c r="F15" s="60">
        <f>'Field data and Waste 1'!F15</f>
        <v>38</v>
      </c>
      <c r="G15" s="60">
        <f>'Field data and Waste 1'!G15</f>
        <v>38</v>
      </c>
      <c r="H15" s="60">
        <f>'Field data and Waste 1'!H15</f>
        <v>38</v>
      </c>
      <c r="I15" s="60">
        <f>'Field data and Waste 1'!I15</f>
        <v>38</v>
      </c>
      <c r="J15" s="60">
        <f>'Field data and Waste 1'!J15</f>
        <v>0</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t="e">
        <f>(VLOOKUP(C$14,$AI2:$AK26,2,FALSE))*C$15</f>
        <v>#N/A</v>
      </c>
      <c r="D17" s="28" t="e">
        <f t="shared" ref="D17:V17" si="0">(VLOOKUP(D$14,$AI2:$AK26,2,FALSE))*D$15</f>
        <v>#N/A</v>
      </c>
      <c r="E17" s="28" t="e">
        <f t="shared" si="0"/>
        <v>#N/A</v>
      </c>
      <c r="F17" s="28">
        <f t="shared" si="0"/>
        <v>64.599999999999994</v>
      </c>
      <c r="G17" s="28">
        <f t="shared" si="0"/>
        <v>64.599999999999994</v>
      </c>
      <c r="H17" s="28">
        <f t="shared" si="0"/>
        <v>64.599999999999994</v>
      </c>
      <c r="I17" s="28">
        <f t="shared" si="0"/>
        <v>64.599999999999994</v>
      </c>
      <c r="J17" s="28" t="e">
        <f t="shared" si="0"/>
        <v>#N/A</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t="e">
        <f>C18-C17</f>
        <v>#N/A</v>
      </c>
      <c r="D19" s="16" t="e">
        <f t="shared" ref="D19:V19" si="1">D18-D17</f>
        <v>#N/A</v>
      </c>
      <c r="E19" s="16" t="e">
        <f t="shared" si="1"/>
        <v>#N/A</v>
      </c>
      <c r="F19" s="16">
        <f t="shared" si="1"/>
        <v>-64.599999999999994</v>
      </c>
      <c r="G19" s="16">
        <f t="shared" si="1"/>
        <v>-64.599999999999994</v>
      </c>
      <c r="H19" s="16">
        <f t="shared" si="1"/>
        <v>-64.599999999999994</v>
      </c>
      <c r="I19" s="16">
        <f t="shared" si="1"/>
        <v>-64.599999999999994</v>
      </c>
      <c r="J19" s="16" t="e">
        <f t="shared" si="1"/>
        <v>#N/A</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t="e">
        <f>(VLOOKUP(C$14,$AI2:$AK26,3,FALSE))*C$15</f>
        <v>#N/A</v>
      </c>
      <c r="D21" s="28" t="e">
        <f t="shared" ref="D21:V21" si="2">(VLOOKUP(D$14,$AI2:$AK26,3,FALSE))*D$15</f>
        <v>#N/A</v>
      </c>
      <c r="E21" s="28" t="e">
        <f t="shared" si="2"/>
        <v>#N/A</v>
      </c>
      <c r="F21" s="28">
        <f t="shared" si="2"/>
        <v>228</v>
      </c>
      <c r="G21" s="28">
        <f t="shared" si="2"/>
        <v>228</v>
      </c>
      <c r="H21" s="28">
        <f t="shared" si="2"/>
        <v>228</v>
      </c>
      <c r="I21" s="28">
        <f t="shared" si="2"/>
        <v>228</v>
      </c>
      <c r="J21" s="28" t="e">
        <f t="shared" si="2"/>
        <v>#N/A</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t="e">
        <f>C22-C21</f>
        <v>#N/A</v>
      </c>
      <c r="D23" s="16" t="e">
        <f t="shared" ref="D23:V23" si="3">D22-D21</f>
        <v>#N/A</v>
      </c>
      <c r="E23" s="16" t="e">
        <f t="shared" si="3"/>
        <v>#N/A</v>
      </c>
      <c r="F23" s="16">
        <f t="shared" si="3"/>
        <v>-228</v>
      </c>
      <c r="G23" s="16">
        <f t="shared" si="3"/>
        <v>-228</v>
      </c>
      <c r="H23" s="16">
        <f t="shared" si="3"/>
        <v>-228</v>
      </c>
      <c r="I23" s="16">
        <f t="shared" si="3"/>
        <v>-228</v>
      </c>
      <c r="J23" s="16" t="e">
        <f t="shared" si="3"/>
        <v>#N/A</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1294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2225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3210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3732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5867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1808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24</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25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26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27</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33</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34</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35</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t="str">
        <f>T8</f>
        <v>36a</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37</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0</v>
      </c>
      <c r="E57" s="8">
        <f t="shared" si="13"/>
        <v>1294</v>
      </c>
      <c r="F57" s="8">
        <f t="shared" si="13"/>
        <v>2225</v>
      </c>
      <c r="G57" s="8">
        <f t="shared" si="13"/>
        <v>3210</v>
      </c>
      <c r="H57" s="8">
        <f t="shared" si="13"/>
        <v>3732</v>
      </c>
      <c r="I57" s="8">
        <f t="shared" si="13"/>
        <v>0</v>
      </c>
      <c r="J57" s="8">
        <f t="shared" si="13"/>
        <v>5867</v>
      </c>
      <c r="K57" s="8">
        <f t="shared" si="13"/>
        <v>1808</v>
      </c>
      <c r="L57" s="8">
        <f t="shared" si="13"/>
        <v>24</v>
      </c>
      <c r="M57" s="8">
        <f t="shared" si="13"/>
        <v>25</v>
      </c>
      <c r="N57" s="8">
        <f t="shared" si="13"/>
        <v>26</v>
      </c>
      <c r="O57" s="8">
        <f t="shared" si="13"/>
        <v>27</v>
      </c>
      <c r="P57" s="8">
        <f t="shared" si="13"/>
        <v>33</v>
      </c>
      <c r="Q57" s="8">
        <f t="shared" si="13"/>
        <v>34</v>
      </c>
      <c r="R57" s="8">
        <f t="shared" si="13"/>
        <v>35</v>
      </c>
      <c r="S57" s="8" t="str">
        <f t="shared" si="13"/>
        <v>36a</v>
      </c>
      <c r="T57" s="8">
        <f t="shared" si="13"/>
        <v>37</v>
      </c>
      <c r="U57" s="8">
        <f t="shared" si="13"/>
        <v>0</v>
      </c>
    </row>
    <row r="58" spans="1:35" s="19" customFormat="1" ht="13" x14ac:dyDescent="0.35">
      <c r="A58" s="92" t="s">
        <v>136</v>
      </c>
      <c r="B58" s="13" t="e">
        <f>C16&amp;" I "&amp;(VLOOKUP(C14,Table245810[],6,FALSE))</f>
        <v>#N/A</v>
      </c>
      <c r="C58" s="13" t="e">
        <f>D16&amp;" I "&amp;(VLOOKUP(D14,Table245810[],6,FALSE))</f>
        <v>#N/A</v>
      </c>
      <c r="D58" s="13" t="e">
        <f>E16&amp;" I "&amp;(VLOOKUP(E14,Table245810[],6,FALSE))</f>
        <v>#N/A</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e">
        <f>J16&amp;" I "&amp;(VLOOKUP(J14,Table245810[],6,FALSE))</f>
        <v>#N/A</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str">
        <f>R16&amp;" I "&amp;(VLOOKUP(R14,Table245810[],6,FALSE))</f>
        <v>Medium/Clay I Grass</v>
      </c>
      <c r="R58" s="13" t="str">
        <f>S16&amp;" I "&amp;(VLOOKUP(S14,Table245810[],6,FALSE))</f>
        <v>Medium/Clay I Grass</v>
      </c>
      <c r="S58" s="13" t="str">
        <f>T16&amp;" I "&amp;(VLOOKUP(T14,Table245810[],6,FALSE))</f>
        <v>Medium/Clay I Grass</v>
      </c>
      <c r="T58" s="13" t="str">
        <f>U16&amp;" I "&amp;(VLOOKUP(U14,Table245810[],6,FALSE))</f>
        <v>Medium/Clay I Grass</v>
      </c>
      <c r="U58" s="13" t="e">
        <f>V16&amp;" I "&amp;(VLOOKUP(V14,Table245810[],6,FALSE))</f>
        <v>#N/A</v>
      </c>
    </row>
    <row r="59" spans="1:35" s="19" customFormat="1" ht="13" x14ac:dyDescent="0.3">
      <c r="A59" s="111" t="s">
        <v>132</v>
      </c>
      <c r="B59" s="76" t="e">
        <f>VLOOKUP(C$14,Table245810[],5,FALSE)</f>
        <v>#N/A</v>
      </c>
      <c r="C59" s="76" t="e">
        <f>VLOOKUP(D$14,Table245810[],5,FALSE)</f>
        <v>#N/A</v>
      </c>
      <c r="D59" s="76" t="e">
        <f>VLOOKUP(E$14,Table245810[],5,FALSE)</f>
        <v>#N/A</v>
      </c>
      <c r="E59" s="76">
        <f>VLOOKUP(F$14,Table245810[],5,FALSE)</f>
        <v>6.2</v>
      </c>
      <c r="F59" s="76">
        <f>VLOOKUP(G$14,Table245810[],5,FALSE)</f>
        <v>6.2</v>
      </c>
      <c r="G59" s="76">
        <f>VLOOKUP(H$14,Table245810[],5,FALSE)</f>
        <v>6.2</v>
      </c>
      <c r="H59" s="76">
        <f>VLOOKUP(I$14,Table245810[],5,FALSE)</f>
        <v>6.2</v>
      </c>
      <c r="I59" s="76" t="e">
        <f>VLOOKUP(J$14,Table245810[],5,FALSE)</f>
        <v>#N/A</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f>VLOOKUP(R$14,Table245810[],5,FALSE)</f>
        <v>6.2</v>
      </c>
      <c r="R59" s="76">
        <f>VLOOKUP(S$14,Table245810[],5,FALSE)</f>
        <v>6.2</v>
      </c>
      <c r="S59" s="76">
        <f>VLOOKUP(T$14,Table245810[],5,FALSE)</f>
        <v>6.2</v>
      </c>
      <c r="T59" s="76">
        <f>VLOOKUP(U$14,Table245810[],5,FALSE)</f>
        <v>6.2</v>
      </c>
      <c r="U59" s="76" t="e">
        <f>VLOOKUP(V$14,Table245810[],5,FALSE)</f>
        <v>#N/A</v>
      </c>
    </row>
    <row r="60" spans="1:35" s="19" customFormat="1" ht="13" x14ac:dyDescent="0.3">
      <c r="A60" s="111" t="s">
        <v>4</v>
      </c>
      <c r="B60" s="76">
        <f>C10</f>
        <v>0</v>
      </c>
      <c r="C60" s="76">
        <f t="shared" ref="C60:U60" si="14">D10</f>
        <v>0</v>
      </c>
      <c r="D60" s="76">
        <f t="shared" si="14"/>
        <v>0</v>
      </c>
      <c r="E60" s="76">
        <f t="shared" si="14"/>
        <v>7</v>
      </c>
      <c r="F60" s="76">
        <f t="shared" si="14"/>
        <v>7.6</v>
      </c>
      <c r="G60" s="76">
        <f t="shared" si="14"/>
        <v>7.3</v>
      </c>
      <c r="H60" s="76">
        <f t="shared" si="14"/>
        <v>7.5</v>
      </c>
      <c r="I60" s="76">
        <f t="shared" si="14"/>
        <v>0</v>
      </c>
      <c r="J60" s="76">
        <f t="shared" si="14"/>
        <v>7.9</v>
      </c>
      <c r="K60" s="76">
        <f t="shared" si="14"/>
        <v>6.4</v>
      </c>
      <c r="L60" s="76">
        <f t="shared" si="14"/>
        <v>8.1999999999999993</v>
      </c>
      <c r="M60" s="76">
        <f t="shared" si="14"/>
        <v>8.1999999999999993</v>
      </c>
      <c r="N60" s="76">
        <f t="shared" si="14"/>
        <v>7.6</v>
      </c>
      <c r="O60" s="76">
        <f t="shared" si="14"/>
        <v>7.2</v>
      </c>
      <c r="P60" s="76">
        <f t="shared" si="14"/>
        <v>7.1</v>
      </c>
      <c r="Q60" s="76">
        <f t="shared" si="14"/>
        <v>7.1</v>
      </c>
      <c r="R60" s="76">
        <f t="shared" si="14"/>
        <v>7</v>
      </c>
      <c r="S60" s="76">
        <f t="shared" si="14"/>
        <v>7.9</v>
      </c>
      <c r="T60" s="76">
        <f t="shared" si="14"/>
        <v>8</v>
      </c>
      <c r="U60" s="76">
        <f t="shared" si="14"/>
        <v>0</v>
      </c>
    </row>
    <row r="61" spans="1:35" s="19" customFormat="1" ht="13" x14ac:dyDescent="0.3">
      <c r="A61" s="111" t="s">
        <v>133</v>
      </c>
      <c r="B61" s="76" t="e">
        <f t="shared" ref="B61:U61" si="15">VLOOKUP(B58,$AD9:$AE18,2,FALSE)</f>
        <v>#N/A</v>
      </c>
      <c r="C61" s="76" t="e">
        <f t="shared" si="15"/>
        <v>#N/A</v>
      </c>
      <c r="D61" s="76" t="e">
        <f t="shared" si="15"/>
        <v>#N/A</v>
      </c>
      <c r="E61" s="76">
        <f t="shared" si="15"/>
        <v>6</v>
      </c>
      <c r="F61" s="76">
        <f t="shared" si="15"/>
        <v>6</v>
      </c>
      <c r="G61" s="76">
        <f t="shared" si="15"/>
        <v>6</v>
      </c>
      <c r="H61" s="76">
        <f t="shared" si="15"/>
        <v>6</v>
      </c>
      <c r="I61" s="76" t="e">
        <f t="shared" si="15"/>
        <v>#N/A</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f t="shared" si="17"/>
        <v>-4.7999999999999989</v>
      </c>
      <c r="F64" s="77">
        <f t="shared" si="17"/>
        <v>-8.3999999999999968</v>
      </c>
      <c r="G64" s="77">
        <f t="shared" si="17"/>
        <v>-6.5999999999999979</v>
      </c>
      <c r="H64" s="77">
        <f t="shared" si="17"/>
        <v>-7.7999999999999989</v>
      </c>
      <c r="I64" s="77" t="e">
        <f t="shared" si="17"/>
        <v>#N/A</v>
      </c>
      <c r="J64" s="77">
        <f t="shared" si="17"/>
        <v>-10.200000000000001</v>
      </c>
      <c r="K64" s="77">
        <f t="shared" si="17"/>
        <v>-1.2000000000000011</v>
      </c>
      <c r="L64" s="77">
        <f t="shared" si="17"/>
        <v>-11.999999999999995</v>
      </c>
      <c r="M64" s="77">
        <f t="shared" si="17"/>
        <v>-11.999999999999995</v>
      </c>
      <c r="N64" s="77">
        <f t="shared" si="17"/>
        <v>-8.3999999999999968</v>
      </c>
      <c r="O64" s="77">
        <f t="shared" si="17"/>
        <v>-6</v>
      </c>
      <c r="P64" s="77">
        <f t="shared" si="17"/>
        <v>-5.3999999999999968</v>
      </c>
      <c r="Q64" s="77">
        <f t="shared" si="17"/>
        <v>-5.3999999999999968</v>
      </c>
      <c r="R64" s="77">
        <f t="shared" si="17"/>
        <v>-4.7999999999999989</v>
      </c>
      <c r="S64" s="77">
        <f t="shared" si="17"/>
        <v>-10.200000000000001</v>
      </c>
      <c r="T64" s="77">
        <f t="shared" si="17"/>
        <v>-10.799999999999999</v>
      </c>
      <c r="U64" s="77" t="e">
        <f t="shared" si="17"/>
        <v>#N/A</v>
      </c>
    </row>
    <row r="65" spans="1:21" s="19" customFormat="1" ht="52" x14ac:dyDescent="0.3">
      <c r="A65" s="112" t="s">
        <v>157</v>
      </c>
      <c r="B65" s="77" t="e">
        <f>B63-B64</f>
        <v>#N/A</v>
      </c>
      <c r="C65" s="77" t="e">
        <f t="shared" ref="C65:U65" si="18">C63-C64</f>
        <v>#N/A</v>
      </c>
      <c r="D65" s="77" t="e">
        <f t="shared" si="18"/>
        <v>#N/A</v>
      </c>
      <c r="E65" s="77">
        <f t="shared" si="18"/>
        <v>4.7999999999999989</v>
      </c>
      <c r="F65" s="77">
        <f t="shared" si="18"/>
        <v>8.3999999999999968</v>
      </c>
      <c r="G65" s="77">
        <f t="shared" si="18"/>
        <v>6.5999999999999979</v>
      </c>
      <c r="H65" s="77">
        <f t="shared" si="18"/>
        <v>7.7999999999999989</v>
      </c>
      <c r="I65" s="77" t="e">
        <f t="shared" si="18"/>
        <v>#N/A</v>
      </c>
      <c r="J65" s="77">
        <f t="shared" si="18"/>
        <v>10.200000000000001</v>
      </c>
      <c r="K65" s="77">
        <f t="shared" si="18"/>
        <v>1.2000000000000011</v>
      </c>
      <c r="L65" s="77">
        <f t="shared" si="18"/>
        <v>11.999999999999995</v>
      </c>
      <c r="M65" s="77">
        <f t="shared" si="18"/>
        <v>11.999999999999995</v>
      </c>
      <c r="N65" s="77">
        <f t="shared" si="18"/>
        <v>8.3999999999999968</v>
      </c>
      <c r="O65" s="77">
        <f t="shared" si="18"/>
        <v>6</v>
      </c>
      <c r="P65" s="77">
        <f t="shared" si="18"/>
        <v>5.3999999999999968</v>
      </c>
      <c r="Q65" s="77">
        <f t="shared" si="18"/>
        <v>5.3999999999999968</v>
      </c>
      <c r="R65" s="77">
        <f t="shared" si="18"/>
        <v>4.7999999999999989</v>
      </c>
      <c r="S65" s="77">
        <f t="shared" si="18"/>
        <v>10.200000000000001</v>
      </c>
      <c r="T65" s="77">
        <f t="shared" si="18"/>
        <v>10.799999999999999</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str">
        <f t="shared" si="19"/>
        <v>OVER</v>
      </c>
      <c r="F66" s="78" t="str">
        <f t="shared" si="19"/>
        <v>OVER</v>
      </c>
      <c r="G66" s="78" t="str">
        <f t="shared" si="19"/>
        <v>OVER</v>
      </c>
      <c r="H66" s="78" t="str">
        <f t="shared" si="19"/>
        <v>OVER</v>
      </c>
      <c r="I66" s="78" t="e">
        <f t="shared" si="19"/>
        <v>#N/A</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PAN-018217</v>
      </c>
      <c r="D1" s="141"/>
      <c r="E1" s="93" t="s">
        <v>45</v>
      </c>
      <c r="F1" s="39">
        <f>'Field data and Waste 1'!F1</f>
        <v>44.6</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Abergelli Farm, Felindre, Swansea, SA5 7NN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0</v>
      </c>
      <c r="D8" s="60">
        <f>'Field data and Waste 1'!D8</f>
        <v>0</v>
      </c>
      <c r="E8" s="60">
        <f>'Field data and Waste 1'!E8</f>
        <v>0</v>
      </c>
      <c r="F8" s="60">
        <f>'Field data and Waste 1'!F8</f>
        <v>1294</v>
      </c>
      <c r="G8" s="60">
        <f>'Field data and Waste 1'!G8</f>
        <v>2225</v>
      </c>
      <c r="H8" s="60">
        <f>'Field data and Waste 1'!H8</f>
        <v>3210</v>
      </c>
      <c r="I8" s="60">
        <f>'Field data and Waste 1'!I8</f>
        <v>3732</v>
      </c>
      <c r="J8" s="60">
        <f>'Field data and Waste 1'!J8</f>
        <v>0</v>
      </c>
      <c r="K8" s="60">
        <f>'Field data and Waste 1'!K8</f>
        <v>5867</v>
      </c>
      <c r="L8" s="60">
        <f>'Field data and Waste 1'!L8</f>
        <v>1808</v>
      </c>
      <c r="M8" s="60">
        <f>'Field data and Waste 1'!M8</f>
        <v>24</v>
      </c>
      <c r="N8" s="60">
        <f>'Field data and Waste 1'!N8</f>
        <v>25</v>
      </c>
      <c r="O8" s="60">
        <f>'Field data and Waste 1'!O8</f>
        <v>26</v>
      </c>
      <c r="P8" s="60">
        <f>'Field data and Waste 1'!P8</f>
        <v>27</v>
      </c>
      <c r="Q8" s="60">
        <f>'Field data and Waste 1'!Q8</f>
        <v>33</v>
      </c>
      <c r="R8" s="60">
        <f>'Field data and Waste 1'!R8</f>
        <v>34</v>
      </c>
      <c r="S8" s="60">
        <f>'Field data and Waste 1'!S8</f>
        <v>35</v>
      </c>
      <c r="T8" s="60" t="str">
        <f>'Field data and Waste 1'!T8</f>
        <v>36a</v>
      </c>
      <c r="U8" s="60">
        <f>'Field data and Waste 1'!U8</f>
        <v>37</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0</v>
      </c>
      <c r="D9" s="60">
        <f>'Field data and Waste 1'!D9</f>
        <v>0</v>
      </c>
      <c r="E9" s="60">
        <f>'Field data and Waste 1'!E9</f>
        <v>0</v>
      </c>
      <c r="F9" s="60" t="str">
        <f>'Field data and Waste 1'!F9</f>
        <v>Moderate</v>
      </c>
      <c r="G9" s="60" t="str">
        <f>'Field data and Waste 1'!G9</f>
        <v>Moderate</v>
      </c>
      <c r="H9" s="60" t="str">
        <f>'Field data and Waste 1'!H9</f>
        <v>Moderate</v>
      </c>
      <c r="I9" s="60" t="str">
        <f>'Field data and Waste 1'!I9</f>
        <v>Moderate</v>
      </c>
      <c r="J9" s="60">
        <f>'Field data and Waste 1'!J9</f>
        <v>0</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0</v>
      </c>
      <c r="D10" s="60">
        <f>'Field data and Waste 1'!D10</f>
        <v>0</v>
      </c>
      <c r="E10" s="60">
        <f>'Field data and Waste 1'!E10</f>
        <v>0</v>
      </c>
      <c r="F10" s="60">
        <f>'Field data and Waste 1'!F10</f>
        <v>7</v>
      </c>
      <c r="G10" s="60">
        <f>'Field data and Waste 1'!G10</f>
        <v>7.6</v>
      </c>
      <c r="H10" s="60">
        <f>'Field data and Waste 1'!H10</f>
        <v>7.3</v>
      </c>
      <c r="I10" s="60">
        <f>'Field data and Waste 1'!I10</f>
        <v>7.5</v>
      </c>
      <c r="J10" s="60">
        <f>'Field data and Waste 1'!J10</f>
        <v>0</v>
      </c>
      <c r="K10" s="60">
        <f>'Field data and Waste 1'!K10</f>
        <v>7.9</v>
      </c>
      <c r="L10" s="60">
        <f>'Field data and Waste 1'!L10</f>
        <v>6.4</v>
      </c>
      <c r="M10" s="60">
        <f>'Field data and Waste 1'!M10</f>
        <v>8.1999999999999993</v>
      </c>
      <c r="N10" s="60">
        <f>'Field data and Waste 1'!N10</f>
        <v>8.1999999999999993</v>
      </c>
      <c r="O10" s="60">
        <f>'Field data and Waste 1'!O10</f>
        <v>7.6</v>
      </c>
      <c r="P10" s="60">
        <f>'Field data and Waste 1'!P10</f>
        <v>7.2</v>
      </c>
      <c r="Q10" s="60">
        <f>'Field data and Waste 1'!Q10</f>
        <v>7.1</v>
      </c>
      <c r="R10" s="60">
        <f>'Field data and Waste 1'!R10</f>
        <v>7.1</v>
      </c>
      <c r="S10" s="60">
        <f>'Field data and Waste 1'!S10</f>
        <v>7</v>
      </c>
      <c r="T10" s="60">
        <f>'Field data and Waste 1'!T10</f>
        <v>7.9</v>
      </c>
      <c r="U10" s="60">
        <f>'Field data and Waste 1'!U10</f>
        <v>8</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2</v>
      </c>
      <c r="M11" s="60">
        <f>'Field data and Waste 1'!M11</f>
        <v>0</v>
      </c>
      <c r="N11" s="60">
        <f>'Field data and Waste 1'!N11</f>
        <v>0</v>
      </c>
      <c r="O11" s="60">
        <f>'Field data and Waste 1'!O11</f>
        <v>1</v>
      </c>
      <c r="P11" s="60">
        <f>'Field data and Waste 1'!P11</f>
        <v>1</v>
      </c>
      <c r="Q11" s="60">
        <f>'Field data and Waste 1'!Q11</f>
        <v>1</v>
      </c>
      <c r="R11" s="60">
        <f>'Field data and Waste 1'!R11</f>
        <v>1</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1</v>
      </c>
      <c r="G12" s="60">
        <f>'Field data and Waste 1'!G12</f>
        <v>1</v>
      </c>
      <c r="H12" s="60">
        <f>'Field data and Waste 1'!H12</f>
        <v>1</v>
      </c>
      <c r="I12" s="60">
        <f>'Field data and Waste 1'!I12</f>
        <v>1</v>
      </c>
      <c r="J12" s="60">
        <f>'Field data and Waste 1'!J12</f>
        <v>0</v>
      </c>
      <c r="K12" s="60">
        <f>'Field data and Waste 1'!K12</f>
        <v>1</v>
      </c>
      <c r="L12" s="60">
        <f>'Field data and Waste 1'!L12</f>
        <v>2</v>
      </c>
      <c r="M12" s="60">
        <f>'Field data and Waste 1'!M12</f>
        <v>1</v>
      </c>
      <c r="N12" s="60">
        <f>'Field data and Waste 1'!N12</f>
        <v>1</v>
      </c>
      <c r="O12" s="60">
        <f>'Field data and Waste 1'!O12</f>
        <v>2</v>
      </c>
      <c r="P12" s="60">
        <f>'Field data and Waste 1'!P12</f>
        <v>1</v>
      </c>
      <c r="Q12" s="60">
        <f>'Field data and Waste 1'!Q12</f>
        <v>1</v>
      </c>
      <c r="R12" s="60">
        <f>'Field data and Waste 1'!R12</f>
        <v>2</v>
      </c>
      <c r="S12" s="60">
        <f>'Field data and Waste 1'!S12</f>
        <v>1</v>
      </c>
      <c r="T12" s="60">
        <f>'Field data and Waste 1'!T12</f>
        <v>1</v>
      </c>
      <c r="U12" s="60">
        <f>'Field data and Waste 1'!U12</f>
        <v>1</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0</v>
      </c>
      <c r="D13" s="60">
        <f>'Field data and Waste 1'!D13</f>
        <v>0</v>
      </c>
      <c r="E13" s="60">
        <f>'Field data and Waste 1'!E13</f>
        <v>0</v>
      </c>
      <c r="F13" s="60">
        <f>'Field data and Waste 1'!F13</f>
        <v>2</v>
      </c>
      <c r="G13" s="60">
        <f>'Field data and Waste 1'!G13</f>
        <v>3</v>
      </c>
      <c r="H13" s="60">
        <f>'Field data and Waste 1'!H13</f>
        <v>2</v>
      </c>
      <c r="I13" s="60">
        <f>'Field data and Waste 1'!I13</f>
        <v>2</v>
      </c>
      <c r="J13" s="60">
        <f>'Field data and Waste 1'!J13</f>
        <v>0</v>
      </c>
      <c r="K13" s="60">
        <f>'Field data and Waste 1'!K13</f>
        <v>3</v>
      </c>
      <c r="L13" s="60">
        <f>'Field data and Waste 1'!L13</f>
        <v>4</v>
      </c>
      <c r="M13" s="60">
        <f>'Field data and Waste 1'!M13</f>
        <v>3</v>
      </c>
      <c r="N13" s="60">
        <f>'Field data and Waste 1'!N13</f>
        <v>4</v>
      </c>
      <c r="O13" s="60">
        <f>'Field data and Waste 1'!O13</f>
        <v>5</v>
      </c>
      <c r="P13" s="60">
        <f>'Field data and Waste 1'!P13</f>
        <v>4</v>
      </c>
      <c r="Q13" s="60">
        <f>'Field data and Waste 1'!Q13</f>
        <v>5</v>
      </c>
      <c r="R13" s="60">
        <f>'Field data and Waste 1'!R13</f>
        <v>6</v>
      </c>
      <c r="S13" s="60">
        <f>'Field data and Waste 1'!S13</f>
        <v>5</v>
      </c>
      <c r="T13" s="60">
        <f>'Field data and Waste 1'!T13</f>
        <v>3</v>
      </c>
      <c r="U13" s="60">
        <f>'Field data and Waste 1'!U13</f>
        <v>3</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f>'Field data and Waste 1'!C14</f>
        <v>0</v>
      </c>
      <c r="D14" s="102">
        <f>'Field data and Waste 1'!D14</f>
        <v>0</v>
      </c>
      <c r="E14" s="102">
        <f>'Field data and Waste 1'!E14</f>
        <v>0</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0</v>
      </c>
      <c r="D15" s="60">
        <f>'Field data and Waste 1'!D15</f>
        <v>0</v>
      </c>
      <c r="E15" s="60">
        <f>'Field data and Waste 1'!E15</f>
        <v>0</v>
      </c>
      <c r="F15" s="60">
        <f>'Field data and Waste 1'!F15</f>
        <v>38</v>
      </c>
      <c r="G15" s="60">
        <f>'Field data and Waste 1'!G15</f>
        <v>38</v>
      </c>
      <c r="H15" s="60">
        <f>'Field data and Waste 1'!H15</f>
        <v>38</v>
      </c>
      <c r="I15" s="60">
        <f>'Field data and Waste 1'!I15</f>
        <v>38</v>
      </c>
      <c r="J15" s="60">
        <f>'Field data and Waste 1'!J15</f>
        <v>0</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t="e">
        <f>(VLOOKUP(C$14,$AI2:$AK26,2,FALSE))*C$15</f>
        <v>#N/A</v>
      </c>
      <c r="D17" s="28" t="e">
        <f t="shared" ref="D17:V17" si="0">(VLOOKUP(D$14,$AI2:$AK26,2,FALSE))*D$15</f>
        <v>#N/A</v>
      </c>
      <c r="E17" s="28" t="e">
        <f t="shared" si="0"/>
        <v>#N/A</v>
      </c>
      <c r="F17" s="28">
        <f t="shared" si="0"/>
        <v>64.599999999999994</v>
      </c>
      <c r="G17" s="28">
        <f t="shared" si="0"/>
        <v>64.599999999999994</v>
      </c>
      <c r="H17" s="28">
        <f t="shared" si="0"/>
        <v>64.599999999999994</v>
      </c>
      <c r="I17" s="28">
        <f t="shared" si="0"/>
        <v>64.599999999999994</v>
      </c>
      <c r="J17" s="28" t="e">
        <f t="shared" si="0"/>
        <v>#N/A</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t="e">
        <f>C18-C17</f>
        <v>#N/A</v>
      </c>
      <c r="D19" s="16" t="e">
        <f t="shared" ref="D19:V19" si="1">D18-D17</f>
        <v>#N/A</v>
      </c>
      <c r="E19" s="16" t="e">
        <f t="shared" si="1"/>
        <v>#N/A</v>
      </c>
      <c r="F19" s="16">
        <f t="shared" si="1"/>
        <v>-64.599999999999994</v>
      </c>
      <c r="G19" s="16">
        <f t="shared" si="1"/>
        <v>-64.599999999999994</v>
      </c>
      <c r="H19" s="16">
        <f t="shared" si="1"/>
        <v>-64.599999999999994</v>
      </c>
      <c r="I19" s="16">
        <f t="shared" si="1"/>
        <v>-64.599999999999994</v>
      </c>
      <c r="J19" s="16" t="e">
        <f t="shared" si="1"/>
        <v>#N/A</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t="e">
        <f>(VLOOKUP(C$14,$AI2:$AK26,3,FALSE))*C$15</f>
        <v>#N/A</v>
      </c>
      <c r="D21" s="28" t="e">
        <f t="shared" ref="D21:V21" si="2">(VLOOKUP(D$14,$AI2:$AK26,3,FALSE))*D$15</f>
        <v>#N/A</v>
      </c>
      <c r="E21" s="28" t="e">
        <f t="shared" si="2"/>
        <v>#N/A</v>
      </c>
      <c r="F21" s="28">
        <f t="shared" si="2"/>
        <v>228</v>
      </c>
      <c r="G21" s="28">
        <f t="shared" si="2"/>
        <v>228</v>
      </c>
      <c r="H21" s="28">
        <f t="shared" si="2"/>
        <v>228</v>
      </c>
      <c r="I21" s="28">
        <f t="shared" si="2"/>
        <v>228</v>
      </c>
      <c r="J21" s="28" t="e">
        <f t="shared" si="2"/>
        <v>#N/A</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t="e">
        <f>C22-C21</f>
        <v>#N/A</v>
      </c>
      <c r="D23" s="16" t="e">
        <f t="shared" ref="D23:V23" si="3">D22-D21</f>
        <v>#N/A</v>
      </c>
      <c r="E23" s="16" t="e">
        <f t="shared" si="3"/>
        <v>#N/A</v>
      </c>
      <c r="F23" s="16">
        <f t="shared" si="3"/>
        <v>-228</v>
      </c>
      <c r="G23" s="16">
        <f t="shared" si="3"/>
        <v>-228</v>
      </c>
      <c r="H23" s="16">
        <f t="shared" si="3"/>
        <v>-228</v>
      </c>
      <c r="I23" s="16">
        <f t="shared" si="3"/>
        <v>-228</v>
      </c>
      <c r="J23" s="16" t="e">
        <f t="shared" si="3"/>
        <v>#N/A</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1294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2225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3210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3732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5867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1808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24</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25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26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27</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33</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34</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35</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t="str">
        <f>T8</f>
        <v>36a</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37</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0</v>
      </c>
      <c r="E57" s="8">
        <f t="shared" si="13"/>
        <v>1294</v>
      </c>
      <c r="F57" s="8">
        <f t="shared" si="13"/>
        <v>2225</v>
      </c>
      <c r="G57" s="8">
        <f t="shared" si="13"/>
        <v>3210</v>
      </c>
      <c r="H57" s="8">
        <f t="shared" si="13"/>
        <v>3732</v>
      </c>
      <c r="I57" s="8">
        <f t="shared" si="13"/>
        <v>0</v>
      </c>
      <c r="J57" s="8">
        <f t="shared" si="13"/>
        <v>5867</v>
      </c>
      <c r="K57" s="8">
        <f t="shared" si="13"/>
        <v>1808</v>
      </c>
      <c r="L57" s="8">
        <f t="shared" si="13"/>
        <v>24</v>
      </c>
      <c r="M57" s="8">
        <f t="shared" si="13"/>
        <v>25</v>
      </c>
      <c r="N57" s="8">
        <f t="shared" si="13"/>
        <v>26</v>
      </c>
      <c r="O57" s="8">
        <f t="shared" si="13"/>
        <v>27</v>
      </c>
      <c r="P57" s="8">
        <f t="shared" si="13"/>
        <v>33</v>
      </c>
      <c r="Q57" s="8">
        <f t="shared" si="13"/>
        <v>34</v>
      </c>
      <c r="R57" s="8">
        <f t="shared" si="13"/>
        <v>35</v>
      </c>
      <c r="S57" s="8" t="str">
        <f t="shared" si="13"/>
        <v>36a</v>
      </c>
      <c r="T57" s="8">
        <f t="shared" si="13"/>
        <v>37</v>
      </c>
      <c r="U57" s="8">
        <f t="shared" si="13"/>
        <v>0</v>
      </c>
    </row>
    <row r="58" spans="1:35" s="19" customFormat="1" ht="13" x14ac:dyDescent="0.35">
      <c r="A58" s="92" t="s">
        <v>136</v>
      </c>
      <c r="B58" s="13" t="e">
        <f>C16&amp;" I "&amp;(VLOOKUP(C14,Table2458[],6,FALSE))</f>
        <v>#N/A</v>
      </c>
      <c r="C58" s="13" t="e">
        <f>D16&amp;" I "&amp;(VLOOKUP(D14,Table2458[],6,FALSE))</f>
        <v>#N/A</v>
      </c>
      <c r="D58" s="13" t="e">
        <f>E16&amp;" I "&amp;(VLOOKUP(E14,Table2458[],6,FALSE))</f>
        <v>#N/A</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e">
        <f>J16&amp;" I "&amp;(VLOOKUP(J14,Table2458[],6,FALSE))</f>
        <v>#N/A</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str">
        <f>R16&amp;" I "&amp;(VLOOKUP(R14,Table2458[],6,FALSE))</f>
        <v>Medium/Clay I Grass</v>
      </c>
      <c r="R58" s="13" t="str">
        <f>S16&amp;" I "&amp;(VLOOKUP(S14,Table2458[],6,FALSE))</f>
        <v>Medium/Clay I Grass</v>
      </c>
      <c r="S58" s="13" t="str">
        <f>T16&amp;" I "&amp;(VLOOKUP(T14,Table2458[],6,FALSE))</f>
        <v>Medium/Clay I Grass</v>
      </c>
      <c r="T58" s="13" t="str">
        <f>U16&amp;" I "&amp;(VLOOKUP(U14,Table2458[],6,FALSE))</f>
        <v>Medium/Clay I Grass</v>
      </c>
      <c r="U58" s="13" t="e">
        <f>V16&amp;" I "&amp;(VLOOKUP(V14,Table2458[],6,FALSE))</f>
        <v>#N/A</v>
      </c>
    </row>
    <row r="59" spans="1:35" s="19" customFormat="1" ht="13" x14ac:dyDescent="0.3">
      <c r="A59" s="111" t="s">
        <v>132</v>
      </c>
      <c r="B59" s="76" t="e">
        <f>VLOOKUP(C$14,Table2458[],5,FALSE)</f>
        <v>#N/A</v>
      </c>
      <c r="C59" s="76" t="e">
        <f>VLOOKUP(D$14,Table2458[],5,FALSE)</f>
        <v>#N/A</v>
      </c>
      <c r="D59" s="76" t="e">
        <f>VLOOKUP(E$14,Table2458[],5,FALSE)</f>
        <v>#N/A</v>
      </c>
      <c r="E59" s="76">
        <f>VLOOKUP(F$14,Table2458[],5,FALSE)</f>
        <v>6.2</v>
      </c>
      <c r="F59" s="76">
        <f>VLOOKUP(G$14,Table2458[],5,FALSE)</f>
        <v>6.2</v>
      </c>
      <c r="G59" s="76">
        <f>VLOOKUP(H$14,Table2458[],5,FALSE)</f>
        <v>6.2</v>
      </c>
      <c r="H59" s="76">
        <f>VLOOKUP(I$14,Table2458[],5,FALSE)</f>
        <v>6.2</v>
      </c>
      <c r="I59" s="76" t="e">
        <f>VLOOKUP(J$14,Table2458[],5,FALSE)</f>
        <v>#N/A</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f>VLOOKUP(R$14,Table2458[],5,FALSE)</f>
        <v>6.2</v>
      </c>
      <c r="R59" s="76">
        <f>VLOOKUP(S$14,Table2458[],5,FALSE)</f>
        <v>6.2</v>
      </c>
      <c r="S59" s="76">
        <f>VLOOKUP(T$14,Table2458[],5,FALSE)</f>
        <v>6.2</v>
      </c>
      <c r="T59" s="76">
        <f>VLOOKUP(U$14,Table2458[],5,FALSE)</f>
        <v>6.2</v>
      </c>
      <c r="U59" s="76" t="e">
        <f>VLOOKUP(V$14,Table2458[],5,FALSE)</f>
        <v>#N/A</v>
      </c>
    </row>
    <row r="60" spans="1:35" s="19" customFormat="1" ht="13" x14ac:dyDescent="0.3">
      <c r="A60" s="111" t="s">
        <v>4</v>
      </c>
      <c r="B60" s="76">
        <f>C10</f>
        <v>0</v>
      </c>
      <c r="C60" s="76">
        <f t="shared" ref="C60:U60" si="14">D10</f>
        <v>0</v>
      </c>
      <c r="D60" s="76">
        <f t="shared" si="14"/>
        <v>0</v>
      </c>
      <c r="E60" s="76">
        <f t="shared" si="14"/>
        <v>7</v>
      </c>
      <c r="F60" s="76">
        <f t="shared" si="14"/>
        <v>7.6</v>
      </c>
      <c r="G60" s="76">
        <f t="shared" si="14"/>
        <v>7.3</v>
      </c>
      <c r="H60" s="76">
        <f t="shared" si="14"/>
        <v>7.5</v>
      </c>
      <c r="I60" s="76">
        <f t="shared" si="14"/>
        <v>0</v>
      </c>
      <c r="J60" s="76">
        <f t="shared" si="14"/>
        <v>7.9</v>
      </c>
      <c r="K60" s="76">
        <f t="shared" si="14"/>
        <v>6.4</v>
      </c>
      <c r="L60" s="76">
        <f t="shared" si="14"/>
        <v>8.1999999999999993</v>
      </c>
      <c r="M60" s="76">
        <f t="shared" si="14"/>
        <v>8.1999999999999993</v>
      </c>
      <c r="N60" s="76">
        <f t="shared" si="14"/>
        <v>7.6</v>
      </c>
      <c r="O60" s="76">
        <f t="shared" si="14"/>
        <v>7.2</v>
      </c>
      <c r="P60" s="76">
        <f t="shared" si="14"/>
        <v>7.1</v>
      </c>
      <c r="Q60" s="76">
        <f t="shared" si="14"/>
        <v>7.1</v>
      </c>
      <c r="R60" s="76">
        <f t="shared" si="14"/>
        <v>7</v>
      </c>
      <c r="S60" s="76">
        <f t="shared" si="14"/>
        <v>7.9</v>
      </c>
      <c r="T60" s="76">
        <f t="shared" si="14"/>
        <v>8</v>
      </c>
      <c r="U60" s="76">
        <f t="shared" si="14"/>
        <v>0</v>
      </c>
    </row>
    <row r="61" spans="1:35" s="19" customFormat="1" ht="13" x14ac:dyDescent="0.3">
      <c r="A61" s="111" t="s">
        <v>133</v>
      </c>
      <c r="B61" s="76" t="e">
        <f t="shared" ref="B61:U61" si="15">VLOOKUP(B58,$AD9:$AE18,2,FALSE)</f>
        <v>#N/A</v>
      </c>
      <c r="C61" s="76" t="e">
        <f t="shared" si="15"/>
        <v>#N/A</v>
      </c>
      <c r="D61" s="76" t="e">
        <f t="shared" si="15"/>
        <v>#N/A</v>
      </c>
      <c r="E61" s="76">
        <f t="shared" si="15"/>
        <v>6</v>
      </c>
      <c r="F61" s="76">
        <f t="shared" si="15"/>
        <v>6</v>
      </c>
      <c r="G61" s="76">
        <f t="shared" si="15"/>
        <v>6</v>
      </c>
      <c r="H61" s="76">
        <f t="shared" si="15"/>
        <v>6</v>
      </c>
      <c r="I61" s="76" t="e">
        <f t="shared" si="15"/>
        <v>#N/A</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f t="shared" si="17"/>
        <v>-4.7999999999999989</v>
      </c>
      <c r="F64" s="77">
        <f t="shared" si="17"/>
        <v>-8.3999999999999968</v>
      </c>
      <c r="G64" s="77">
        <f t="shared" si="17"/>
        <v>-6.5999999999999979</v>
      </c>
      <c r="H64" s="77">
        <f t="shared" si="17"/>
        <v>-7.7999999999999989</v>
      </c>
      <c r="I64" s="77" t="e">
        <f t="shared" si="17"/>
        <v>#N/A</v>
      </c>
      <c r="J64" s="77">
        <f t="shared" si="17"/>
        <v>-10.200000000000001</v>
      </c>
      <c r="K64" s="77">
        <f t="shared" si="17"/>
        <v>-1.2000000000000011</v>
      </c>
      <c r="L64" s="77">
        <f t="shared" si="17"/>
        <v>-11.999999999999995</v>
      </c>
      <c r="M64" s="77">
        <f t="shared" si="17"/>
        <v>-11.999999999999995</v>
      </c>
      <c r="N64" s="77">
        <f t="shared" si="17"/>
        <v>-8.3999999999999968</v>
      </c>
      <c r="O64" s="77">
        <f t="shared" si="17"/>
        <v>-6</v>
      </c>
      <c r="P64" s="77">
        <f t="shared" si="17"/>
        <v>-5.3999999999999968</v>
      </c>
      <c r="Q64" s="77">
        <f t="shared" si="17"/>
        <v>-5.3999999999999968</v>
      </c>
      <c r="R64" s="77">
        <f t="shared" si="17"/>
        <v>-4.7999999999999989</v>
      </c>
      <c r="S64" s="77">
        <f t="shared" si="17"/>
        <v>-10.200000000000001</v>
      </c>
      <c r="T64" s="77">
        <f t="shared" si="17"/>
        <v>-10.799999999999999</v>
      </c>
      <c r="U64" s="77" t="e">
        <f t="shared" si="17"/>
        <v>#N/A</v>
      </c>
    </row>
    <row r="65" spans="1:21" s="19" customFormat="1" ht="52" x14ac:dyDescent="0.3">
      <c r="A65" s="112" t="s">
        <v>157</v>
      </c>
      <c r="B65" s="77" t="e">
        <f>B63-B64</f>
        <v>#N/A</v>
      </c>
      <c r="C65" s="77" t="e">
        <f t="shared" ref="C65:U65" si="18">C63-C64</f>
        <v>#N/A</v>
      </c>
      <c r="D65" s="77" t="e">
        <f t="shared" si="18"/>
        <v>#N/A</v>
      </c>
      <c r="E65" s="77">
        <f t="shared" si="18"/>
        <v>4.7999999999999989</v>
      </c>
      <c r="F65" s="77">
        <f t="shared" si="18"/>
        <v>8.3999999999999968</v>
      </c>
      <c r="G65" s="77">
        <f t="shared" si="18"/>
        <v>6.5999999999999979</v>
      </c>
      <c r="H65" s="77">
        <f t="shared" si="18"/>
        <v>7.7999999999999989</v>
      </c>
      <c r="I65" s="77" t="e">
        <f t="shared" si="18"/>
        <v>#N/A</v>
      </c>
      <c r="J65" s="77">
        <f t="shared" si="18"/>
        <v>10.200000000000001</v>
      </c>
      <c r="K65" s="77">
        <f t="shared" si="18"/>
        <v>1.2000000000000011</v>
      </c>
      <c r="L65" s="77">
        <f t="shared" si="18"/>
        <v>11.999999999999995</v>
      </c>
      <c r="M65" s="77">
        <f t="shared" si="18"/>
        <v>11.999999999999995</v>
      </c>
      <c r="N65" s="77">
        <f t="shared" si="18"/>
        <v>8.3999999999999968</v>
      </c>
      <c r="O65" s="77">
        <f t="shared" si="18"/>
        <v>6</v>
      </c>
      <c r="P65" s="77">
        <f t="shared" si="18"/>
        <v>5.3999999999999968</v>
      </c>
      <c r="Q65" s="77">
        <f t="shared" si="18"/>
        <v>5.3999999999999968</v>
      </c>
      <c r="R65" s="77">
        <f t="shared" si="18"/>
        <v>4.7999999999999989</v>
      </c>
      <c r="S65" s="77">
        <f t="shared" si="18"/>
        <v>10.200000000000001</v>
      </c>
      <c r="T65" s="77">
        <f t="shared" si="18"/>
        <v>10.799999999999999</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str">
        <f t="shared" si="19"/>
        <v>OVER</v>
      </c>
      <c r="F66" s="78" t="str">
        <f t="shared" si="19"/>
        <v>OVER</v>
      </c>
      <c r="G66" s="78" t="str">
        <f t="shared" si="19"/>
        <v>OVER</v>
      </c>
      <c r="H66" s="78" t="str">
        <f t="shared" si="19"/>
        <v>OVER</v>
      </c>
      <c r="I66" s="78" t="e">
        <f t="shared" si="19"/>
        <v>#N/A</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PAN-018217</v>
      </c>
      <c r="D1" s="141"/>
      <c r="E1" s="93" t="s">
        <v>45</v>
      </c>
      <c r="F1" s="39">
        <f>'Field data and Waste 1'!F1</f>
        <v>44.6</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Abergelli Farm, Felindre, Swansea, SA5 7NN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0</v>
      </c>
      <c r="D8" s="60">
        <f>'Field data and Waste 1'!D8</f>
        <v>0</v>
      </c>
      <c r="E8" s="60">
        <f>'Field data and Waste 1'!E8</f>
        <v>0</v>
      </c>
      <c r="F8" s="60">
        <f>'Field data and Waste 1'!F8</f>
        <v>1294</v>
      </c>
      <c r="G8" s="60">
        <f>'Field data and Waste 1'!G8</f>
        <v>2225</v>
      </c>
      <c r="H8" s="60">
        <f>'Field data and Waste 1'!H8</f>
        <v>3210</v>
      </c>
      <c r="I8" s="60">
        <f>'Field data and Waste 1'!I8</f>
        <v>3732</v>
      </c>
      <c r="J8" s="60">
        <f>'Field data and Waste 1'!J8</f>
        <v>0</v>
      </c>
      <c r="K8" s="60">
        <f>'Field data and Waste 1'!K8</f>
        <v>5867</v>
      </c>
      <c r="L8" s="60">
        <f>'Field data and Waste 1'!L8</f>
        <v>1808</v>
      </c>
      <c r="M8" s="60">
        <f>'Field data and Waste 1'!M8</f>
        <v>24</v>
      </c>
      <c r="N8" s="60">
        <f>'Field data and Waste 1'!N8</f>
        <v>25</v>
      </c>
      <c r="O8" s="60">
        <f>'Field data and Waste 1'!O8</f>
        <v>26</v>
      </c>
      <c r="P8" s="60">
        <f>'Field data and Waste 1'!P8</f>
        <v>27</v>
      </c>
      <c r="Q8" s="60">
        <f>'Field data and Waste 1'!Q8</f>
        <v>33</v>
      </c>
      <c r="R8" s="60">
        <f>'Field data and Waste 1'!R8</f>
        <v>34</v>
      </c>
      <c r="S8" s="60">
        <f>'Field data and Waste 1'!S8</f>
        <v>35</v>
      </c>
      <c r="T8" s="60" t="str">
        <f>'Field data and Waste 1'!T8</f>
        <v>36a</v>
      </c>
      <c r="U8" s="60">
        <f>'Field data and Waste 1'!U8</f>
        <v>37</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0</v>
      </c>
      <c r="D9" s="60">
        <f>'Field data and Waste 1'!D9</f>
        <v>0</v>
      </c>
      <c r="E9" s="60">
        <f>'Field data and Waste 1'!E9</f>
        <v>0</v>
      </c>
      <c r="F9" s="60" t="str">
        <f>'Field data and Waste 1'!F9</f>
        <v>Moderate</v>
      </c>
      <c r="G9" s="60" t="str">
        <f>'Field data and Waste 1'!G9</f>
        <v>Moderate</v>
      </c>
      <c r="H9" s="60" t="str">
        <f>'Field data and Waste 1'!H9</f>
        <v>Moderate</v>
      </c>
      <c r="I9" s="60" t="str">
        <f>'Field data and Waste 1'!I9</f>
        <v>Moderate</v>
      </c>
      <c r="J9" s="60">
        <f>'Field data and Waste 1'!J9</f>
        <v>0</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0</v>
      </c>
      <c r="D10" s="60">
        <f>'Field data and Waste 1'!D10</f>
        <v>0</v>
      </c>
      <c r="E10" s="60">
        <f>'Field data and Waste 1'!E10</f>
        <v>0</v>
      </c>
      <c r="F10" s="60">
        <f>'Field data and Waste 1'!F10</f>
        <v>7</v>
      </c>
      <c r="G10" s="60">
        <f>'Field data and Waste 1'!G10</f>
        <v>7.6</v>
      </c>
      <c r="H10" s="60">
        <f>'Field data and Waste 1'!H10</f>
        <v>7.3</v>
      </c>
      <c r="I10" s="60">
        <f>'Field data and Waste 1'!I10</f>
        <v>7.5</v>
      </c>
      <c r="J10" s="60">
        <f>'Field data and Waste 1'!J10</f>
        <v>0</v>
      </c>
      <c r="K10" s="60">
        <f>'Field data and Waste 1'!K10</f>
        <v>7.9</v>
      </c>
      <c r="L10" s="60">
        <f>'Field data and Waste 1'!L10</f>
        <v>6.4</v>
      </c>
      <c r="M10" s="60">
        <f>'Field data and Waste 1'!M10</f>
        <v>8.1999999999999993</v>
      </c>
      <c r="N10" s="60">
        <f>'Field data and Waste 1'!N10</f>
        <v>8.1999999999999993</v>
      </c>
      <c r="O10" s="60">
        <f>'Field data and Waste 1'!O10</f>
        <v>7.6</v>
      </c>
      <c r="P10" s="60">
        <f>'Field data and Waste 1'!P10</f>
        <v>7.2</v>
      </c>
      <c r="Q10" s="60">
        <f>'Field data and Waste 1'!Q10</f>
        <v>7.1</v>
      </c>
      <c r="R10" s="60">
        <f>'Field data and Waste 1'!R10</f>
        <v>7.1</v>
      </c>
      <c r="S10" s="60">
        <f>'Field data and Waste 1'!S10</f>
        <v>7</v>
      </c>
      <c r="T10" s="60">
        <f>'Field data and Waste 1'!T10</f>
        <v>7.9</v>
      </c>
      <c r="U10" s="60">
        <f>'Field data and Waste 1'!U10</f>
        <v>8</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2</v>
      </c>
      <c r="M11" s="60">
        <f>'Field data and Waste 1'!M11</f>
        <v>0</v>
      </c>
      <c r="N11" s="60">
        <f>'Field data and Waste 1'!N11</f>
        <v>0</v>
      </c>
      <c r="O11" s="60">
        <f>'Field data and Waste 1'!O11</f>
        <v>1</v>
      </c>
      <c r="P11" s="60">
        <f>'Field data and Waste 1'!P11</f>
        <v>1</v>
      </c>
      <c r="Q11" s="60">
        <f>'Field data and Waste 1'!Q11</f>
        <v>1</v>
      </c>
      <c r="R11" s="60">
        <f>'Field data and Waste 1'!R11</f>
        <v>1</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1</v>
      </c>
      <c r="G12" s="60">
        <f>'Field data and Waste 1'!G12</f>
        <v>1</v>
      </c>
      <c r="H12" s="60">
        <f>'Field data and Waste 1'!H12</f>
        <v>1</v>
      </c>
      <c r="I12" s="60">
        <f>'Field data and Waste 1'!I12</f>
        <v>1</v>
      </c>
      <c r="J12" s="60">
        <f>'Field data and Waste 1'!J12</f>
        <v>0</v>
      </c>
      <c r="K12" s="60">
        <f>'Field data and Waste 1'!K12</f>
        <v>1</v>
      </c>
      <c r="L12" s="60">
        <f>'Field data and Waste 1'!L12</f>
        <v>2</v>
      </c>
      <c r="M12" s="60">
        <f>'Field data and Waste 1'!M12</f>
        <v>1</v>
      </c>
      <c r="N12" s="60">
        <f>'Field data and Waste 1'!N12</f>
        <v>1</v>
      </c>
      <c r="O12" s="60">
        <f>'Field data and Waste 1'!O12</f>
        <v>2</v>
      </c>
      <c r="P12" s="60">
        <f>'Field data and Waste 1'!P12</f>
        <v>1</v>
      </c>
      <c r="Q12" s="60">
        <f>'Field data and Waste 1'!Q12</f>
        <v>1</v>
      </c>
      <c r="R12" s="60">
        <f>'Field data and Waste 1'!R12</f>
        <v>2</v>
      </c>
      <c r="S12" s="60">
        <f>'Field data and Waste 1'!S12</f>
        <v>1</v>
      </c>
      <c r="T12" s="60">
        <f>'Field data and Waste 1'!T12</f>
        <v>1</v>
      </c>
      <c r="U12" s="60">
        <f>'Field data and Waste 1'!U12</f>
        <v>1</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0</v>
      </c>
      <c r="D13" s="60">
        <f>'Field data and Waste 1'!D13</f>
        <v>0</v>
      </c>
      <c r="E13" s="60">
        <f>'Field data and Waste 1'!E13</f>
        <v>0</v>
      </c>
      <c r="F13" s="60">
        <f>'Field data and Waste 1'!F13</f>
        <v>2</v>
      </c>
      <c r="G13" s="60">
        <f>'Field data and Waste 1'!G13</f>
        <v>3</v>
      </c>
      <c r="H13" s="60">
        <f>'Field data and Waste 1'!H13</f>
        <v>2</v>
      </c>
      <c r="I13" s="60">
        <f>'Field data and Waste 1'!I13</f>
        <v>2</v>
      </c>
      <c r="J13" s="60">
        <f>'Field data and Waste 1'!J13</f>
        <v>0</v>
      </c>
      <c r="K13" s="60">
        <f>'Field data and Waste 1'!K13</f>
        <v>3</v>
      </c>
      <c r="L13" s="60">
        <f>'Field data and Waste 1'!L13</f>
        <v>4</v>
      </c>
      <c r="M13" s="60">
        <f>'Field data and Waste 1'!M13</f>
        <v>3</v>
      </c>
      <c r="N13" s="60">
        <f>'Field data and Waste 1'!N13</f>
        <v>4</v>
      </c>
      <c r="O13" s="60">
        <f>'Field data and Waste 1'!O13</f>
        <v>5</v>
      </c>
      <c r="P13" s="60">
        <f>'Field data and Waste 1'!P13</f>
        <v>4</v>
      </c>
      <c r="Q13" s="60">
        <f>'Field data and Waste 1'!Q13</f>
        <v>5</v>
      </c>
      <c r="R13" s="60">
        <f>'Field data and Waste 1'!R13</f>
        <v>6</v>
      </c>
      <c r="S13" s="60">
        <f>'Field data and Waste 1'!S13</f>
        <v>5</v>
      </c>
      <c r="T13" s="60">
        <f>'Field data and Waste 1'!T13</f>
        <v>3</v>
      </c>
      <c r="U13" s="60">
        <f>'Field data and Waste 1'!U13</f>
        <v>3</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f>'Field data and Waste 1'!C14</f>
        <v>0</v>
      </c>
      <c r="D14" s="102">
        <f>'Field data and Waste 1'!D14</f>
        <v>0</v>
      </c>
      <c r="E14" s="102">
        <f>'Field data and Waste 1'!E14</f>
        <v>0</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0</v>
      </c>
      <c r="D15" s="60">
        <f>'Field data and Waste 1'!D15</f>
        <v>0</v>
      </c>
      <c r="E15" s="60">
        <f>'Field data and Waste 1'!E15</f>
        <v>0</v>
      </c>
      <c r="F15" s="60">
        <f>'Field data and Waste 1'!F15</f>
        <v>38</v>
      </c>
      <c r="G15" s="60">
        <f>'Field data and Waste 1'!G15</f>
        <v>38</v>
      </c>
      <c r="H15" s="60">
        <f>'Field data and Waste 1'!H15</f>
        <v>38</v>
      </c>
      <c r="I15" s="60">
        <f>'Field data and Waste 1'!I15</f>
        <v>38</v>
      </c>
      <c r="J15" s="60">
        <f>'Field data and Waste 1'!J15</f>
        <v>0</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t="e">
        <f>(VLOOKUP(C$14,$AI2:$AK26,2,FALSE))*C$15</f>
        <v>#N/A</v>
      </c>
      <c r="D17" s="28" t="e">
        <f t="shared" ref="D17:V17" si="0">(VLOOKUP(D$14,$AI2:$AK26,2,FALSE))*D$15</f>
        <v>#N/A</v>
      </c>
      <c r="E17" s="28" t="e">
        <f t="shared" si="0"/>
        <v>#N/A</v>
      </c>
      <c r="F17" s="28">
        <f t="shared" si="0"/>
        <v>64.599999999999994</v>
      </c>
      <c r="G17" s="28">
        <f t="shared" si="0"/>
        <v>64.599999999999994</v>
      </c>
      <c r="H17" s="28">
        <f t="shared" si="0"/>
        <v>64.599999999999994</v>
      </c>
      <c r="I17" s="28">
        <f t="shared" si="0"/>
        <v>64.599999999999994</v>
      </c>
      <c r="J17" s="28" t="e">
        <f t="shared" si="0"/>
        <v>#N/A</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t="e">
        <f>C18-C17</f>
        <v>#N/A</v>
      </c>
      <c r="D19" s="16" t="e">
        <f t="shared" ref="D19:V19" si="1">D18-D17</f>
        <v>#N/A</v>
      </c>
      <c r="E19" s="16" t="e">
        <f t="shared" si="1"/>
        <v>#N/A</v>
      </c>
      <c r="F19" s="16">
        <f t="shared" si="1"/>
        <v>-64.599999999999994</v>
      </c>
      <c r="G19" s="16">
        <f t="shared" si="1"/>
        <v>-64.599999999999994</v>
      </c>
      <c r="H19" s="16">
        <f t="shared" si="1"/>
        <v>-64.599999999999994</v>
      </c>
      <c r="I19" s="16">
        <f t="shared" si="1"/>
        <v>-64.599999999999994</v>
      </c>
      <c r="J19" s="16" t="e">
        <f t="shared" si="1"/>
        <v>#N/A</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t="e">
        <f>(VLOOKUP(C$14,$AI2:$AK26,3,FALSE))*C$15</f>
        <v>#N/A</v>
      </c>
      <c r="D21" s="28" t="e">
        <f t="shared" ref="D21:V21" si="2">(VLOOKUP(D$14,$AI2:$AK26,3,FALSE))*D$15</f>
        <v>#N/A</v>
      </c>
      <c r="E21" s="28" t="e">
        <f t="shared" si="2"/>
        <v>#N/A</v>
      </c>
      <c r="F21" s="28">
        <f t="shared" si="2"/>
        <v>228</v>
      </c>
      <c r="G21" s="28">
        <f t="shared" si="2"/>
        <v>228</v>
      </c>
      <c r="H21" s="28">
        <f t="shared" si="2"/>
        <v>228</v>
      </c>
      <c r="I21" s="28">
        <f t="shared" si="2"/>
        <v>228</v>
      </c>
      <c r="J21" s="28" t="e">
        <f t="shared" si="2"/>
        <v>#N/A</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t="e">
        <f>C22-C21</f>
        <v>#N/A</v>
      </c>
      <c r="D23" s="16" t="e">
        <f t="shared" ref="D23:V23" si="3">D22-D21</f>
        <v>#N/A</v>
      </c>
      <c r="E23" s="16" t="e">
        <f t="shared" si="3"/>
        <v>#N/A</v>
      </c>
      <c r="F23" s="16">
        <f t="shared" si="3"/>
        <v>-228</v>
      </c>
      <c r="G23" s="16">
        <f t="shared" si="3"/>
        <v>-228</v>
      </c>
      <c r="H23" s="16">
        <f t="shared" si="3"/>
        <v>-228</v>
      </c>
      <c r="I23" s="16">
        <f t="shared" si="3"/>
        <v>-228</v>
      </c>
      <c r="J23" s="16" t="e">
        <f t="shared" si="3"/>
        <v>#N/A</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1294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2225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3210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3732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5867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1808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24</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25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26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27</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33</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34</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35</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t="str">
        <f>T8</f>
        <v>36a</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37</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0</v>
      </c>
      <c r="E57" s="8">
        <f t="shared" si="13"/>
        <v>1294</v>
      </c>
      <c r="F57" s="8">
        <f t="shared" si="13"/>
        <v>2225</v>
      </c>
      <c r="G57" s="8">
        <f t="shared" si="13"/>
        <v>3210</v>
      </c>
      <c r="H57" s="8">
        <f t="shared" si="13"/>
        <v>3732</v>
      </c>
      <c r="I57" s="8">
        <f t="shared" si="13"/>
        <v>0</v>
      </c>
      <c r="J57" s="8">
        <f t="shared" si="13"/>
        <v>5867</v>
      </c>
      <c r="K57" s="8">
        <f t="shared" si="13"/>
        <v>1808</v>
      </c>
      <c r="L57" s="8">
        <f t="shared" si="13"/>
        <v>24</v>
      </c>
      <c r="M57" s="8">
        <f t="shared" si="13"/>
        <v>25</v>
      </c>
      <c r="N57" s="8">
        <f t="shared" si="13"/>
        <v>26</v>
      </c>
      <c r="O57" s="8">
        <f t="shared" si="13"/>
        <v>27</v>
      </c>
      <c r="P57" s="8">
        <f t="shared" si="13"/>
        <v>33</v>
      </c>
      <c r="Q57" s="8">
        <f t="shared" si="13"/>
        <v>34</v>
      </c>
      <c r="R57" s="8">
        <f t="shared" si="13"/>
        <v>35</v>
      </c>
      <c r="S57" s="8" t="str">
        <f t="shared" si="13"/>
        <v>36a</v>
      </c>
      <c r="T57" s="8">
        <f t="shared" si="13"/>
        <v>37</v>
      </c>
      <c r="U57" s="8">
        <f t="shared" si="13"/>
        <v>0</v>
      </c>
    </row>
    <row r="58" spans="1:35" s="19" customFormat="1" ht="13" x14ac:dyDescent="0.35">
      <c r="A58" s="92" t="s">
        <v>136</v>
      </c>
      <c r="B58" s="13" t="e">
        <f>C16&amp;" I "&amp;(VLOOKUP(C14,Table24581113[],6,FALSE))</f>
        <v>#N/A</v>
      </c>
      <c r="C58" s="13" t="e">
        <f>D16&amp;" I "&amp;(VLOOKUP(D14,Table24581113[],6,FALSE))</f>
        <v>#N/A</v>
      </c>
      <c r="D58" s="13" t="e">
        <f>E16&amp;" I "&amp;(VLOOKUP(E14,Table24581113[],6,FALSE))</f>
        <v>#N/A</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e">
        <f>J16&amp;" I "&amp;(VLOOKUP(J14,Table24581113[],6,FALSE))</f>
        <v>#N/A</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str">
        <f>R16&amp;" I "&amp;(VLOOKUP(R14,Table24581113[],6,FALSE))</f>
        <v>Medium/Clay I Grass</v>
      </c>
      <c r="R58" s="13" t="str">
        <f>S16&amp;" I "&amp;(VLOOKUP(S14,Table24581113[],6,FALSE))</f>
        <v>Medium/Clay I Grass</v>
      </c>
      <c r="S58" s="13" t="str">
        <f>T16&amp;" I "&amp;(VLOOKUP(T14,Table24581113[],6,FALSE))</f>
        <v>Medium/Clay I Grass</v>
      </c>
      <c r="T58" s="13" t="str">
        <f>U16&amp;" I "&amp;(VLOOKUP(U14,Table24581113[],6,FALSE))</f>
        <v>Medium/Clay I Grass</v>
      </c>
      <c r="U58" s="13" t="e">
        <f>V16&amp;" I "&amp;(VLOOKUP(V14,Table24581113[],6,FALSE))</f>
        <v>#N/A</v>
      </c>
    </row>
    <row r="59" spans="1:35" s="19" customFormat="1" ht="13" x14ac:dyDescent="0.3">
      <c r="A59" s="111" t="s">
        <v>132</v>
      </c>
      <c r="B59" s="76" t="e">
        <f>VLOOKUP(C$14,Table24581113[],5,FALSE)</f>
        <v>#N/A</v>
      </c>
      <c r="C59" s="76" t="e">
        <f>VLOOKUP(D$14,Table24581113[],5,FALSE)</f>
        <v>#N/A</v>
      </c>
      <c r="D59" s="76" t="e">
        <f>VLOOKUP(E$14,Table24581113[],5,FALSE)</f>
        <v>#N/A</v>
      </c>
      <c r="E59" s="76">
        <f>VLOOKUP(F$14,Table24581113[],5,FALSE)</f>
        <v>6.2</v>
      </c>
      <c r="F59" s="76">
        <f>VLOOKUP(G$14,Table24581113[],5,FALSE)</f>
        <v>6.2</v>
      </c>
      <c r="G59" s="76">
        <f>VLOOKUP(H$14,Table24581113[],5,FALSE)</f>
        <v>6.2</v>
      </c>
      <c r="H59" s="76">
        <f>VLOOKUP(I$14,Table24581113[],5,FALSE)</f>
        <v>6.2</v>
      </c>
      <c r="I59" s="76" t="e">
        <f>VLOOKUP(J$14,Table24581113[],5,FALSE)</f>
        <v>#N/A</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f>VLOOKUP(R$14,Table24581113[],5,FALSE)</f>
        <v>6.2</v>
      </c>
      <c r="R59" s="76">
        <f>VLOOKUP(S$14,Table24581113[],5,FALSE)</f>
        <v>6.2</v>
      </c>
      <c r="S59" s="76">
        <f>VLOOKUP(T$14,Table24581113[],5,FALSE)</f>
        <v>6.2</v>
      </c>
      <c r="T59" s="76">
        <f>VLOOKUP(U$14,Table24581113[],5,FALSE)</f>
        <v>6.2</v>
      </c>
      <c r="U59" s="76" t="e">
        <f>VLOOKUP(V$14,Table24581113[],5,FALSE)</f>
        <v>#N/A</v>
      </c>
    </row>
    <row r="60" spans="1:35" s="19" customFormat="1" ht="13" x14ac:dyDescent="0.3">
      <c r="A60" s="111" t="s">
        <v>4</v>
      </c>
      <c r="B60" s="76">
        <f>C10</f>
        <v>0</v>
      </c>
      <c r="C60" s="76">
        <f t="shared" ref="C60:U60" si="14">D10</f>
        <v>0</v>
      </c>
      <c r="D60" s="76">
        <f t="shared" si="14"/>
        <v>0</v>
      </c>
      <c r="E60" s="76">
        <f t="shared" si="14"/>
        <v>7</v>
      </c>
      <c r="F60" s="76">
        <f t="shared" si="14"/>
        <v>7.6</v>
      </c>
      <c r="G60" s="76">
        <f t="shared" si="14"/>
        <v>7.3</v>
      </c>
      <c r="H60" s="76">
        <f t="shared" si="14"/>
        <v>7.5</v>
      </c>
      <c r="I60" s="76">
        <f t="shared" si="14"/>
        <v>0</v>
      </c>
      <c r="J60" s="76">
        <f t="shared" si="14"/>
        <v>7.9</v>
      </c>
      <c r="K60" s="76">
        <f t="shared" si="14"/>
        <v>6.4</v>
      </c>
      <c r="L60" s="76">
        <f t="shared" si="14"/>
        <v>8.1999999999999993</v>
      </c>
      <c r="M60" s="76">
        <f t="shared" si="14"/>
        <v>8.1999999999999993</v>
      </c>
      <c r="N60" s="76">
        <f t="shared" si="14"/>
        <v>7.6</v>
      </c>
      <c r="O60" s="76">
        <f t="shared" si="14"/>
        <v>7.2</v>
      </c>
      <c r="P60" s="76">
        <f t="shared" si="14"/>
        <v>7.1</v>
      </c>
      <c r="Q60" s="76">
        <f t="shared" si="14"/>
        <v>7.1</v>
      </c>
      <c r="R60" s="76">
        <f t="shared" si="14"/>
        <v>7</v>
      </c>
      <c r="S60" s="76">
        <f t="shared" si="14"/>
        <v>7.9</v>
      </c>
      <c r="T60" s="76">
        <f t="shared" si="14"/>
        <v>8</v>
      </c>
      <c r="U60" s="76">
        <f t="shared" si="14"/>
        <v>0</v>
      </c>
    </row>
    <row r="61" spans="1:35" s="19" customFormat="1" ht="13" x14ac:dyDescent="0.3">
      <c r="A61" s="111" t="s">
        <v>133</v>
      </c>
      <c r="B61" s="76" t="e">
        <f t="shared" ref="B61:U61" si="15">VLOOKUP(B58,$AD9:$AE18,2,FALSE)</f>
        <v>#N/A</v>
      </c>
      <c r="C61" s="76" t="e">
        <f t="shared" si="15"/>
        <v>#N/A</v>
      </c>
      <c r="D61" s="76" t="e">
        <f t="shared" si="15"/>
        <v>#N/A</v>
      </c>
      <c r="E61" s="76">
        <f t="shared" si="15"/>
        <v>6</v>
      </c>
      <c r="F61" s="76">
        <f t="shared" si="15"/>
        <v>6</v>
      </c>
      <c r="G61" s="76">
        <f t="shared" si="15"/>
        <v>6</v>
      </c>
      <c r="H61" s="76">
        <f t="shared" si="15"/>
        <v>6</v>
      </c>
      <c r="I61" s="76" t="e">
        <f t="shared" si="15"/>
        <v>#N/A</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f t="shared" si="17"/>
        <v>-4.7999999999999989</v>
      </c>
      <c r="F64" s="77">
        <f t="shared" si="17"/>
        <v>-8.3999999999999968</v>
      </c>
      <c r="G64" s="77">
        <f t="shared" si="17"/>
        <v>-6.5999999999999979</v>
      </c>
      <c r="H64" s="77">
        <f t="shared" si="17"/>
        <v>-7.7999999999999989</v>
      </c>
      <c r="I64" s="77" t="e">
        <f t="shared" si="17"/>
        <v>#N/A</v>
      </c>
      <c r="J64" s="77">
        <f t="shared" si="17"/>
        <v>-10.200000000000001</v>
      </c>
      <c r="K64" s="77">
        <f t="shared" si="17"/>
        <v>-1.2000000000000011</v>
      </c>
      <c r="L64" s="77">
        <f t="shared" si="17"/>
        <v>-11.999999999999995</v>
      </c>
      <c r="M64" s="77">
        <f t="shared" si="17"/>
        <v>-11.999999999999995</v>
      </c>
      <c r="N64" s="77">
        <f t="shared" si="17"/>
        <v>-8.3999999999999968</v>
      </c>
      <c r="O64" s="77">
        <f t="shared" si="17"/>
        <v>-6</v>
      </c>
      <c r="P64" s="77">
        <f t="shared" si="17"/>
        <v>-5.3999999999999968</v>
      </c>
      <c r="Q64" s="77">
        <f t="shared" si="17"/>
        <v>-5.3999999999999968</v>
      </c>
      <c r="R64" s="77">
        <f t="shared" si="17"/>
        <v>-4.7999999999999989</v>
      </c>
      <c r="S64" s="77">
        <f t="shared" si="17"/>
        <v>-10.200000000000001</v>
      </c>
      <c r="T64" s="77">
        <f t="shared" si="17"/>
        <v>-10.799999999999999</v>
      </c>
      <c r="U64" s="77" t="e">
        <f t="shared" si="17"/>
        <v>#N/A</v>
      </c>
    </row>
    <row r="65" spans="1:21" s="19" customFormat="1" ht="52" x14ac:dyDescent="0.3">
      <c r="A65" s="112" t="s">
        <v>157</v>
      </c>
      <c r="B65" s="77" t="e">
        <f>B63-B64</f>
        <v>#N/A</v>
      </c>
      <c r="C65" s="77" t="e">
        <f t="shared" ref="C65:U65" si="18">C63-C64</f>
        <v>#N/A</v>
      </c>
      <c r="D65" s="77" t="e">
        <f t="shared" si="18"/>
        <v>#N/A</v>
      </c>
      <c r="E65" s="77">
        <f t="shared" si="18"/>
        <v>4.7999999999999989</v>
      </c>
      <c r="F65" s="77">
        <f t="shared" si="18"/>
        <v>8.3999999999999968</v>
      </c>
      <c r="G65" s="77">
        <f t="shared" si="18"/>
        <v>6.5999999999999979</v>
      </c>
      <c r="H65" s="77">
        <f t="shared" si="18"/>
        <v>7.7999999999999989</v>
      </c>
      <c r="I65" s="77" t="e">
        <f t="shared" si="18"/>
        <v>#N/A</v>
      </c>
      <c r="J65" s="77">
        <f t="shared" si="18"/>
        <v>10.200000000000001</v>
      </c>
      <c r="K65" s="77">
        <f t="shared" si="18"/>
        <v>1.2000000000000011</v>
      </c>
      <c r="L65" s="77">
        <f t="shared" si="18"/>
        <v>11.999999999999995</v>
      </c>
      <c r="M65" s="77">
        <f t="shared" si="18"/>
        <v>11.999999999999995</v>
      </c>
      <c r="N65" s="77">
        <f t="shared" si="18"/>
        <v>8.3999999999999968</v>
      </c>
      <c r="O65" s="77">
        <f t="shared" si="18"/>
        <v>6</v>
      </c>
      <c r="P65" s="77">
        <f t="shared" si="18"/>
        <v>5.3999999999999968</v>
      </c>
      <c r="Q65" s="77">
        <f t="shared" si="18"/>
        <v>5.3999999999999968</v>
      </c>
      <c r="R65" s="77">
        <f t="shared" si="18"/>
        <v>4.7999999999999989</v>
      </c>
      <c r="S65" s="77">
        <f t="shared" si="18"/>
        <v>10.200000000000001</v>
      </c>
      <c r="T65" s="77">
        <f t="shared" si="18"/>
        <v>10.799999999999999</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str">
        <f t="shared" si="19"/>
        <v>OVER</v>
      </c>
      <c r="F66" s="78" t="str">
        <f t="shared" si="19"/>
        <v>OVER</v>
      </c>
      <c r="G66" s="78" t="str">
        <f t="shared" si="19"/>
        <v>OVER</v>
      </c>
      <c r="H66" s="78" t="str">
        <f t="shared" si="19"/>
        <v>OVER</v>
      </c>
      <c r="I66" s="78" t="e">
        <f t="shared" si="19"/>
        <v>#N/A</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PAN-018217</v>
      </c>
      <c r="D1" s="141"/>
      <c r="E1" s="93" t="s">
        <v>45</v>
      </c>
      <c r="F1" s="39">
        <f>'Field data and Waste 1'!F1</f>
        <v>44.6</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Abergelli Farm, Felindre, Swansea, SA5 7NN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0</v>
      </c>
      <c r="D8" s="60">
        <f>'Field data and Waste 1'!D8</f>
        <v>0</v>
      </c>
      <c r="E8" s="60">
        <f>'Field data and Waste 1'!E8</f>
        <v>0</v>
      </c>
      <c r="F8" s="60">
        <f>'Field data and Waste 1'!F8</f>
        <v>1294</v>
      </c>
      <c r="G8" s="60">
        <f>'Field data and Waste 1'!G8</f>
        <v>2225</v>
      </c>
      <c r="H8" s="60">
        <f>'Field data and Waste 1'!H8</f>
        <v>3210</v>
      </c>
      <c r="I8" s="60">
        <f>'Field data and Waste 1'!I8</f>
        <v>3732</v>
      </c>
      <c r="J8" s="60">
        <f>'Field data and Waste 1'!J8</f>
        <v>0</v>
      </c>
      <c r="K8" s="60">
        <f>'Field data and Waste 1'!K8</f>
        <v>5867</v>
      </c>
      <c r="L8" s="60">
        <f>'Field data and Waste 1'!L8</f>
        <v>1808</v>
      </c>
      <c r="M8" s="60">
        <f>'Field data and Waste 1'!M8</f>
        <v>24</v>
      </c>
      <c r="N8" s="60">
        <f>'Field data and Waste 1'!N8</f>
        <v>25</v>
      </c>
      <c r="O8" s="60">
        <f>'Field data and Waste 1'!O8</f>
        <v>26</v>
      </c>
      <c r="P8" s="60">
        <f>'Field data and Waste 1'!P8</f>
        <v>27</v>
      </c>
      <c r="Q8" s="60">
        <f>'Field data and Waste 1'!Q8</f>
        <v>33</v>
      </c>
      <c r="R8" s="60">
        <f>'Field data and Waste 1'!R8</f>
        <v>34</v>
      </c>
      <c r="S8" s="60">
        <f>'Field data and Waste 1'!S8</f>
        <v>35</v>
      </c>
      <c r="T8" s="60" t="str">
        <f>'Field data and Waste 1'!T8</f>
        <v>36a</v>
      </c>
      <c r="U8" s="60">
        <f>'Field data and Waste 1'!U8</f>
        <v>37</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0</v>
      </c>
      <c r="D9" s="60">
        <f>'Field data and Waste 1'!D9</f>
        <v>0</v>
      </c>
      <c r="E9" s="60">
        <f>'Field data and Waste 1'!E9</f>
        <v>0</v>
      </c>
      <c r="F9" s="60" t="str">
        <f>'Field data and Waste 1'!F9</f>
        <v>Moderate</v>
      </c>
      <c r="G9" s="60" t="str">
        <f>'Field data and Waste 1'!G9</f>
        <v>Moderate</v>
      </c>
      <c r="H9" s="60" t="str">
        <f>'Field data and Waste 1'!H9</f>
        <v>Moderate</v>
      </c>
      <c r="I9" s="60" t="str">
        <f>'Field data and Waste 1'!I9</f>
        <v>Moderate</v>
      </c>
      <c r="J9" s="60">
        <f>'Field data and Waste 1'!J9</f>
        <v>0</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0</v>
      </c>
      <c r="D10" s="60">
        <f>'Field data and Waste 1'!D10</f>
        <v>0</v>
      </c>
      <c r="E10" s="60">
        <f>'Field data and Waste 1'!E10</f>
        <v>0</v>
      </c>
      <c r="F10" s="60">
        <f>'Field data and Waste 1'!F10</f>
        <v>7</v>
      </c>
      <c r="G10" s="60">
        <f>'Field data and Waste 1'!G10</f>
        <v>7.6</v>
      </c>
      <c r="H10" s="60">
        <f>'Field data and Waste 1'!H10</f>
        <v>7.3</v>
      </c>
      <c r="I10" s="60">
        <f>'Field data and Waste 1'!I10</f>
        <v>7.5</v>
      </c>
      <c r="J10" s="60">
        <f>'Field data and Waste 1'!J10</f>
        <v>0</v>
      </c>
      <c r="K10" s="60">
        <f>'Field data and Waste 1'!K10</f>
        <v>7.9</v>
      </c>
      <c r="L10" s="60">
        <f>'Field data and Waste 1'!L10</f>
        <v>6.4</v>
      </c>
      <c r="M10" s="60">
        <f>'Field data and Waste 1'!M10</f>
        <v>8.1999999999999993</v>
      </c>
      <c r="N10" s="60">
        <f>'Field data and Waste 1'!N10</f>
        <v>8.1999999999999993</v>
      </c>
      <c r="O10" s="60">
        <f>'Field data and Waste 1'!O10</f>
        <v>7.6</v>
      </c>
      <c r="P10" s="60">
        <f>'Field data and Waste 1'!P10</f>
        <v>7.2</v>
      </c>
      <c r="Q10" s="60">
        <f>'Field data and Waste 1'!Q10</f>
        <v>7.1</v>
      </c>
      <c r="R10" s="60">
        <f>'Field data and Waste 1'!R10</f>
        <v>7.1</v>
      </c>
      <c r="S10" s="60">
        <f>'Field data and Waste 1'!S10</f>
        <v>7</v>
      </c>
      <c r="T10" s="60">
        <f>'Field data and Waste 1'!T10</f>
        <v>7.9</v>
      </c>
      <c r="U10" s="60">
        <f>'Field data and Waste 1'!U10</f>
        <v>8</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2</v>
      </c>
      <c r="M11" s="60">
        <f>'Field data and Waste 1'!M11</f>
        <v>0</v>
      </c>
      <c r="N11" s="60">
        <f>'Field data and Waste 1'!N11</f>
        <v>0</v>
      </c>
      <c r="O11" s="60">
        <f>'Field data and Waste 1'!O11</f>
        <v>1</v>
      </c>
      <c r="P11" s="60">
        <f>'Field data and Waste 1'!P11</f>
        <v>1</v>
      </c>
      <c r="Q11" s="60">
        <f>'Field data and Waste 1'!Q11</f>
        <v>1</v>
      </c>
      <c r="R11" s="60">
        <f>'Field data and Waste 1'!R11</f>
        <v>1</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1</v>
      </c>
      <c r="G12" s="60">
        <f>'Field data and Waste 1'!G12</f>
        <v>1</v>
      </c>
      <c r="H12" s="60">
        <f>'Field data and Waste 1'!H12</f>
        <v>1</v>
      </c>
      <c r="I12" s="60">
        <f>'Field data and Waste 1'!I12</f>
        <v>1</v>
      </c>
      <c r="J12" s="60">
        <f>'Field data and Waste 1'!J12</f>
        <v>0</v>
      </c>
      <c r="K12" s="60">
        <f>'Field data and Waste 1'!K12</f>
        <v>1</v>
      </c>
      <c r="L12" s="60">
        <f>'Field data and Waste 1'!L12</f>
        <v>2</v>
      </c>
      <c r="M12" s="60">
        <f>'Field data and Waste 1'!M12</f>
        <v>1</v>
      </c>
      <c r="N12" s="60">
        <f>'Field data and Waste 1'!N12</f>
        <v>1</v>
      </c>
      <c r="O12" s="60">
        <f>'Field data and Waste 1'!O12</f>
        <v>2</v>
      </c>
      <c r="P12" s="60">
        <f>'Field data and Waste 1'!P12</f>
        <v>1</v>
      </c>
      <c r="Q12" s="60">
        <f>'Field data and Waste 1'!Q12</f>
        <v>1</v>
      </c>
      <c r="R12" s="60">
        <f>'Field data and Waste 1'!R12</f>
        <v>2</v>
      </c>
      <c r="S12" s="60">
        <f>'Field data and Waste 1'!S12</f>
        <v>1</v>
      </c>
      <c r="T12" s="60">
        <f>'Field data and Waste 1'!T12</f>
        <v>1</v>
      </c>
      <c r="U12" s="60">
        <f>'Field data and Waste 1'!U12</f>
        <v>1</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0</v>
      </c>
      <c r="D13" s="60">
        <f>'Field data and Waste 1'!D13</f>
        <v>0</v>
      </c>
      <c r="E13" s="60">
        <f>'Field data and Waste 1'!E13</f>
        <v>0</v>
      </c>
      <c r="F13" s="60">
        <f>'Field data and Waste 1'!F13</f>
        <v>2</v>
      </c>
      <c r="G13" s="60">
        <f>'Field data and Waste 1'!G13</f>
        <v>3</v>
      </c>
      <c r="H13" s="60">
        <f>'Field data and Waste 1'!H13</f>
        <v>2</v>
      </c>
      <c r="I13" s="60">
        <f>'Field data and Waste 1'!I13</f>
        <v>2</v>
      </c>
      <c r="J13" s="60">
        <f>'Field data and Waste 1'!J13</f>
        <v>0</v>
      </c>
      <c r="K13" s="60">
        <f>'Field data and Waste 1'!K13</f>
        <v>3</v>
      </c>
      <c r="L13" s="60">
        <f>'Field data and Waste 1'!L13</f>
        <v>4</v>
      </c>
      <c r="M13" s="60">
        <f>'Field data and Waste 1'!M13</f>
        <v>3</v>
      </c>
      <c r="N13" s="60">
        <f>'Field data and Waste 1'!N13</f>
        <v>4</v>
      </c>
      <c r="O13" s="60">
        <f>'Field data and Waste 1'!O13</f>
        <v>5</v>
      </c>
      <c r="P13" s="60">
        <f>'Field data and Waste 1'!P13</f>
        <v>4</v>
      </c>
      <c r="Q13" s="60">
        <f>'Field data and Waste 1'!Q13</f>
        <v>5</v>
      </c>
      <c r="R13" s="60">
        <f>'Field data and Waste 1'!R13</f>
        <v>6</v>
      </c>
      <c r="S13" s="60">
        <f>'Field data and Waste 1'!S13</f>
        <v>5</v>
      </c>
      <c r="T13" s="60">
        <f>'Field data and Waste 1'!T13</f>
        <v>3</v>
      </c>
      <c r="U13" s="60">
        <f>'Field data and Waste 1'!U13</f>
        <v>3</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f>'Field data and Waste 1'!C14</f>
        <v>0</v>
      </c>
      <c r="D14" s="102">
        <f>'Field data and Waste 1'!D14</f>
        <v>0</v>
      </c>
      <c r="E14" s="102">
        <f>'Field data and Waste 1'!E14</f>
        <v>0</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0</v>
      </c>
      <c r="D15" s="60">
        <f>'Field data and Waste 1'!D15</f>
        <v>0</v>
      </c>
      <c r="E15" s="60">
        <f>'Field data and Waste 1'!E15</f>
        <v>0</v>
      </c>
      <c r="F15" s="60">
        <f>'Field data and Waste 1'!F15</f>
        <v>38</v>
      </c>
      <c r="G15" s="60">
        <f>'Field data and Waste 1'!G15</f>
        <v>38</v>
      </c>
      <c r="H15" s="60">
        <f>'Field data and Waste 1'!H15</f>
        <v>38</v>
      </c>
      <c r="I15" s="60">
        <f>'Field data and Waste 1'!I15</f>
        <v>38</v>
      </c>
      <c r="J15" s="60">
        <f>'Field data and Waste 1'!J15</f>
        <v>0</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t="e">
        <f>(VLOOKUP(C$14,$AI2:$AK26,2,FALSE))*C$15</f>
        <v>#N/A</v>
      </c>
      <c r="D17" s="28" t="e">
        <f t="shared" ref="D17:V17" si="0">(VLOOKUP(D$14,$AI2:$AK26,2,FALSE))*D$15</f>
        <v>#N/A</v>
      </c>
      <c r="E17" s="28" t="e">
        <f t="shared" si="0"/>
        <v>#N/A</v>
      </c>
      <c r="F17" s="28">
        <f t="shared" si="0"/>
        <v>64.599999999999994</v>
      </c>
      <c r="G17" s="28">
        <f t="shared" si="0"/>
        <v>64.599999999999994</v>
      </c>
      <c r="H17" s="28">
        <f t="shared" si="0"/>
        <v>64.599999999999994</v>
      </c>
      <c r="I17" s="28">
        <f t="shared" si="0"/>
        <v>64.599999999999994</v>
      </c>
      <c r="J17" s="28" t="e">
        <f t="shared" si="0"/>
        <v>#N/A</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t="e">
        <f>C18-C17</f>
        <v>#N/A</v>
      </c>
      <c r="D19" s="16" t="e">
        <f t="shared" ref="D19:V19" si="1">D18-D17</f>
        <v>#N/A</v>
      </c>
      <c r="E19" s="16" t="e">
        <f t="shared" si="1"/>
        <v>#N/A</v>
      </c>
      <c r="F19" s="16">
        <f t="shared" si="1"/>
        <v>-64.599999999999994</v>
      </c>
      <c r="G19" s="16">
        <f t="shared" si="1"/>
        <v>-64.599999999999994</v>
      </c>
      <c r="H19" s="16">
        <f t="shared" si="1"/>
        <v>-64.599999999999994</v>
      </c>
      <c r="I19" s="16">
        <f t="shared" si="1"/>
        <v>-64.599999999999994</v>
      </c>
      <c r="J19" s="16" t="e">
        <f t="shared" si="1"/>
        <v>#N/A</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t="e">
        <f>(VLOOKUP(C$14,$AI2:$AK26,3,FALSE))*C$15</f>
        <v>#N/A</v>
      </c>
      <c r="D21" s="28" t="e">
        <f t="shared" ref="D21:V21" si="2">(VLOOKUP(D$14,$AI2:$AK26,3,FALSE))*D$15</f>
        <v>#N/A</v>
      </c>
      <c r="E21" s="28" t="e">
        <f t="shared" si="2"/>
        <v>#N/A</v>
      </c>
      <c r="F21" s="28">
        <f t="shared" si="2"/>
        <v>228</v>
      </c>
      <c r="G21" s="28">
        <f t="shared" si="2"/>
        <v>228</v>
      </c>
      <c r="H21" s="28">
        <f t="shared" si="2"/>
        <v>228</v>
      </c>
      <c r="I21" s="28">
        <f t="shared" si="2"/>
        <v>228</v>
      </c>
      <c r="J21" s="28" t="e">
        <f t="shared" si="2"/>
        <v>#N/A</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t="e">
        <f>C22-C21</f>
        <v>#N/A</v>
      </c>
      <c r="D23" s="16" t="e">
        <f t="shared" ref="D23:V23" si="3">D22-D21</f>
        <v>#N/A</v>
      </c>
      <c r="E23" s="16" t="e">
        <f t="shared" si="3"/>
        <v>#N/A</v>
      </c>
      <c r="F23" s="16">
        <f t="shared" si="3"/>
        <v>-228</v>
      </c>
      <c r="G23" s="16">
        <f t="shared" si="3"/>
        <v>-228</v>
      </c>
      <c r="H23" s="16">
        <f t="shared" si="3"/>
        <v>-228</v>
      </c>
      <c r="I23" s="16">
        <f t="shared" si="3"/>
        <v>-228</v>
      </c>
      <c r="J23" s="16" t="e">
        <f t="shared" si="3"/>
        <v>#N/A</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1294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2225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3210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3732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5867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1808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24</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25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26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27</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33</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34</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35</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t="str">
        <f>T8</f>
        <v>36a</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37</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0</v>
      </c>
      <c r="E57" s="8">
        <f t="shared" si="13"/>
        <v>1294</v>
      </c>
      <c r="F57" s="8">
        <f t="shared" si="13"/>
        <v>2225</v>
      </c>
      <c r="G57" s="8">
        <f t="shared" si="13"/>
        <v>3210</v>
      </c>
      <c r="H57" s="8">
        <f t="shared" si="13"/>
        <v>3732</v>
      </c>
      <c r="I57" s="8">
        <f t="shared" si="13"/>
        <v>0</v>
      </c>
      <c r="J57" s="8">
        <f t="shared" si="13"/>
        <v>5867</v>
      </c>
      <c r="K57" s="8">
        <f t="shared" si="13"/>
        <v>1808</v>
      </c>
      <c r="L57" s="8">
        <f t="shared" si="13"/>
        <v>24</v>
      </c>
      <c r="M57" s="8">
        <f t="shared" si="13"/>
        <v>25</v>
      </c>
      <c r="N57" s="8">
        <f t="shared" si="13"/>
        <v>26</v>
      </c>
      <c r="O57" s="8">
        <f t="shared" si="13"/>
        <v>27</v>
      </c>
      <c r="P57" s="8">
        <f t="shared" si="13"/>
        <v>33</v>
      </c>
      <c r="Q57" s="8">
        <f t="shared" si="13"/>
        <v>34</v>
      </c>
      <c r="R57" s="8">
        <f t="shared" si="13"/>
        <v>35</v>
      </c>
      <c r="S57" s="8" t="str">
        <f t="shared" si="13"/>
        <v>36a</v>
      </c>
      <c r="T57" s="8">
        <f t="shared" si="13"/>
        <v>37</v>
      </c>
      <c r="U57" s="8">
        <f t="shared" si="13"/>
        <v>0</v>
      </c>
    </row>
    <row r="58" spans="1:35" s="19" customFormat="1" ht="13" x14ac:dyDescent="0.35">
      <c r="A58" s="92" t="s">
        <v>136</v>
      </c>
      <c r="B58" s="13" t="e">
        <f>C16&amp;" I "&amp;(VLOOKUP(C14,Table24567[],6,FALSE))</f>
        <v>#N/A</v>
      </c>
      <c r="C58" s="13" t="e">
        <f>D16&amp;" I "&amp;(VLOOKUP(D14,Table24567[],6,FALSE))</f>
        <v>#N/A</v>
      </c>
      <c r="D58" s="13" t="e">
        <f>E16&amp;" I "&amp;(VLOOKUP(E14,Table24567[],6,FALSE))</f>
        <v>#N/A</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e">
        <f>J16&amp;" I "&amp;(VLOOKUP(J14,Table24567[],6,FALSE))</f>
        <v>#N/A</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Grass</v>
      </c>
      <c r="Q58" s="13" t="str">
        <f>R16&amp;" I "&amp;(VLOOKUP(R14,Table24567[],6,FALSE))</f>
        <v>Medium/Clay I Grass</v>
      </c>
      <c r="R58" s="13" t="str">
        <f>S16&amp;" I "&amp;(VLOOKUP(S14,Table24567[],6,FALSE))</f>
        <v>Medium/Clay I Grass</v>
      </c>
      <c r="S58" s="13" t="str">
        <f>T16&amp;" I "&amp;(VLOOKUP(T14,Table24567[],6,FALSE))</f>
        <v>Medium/Clay I Grass</v>
      </c>
      <c r="T58" s="13" t="str">
        <f>U16&amp;" I "&amp;(VLOOKUP(U14,Table24567[],6,FALSE))</f>
        <v>Medium/Clay I Grass</v>
      </c>
      <c r="U58" s="13" t="e">
        <f>V16&amp;" I "&amp;(VLOOKUP(V14,Table24567[],6,FALSE))</f>
        <v>#N/A</v>
      </c>
    </row>
    <row r="59" spans="1:35" s="19" customFormat="1" ht="13" x14ac:dyDescent="0.3">
      <c r="A59" s="111" t="s">
        <v>132</v>
      </c>
      <c r="B59" s="76" t="e">
        <f>VLOOKUP(C$14,Table24567[],5,FALSE)</f>
        <v>#N/A</v>
      </c>
      <c r="C59" s="76" t="e">
        <f>VLOOKUP(D$14,Table24567[],5,FALSE)</f>
        <v>#N/A</v>
      </c>
      <c r="D59" s="76" t="e">
        <f>VLOOKUP(E$14,Table24567[],5,FALSE)</f>
        <v>#N/A</v>
      </c>
      <c r="E59" s="76">
        <f>VLOOKUP(F$14,Table24567[],5,FALSE)</f>
        <v>6.2</v>
      </c>
      <c r="F59" s="76">
        <f>VLOOKUP(G$14,Table24567[],5,FALSE)</f>
        <v>6.2</v>
      </c>
      <c r="G59" s="76">
        <f>VLOOKUP(H$14,Table24567[],5,FALSE)</f>
        <v>6.2</v>
      </c>
      <c r="H59" s="76">
        <f>VLOOKUP(I$14,Table24567[],5,FALSE)</f>
        <v>6.2</v>
      </c>
      <c r="I59" s="76" t="e">
        <f>VLOOKUP(J$14,Table24567[],5,FALSE)</f>
        <v>#N/A</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6.2</v>
      </c>
      <c r="Q59" s="76">
        <f>VLOOKUP(R$14,Table24567[],5,FALSE)</f>
        <v>6.2</v>
      </c>
      <c r="R59" s="76">
        <f>VLOOKUP(S$14,Table24567[],5,FALSE)</f>
        <v>6.2</v>
      </c>
      <c r="S59" s="76">
        <f>VLOOKUP(T$14,Table24567[],5,FALSE)</f>
        <v>6.2</v>
      </c>
      <c r="T59" s="76">
        <f>VLOOKUP(U$14,Table24567[],5,FALSE)</f>
        <v>6.2</v>
      </c>
      <c r="U59" s="76" t="e">
        <f>VLOOKUP(V$14,Table24567[],5,FALSE)</f>
        <v>#N/A</v>
      </c>
    </row>
    <row r="60" spans="1:35" s="19" customFormat="1" ht="13" x14ac:dyDescent="0.3">
      <c r="A60" s="111" t="s">
        <v>4</v>
      </c>
      <c r="B60" s="76">
        <f>C10</f>
        <v>0</v>
      </c>
      <c r="C60" s="76">
        <f t="shared" ref="C60:U60" si="14">D10</f>
        <v>0</v>
      </c>
      <c r="D60" s="76">
        <f t="shared" si="14"/>
        <v>0</v>
      </c>
      <c r="E60" s="76">
        <f t="shared" si="14"/>
        <v>7</v>
      </c>
      <c r="F60" s="76">
        <f t="shared" si="14"/>
        <v>7.6</v>
      </c>
      <c r="G60" s="76">
        <f t="shared" si="14"/>
        <v>7.3</v>
      </c>
      <c r="H60" s="76">
        <f t="shared" si="14"/>
        <v>7.5</v>
      </c>
      <c r="I60" s="76">
        <f t="shared" si="14"/>
        <v>0</v>
      </c>
      <c r="J60" s="76">
        <f t="shared" si="14"/>
        <v>7.9</v>
      </c>
      <c r="K60" s="76">
        <f t="shared" si="14"/>
        <v>6.4</v>
      </c>
      <c r="L60" s="76">
        <f t="shared" si="14"/>
        <v>8.1999999999999993</v>
      </c>
      <c r="M60" s="76">
        <f t="shared" si="14"/>
        <v>8.1999999999999993</v>
      </c>
      <c r="N60" s="76">
        <f t="shared" si="14"/>
        <v>7.6</v>
      </c>
      <c r="O60" s="76">
        <f t="shared" si="14"/>
        <v>7.2</v>
      </c>
      <c r="P60" s="76">
        <f t="shared" si="14"/>
        <v>7.1</v>
      </c>
      <c r="Q60" s="76">
        <f t="shared" si="14"/>
        <v>7.1</v>
      </c>
      <c r="R60" s="76">
        <f t="shared" si="14"/>
        <v>7</v>
      </c>
      <c r="S60" s="76">
        <f t="shared" si="14"/>
        <v>7.9</v>
      </c>
      <c r="T60" s="76">
        <f t="shared" si="14"/>
        <v>8</v>
      </c>
      <c r="U60" s="76">
        <f t="shared" si="14"/>
        <v>0</v>
      </c>
    </row>
    <row r="61" spans="1:35" s="19" customFormat="1" ht="13" x14ac:dyDescent="0.3">
      <c r="A61" s="111" t="s">
        <v>133</v>
      </c>
      <c r="B61" s="76" t="e">
        <f t="shared" ref="B61:U61" si="15">VLOOKUP(B58,$AD9:$AE18,2,FALSE)</f>
        <v>#N/A</v>
      </c>
      <c r="C61" s="76" t="e">
        <f t="shared" si="15"/>
        <v>#N/A</v>
      </c>
      <c r="D61" s="76" t="e">
        <f t="shared" si="15"/>
        <v>#N/A</v>
      </c>
      <c r="E61" s="76">
        <f t="shared" si="15"/>
        <v>6</v>
      </c>
      <c r="F61" s="76">
        <f t="shared" si="15"/>
        <v>6</v>
      </c>
      <c r="G61" s="76">
        <f t="shared" si="15"/>
        <v>6</v>
      </c>
      <c r="H61" s="76">
        <f t="shared" si="15"/>
        <v>6</v>
      </c>
      <c r="I61" s="76" t="e">
        <f t="shared" si="15"/>
        <v>#N/A</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f t="shared" si="17"/>
        <v>-4.7999999999999989</v>
      </c>
      <c r="F64" s="77">
        <f t="shared" si="17"/>
        <v>-8.3999999999999968</v>
      </c>
      <c r="G64" s="77">
        <f t="shared" si="17"/>
        <v>-6.5999999999999979</v>
      </c>
      <c r="H64" s="77">
        <f t="shared" si="17"/>
        <v>-7.7999999999999989</v>
      </c>
      <c r="I64" s="77" t="e">
        <f t="shared" si="17"/>
        <v>#N/A</v>
      </c>
      <c r="J64" s="77">
        <f t="shared" si="17"/>
        <v>-10.200000000000001</v>
      </c>
      <c r="K64" s="77">
        <f t="shared" si="17"/>
        <v>-1.2000000000000011</v>
      </c>
      <c r="L64" s="77">
        <f t="shared" si="17"/>
        <v>-11.999999999999995</v>
      </c>
      <c r="M64" s="77">
        <f t="shared" si="17"/>
        <v>-11.999999999999995</v>
      </c>
      <c r="N64" s="77">
        <f t="shared" si="17"/>
        <v>-8.3999999999999968</v>
      </c>
      <c r="O64" s="77">
        <f t="shared" si="17"/>
        <v>-6</v>
      </c>
      <c r="P64" s="77">
        <f t="shared" si="17"/>
        <v>-5.3999999999999968</v>
      </c>
      <c r="Q64" s="77">
        <f t="shared" si="17"/>
        <v>-5.3999999999999968</v>
      </c>
      <c r="R64" s="77">
        <f t="shared" si="17"/>
        <v>-4.7999999999999989</v>
      </c>
      <c r="S64" s="77">
        <f t="shared" si="17"/>
        <v>-10.200000000000001</v>
      </c>
      <c r="T64" s="77">
        <f t="shared" si="17"/>
        <v>-10.799999999999999</v>
      </c>
      <c r="U64" s="77" t="e">
        <f t="shared" si="17"/>
        <v>#N/A</v>
      </c>
    </row>
    <row r="65" spans="1:21" s="19" customFormat="1" ht="52" x14ac:dyDescent="0.3">
      <c r="A65" s="112" t="s">
        <v>157</v>
      </c>
      <c r="B65" s="77" t="e">
        <f>B63-B64</f>
        <v>#N/A</v>
      </c>
      <c r="C65" s="77" t="e">
        <f t="shared" ref="C65:U65" si="18">C63-C64</f>
        <v>#N/A</v>
      </c>
      <c r="D65" s="77" t="e">
        <f t="shared" si="18"/>
        <v>#N/A</v>
      </c>
      <c r="E65" s="77">
        <f t="shared" si="18"/>
        <v>4.7999999999999989</v>
      </c>
      <c r="F65" s="77">
        <f t="shared" si="18"/>
        <v>8.3999999999999968</v>
      </c>
      <c r="G65" s="77">
        <f t="shared" si="18"/>
        <v>6.5999999999999979</v>
      </c>
      <c r="H65" s="77">
        <f t="shared" si="18"/>
        <v>7.7999999999999989</v>
      </c>
      <c r="I65" s="77" t="e">
        <f t="shared" si="18"/>
        <v>#N/A</v>
      </c>
      <c r="J65" s="77">
        <f t="shared" si="18"/>
        <v>10.200000000000001</v>
      </c>
      <c r="K65" s="77">
        <f t="shared" si="18"/>
        <v>1.2000000000000011</v>
      </c>
      <c r="L65" s="77">
        <f t="shared" si="18"/>
        <v>11.999999999999995</v>
      </c>
      <c r="M65" s="77">
        <f t="shared" si="18"/>
        <v>11.999999999999995</v>
      </c>
      <c r="N65" s="77">
        <f t="shared" si="18"/>
        <v>8.3999999999999968</v>
      </c>
      <c r="O65" s="77">
        <f t="shared" si="18"/>
        <v>6</v>
      </c>
      <c r="P65" s="77">
        <f t="shared" si="18"/>
        <v>5.3999999999999968</v>
      </c>
      <c r="Q65" s="77">
        <f t="shared" si="18"/>
        <v>5.3999999999999968</v>
      </c>
      <c r="R65" s="77">
        <f t="shared" si="18"/>
        <v>4.7999999999999989</v>
      </c>
      <c r="S65" s="77">
        <f t="shared" si="18"/>
        <v>10.200000000000001</v>
      </c>
      <c r="T65" s="77">
        <f t="shared" si="18"/>
        <v>10.799999999999999</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str">
        <f t="shared" si="19"/>
        <v>OVER</v>
      </c>
      <c r="F66" s="78" t="str">
        <f t="shared" si="19"/>
        <v>OVER</v>
      </c>
      <c r="G66" s="78" t="str">
        <f t="shared" si="19"/>
        <v>OVER</v>
      </c>
      <c r="H66" s="78" t="str">
        <f t="shared" si="19"/>
        <v>OVER</v>
      </c>
      <c r="I66" s="78" t="e">
        <f t="shared" si="19"/>
        <v>#N/A</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PAN-018217</v>
      </c>
      <c r="D1" s="141"/>
      <c r="E1" s="93" t="s">
        <v>45</v>
      </c>
      <c r="F1" s="39">
        <f>'Field data and Waste 1'!F1</f>
        <v>44.6</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Byproduct Recovery Ltd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Abergelli Farm, Felindre, Swansea, SA5 7NN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0</v>
      </c>
      <c r="D8" s="60">
        <f>'Field data and Waste 1'!D8</f>
        <v>0</v>
      </c>
      <c r="E8" s="60">
        <f>'Field data and Waste 1'!E8</f>
        <v>0</v>
      </c>
      <c r="F8" s="60">
        <f>'Field data and Waste 1'!F8</f>
        <v>1294</v>
      </c>
      <c r="G8" s="60">
        <f>'Field data and Waste 1'!G8</f>
        <v>2225</v>
      </c>
      <c r="H8" s="60">
        <f>'Field data and Waste 1'!H8</f>
        <v>3210</v>
      </c>
      <c r="I8" s="60">
        <f>'Field data and Waste 1'!I8</f>
        <v>3732</v>
      </c>
      <c r="J8" s="60">
        <f>'Field data and Waste 1'!J8</f>
        <v>0</v>
      </c>
      <c r="K8" s="60">
        <f>'Field data and Waste 1'!K8</f>
        <v>5867</v>
      </c>
      <c r="L8" s="60">
        <f>'Field data and Waste 1'!L8</f>
        <v>1808</v>
      </c>
      <c r="M8" s="60">
        <f>'Field data and Waste 1'!M8</f>
        <v>24</v>
      </c>
      <c r="N8" s="60">
        <f>'Field data and Waste 1'!N8</f>
        <v>25</v>
      </c>
      <c r="O8" s="60">
        <f>'Field data and Waste 1'!O8</f>
        <v>26</v>
      </c>
      <c r="P8" s="60">
        <f>'Field data and Waste 1'!P8</f>
        <v>27</v>
      </c>
      <c r="Q8" s="60">
        <f>'Field data and Waste 1'!Q8</f>
        <v>33</v>
      </c>
      <c r="R8" s="60">
        <f>'Field data and Waste 1'!R8</f>
        <v>34</v>
      </c>
      <c r="S8" s="60">
        <f>'Field data and Waste 1'!S8</f>
        <v>35</v>
      </c>
      <c r="T8" s="60" t="str">
        <f>'Field data and Waste 1'!T8</f>
        <v>36a</v>
      </c>
      <c r="U8" s="60">
        <f>'Field data and Waste 1'!U8</f>
        <v>37</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0</v>
      </c>
      <c r="D9" s="60">
        <f>'Field data and Waste 1'!D9</f>
        <v>0</v>
      </c>
      <c r="E9" s="60">
        <f>'Field data and Waste 1'!E9</f>
        <v>0</v>
      </c>
      <c r="F9" s="60" t="str">
        <f>'Field data and Waste 1'!F9</f>
        <v>Moderate</v>
      </c>
      <c r="G9" s="60" t="str">
        <f>'Field data and Waste 1'!G9</f>
        <v>Moderate</v>
      </c>
      <c r="H9" s="60" t="str">
        <f>'Field data and Waste 1'!H9</f>
        <v>Moderate</v>
      </c>
      <c r="I9" s="60" t="str">
        <f>'Field data and Waste 1'!I9</f>
        <v>Moderate</v>
      </c>
      <c r="J9" s="60">
        <f>'Field data and Waste 1'!J9</f>
        <v>0</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0</v>
      </c>
      <c r="D10" s="60">
        <f>'Field data and Waste 1'!D10</f>
        <v>0</v>
      </c>
      <c r="E10" s="60">
        <f>'Field data and Waste 1'!E10</f>
        <v>0</v>
      </c>
      <c r="F10" s="60">
        <f>'Field data and Waste 1'!F10</f>
        <v>7</v>
      </c>
      <c r="G10" s="60">
        <f>'Field data and Waste 1'!G10</f>
        <v>7.6</v>
      </c>
      <c r="H10" s="60">
        <f>'Field data and Waste 1'!H10</f>
        <v>7.3</v>
      </c>
      <c r="I10" s="60">
        <f>'Field data and Waste 1'!I10</f>
        <v>7.5</v>
      </c>
      <c r="J10" s="60">
        <f>'Field data and Waste 1'!J10</f>
        <v>0</v>
      </c>
      <c r="K10" s="60">
        <f>'Field data and Waste 1'!K10</f>
        <v>7.9</v>
      </c>
      <c r="L10" s="60">
        <f>'Field data and Waste 1'!L10</f>
        <v>6.4</v>
      </c>
      <c r="M10" s="60">
        <f>'Field data and Waste 1'!M10</f>
        <v>8.1999999999999993</v>
      </c>
      <c r="N10" s="60">
        <f>'Field data and Waste 1'!N10</f>
        <v>8.1999999999999993</v>
      </c>
      <c r="O10" s="60">
        <f>'Field data and Waste 1'!O10</f>
        <v>7.6</v>
      </c>
      <c r="P10" s="60">
        <f>'Field data and Waste 1'!P10</f>
        <v>7.2</v>
      </c>
      <c r="Q10" s="60">
        <f>'Field data and Waste 1'!Q10</f>
        <v>7.1</v>
      </c>
      <c r="R10" s="60">
        <f>'Field data and Waste 1'!R10</f>
        <v>7.1</v>
      </c>
      <c r="S10" s="60">
        <f>'Field data and Waste 1'!S10</f>
        <v>7</v>
      </c>
      <c r="T10" s="60">
        <f>'Field data and Waste 1'!T10</f>
        <v>7.9</v>
      </c>
      <c r="U10" s="60">
        <f>'Field data and Waste 1'!U10</f>
        <v>8</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2</v>
      </c>
      <c r="M11" s="60">
        <f>'Field data and Waste 1'!M11</f>
        <v>0</v>
      </c>
      <c r="N11" s="60">
        <f>'Field data and Waste 1'!N11</f>
        <v>0</v>
      </c>
      <c r="O11" s="60">
        <f>'Field data and Waste 1'!O11</f>
        <v>1</v>
      </c>
      <c r="P11" s="60">
        <f>'Field data and Waste 1'!P11</f>
        <v>1</v>
      </c>
      <c r="Q11" s="60">
        <f>'Field data and Waste 1'!Q11</f>
        <v>1</v>
      </c>
      <c r="R11" s="60">
        <f>'Field data and Waste 1'!R11</f>
        <v>1</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1</v>
      </c>
      <c r="G12" s="60">
        <f>'Field data and Waste 1'!G12</f>
        <v>1</v>
      </c>
      <c r="H12" s="60">
        <f>'Field data and Waste 1'!H12</f>
        <v>1</v>
      </c>
      <c r="I12" s="60">
        <f>'Field data and Waste 1'!I12</f>
        <v>1</v>
      </c>
      <c r="J12" s="60">
        <f>'Field data and Waste 1'!J12</f>
        <v>0</v>
      </c>
      <c r="K12" s="60">
        <f>'Field data and Waste 1'!K12</f>
        <v>1</v>
      </c>
      <c r="L12" s="60">
        <f>'Field data and Waste 1'!L12</f>
        <v>2</v>
      </c>
      <c r="M12" s="60">
        <f>'Field data and Waste 1'!M12</f>
        <v>1</v>
      </c>
      <c r="N12" s="60">
        <f>'Field data and Waste 1'!N12</f>
        <v>1</v>
      </c>
      <c r="O12" s="60">
        <f>'Field data and Waste 1'!O12</f>
        <v>2</v>
      </c>
      <c r="P12" s="60">
        <f>'Field data and Waste 1'!P12</f>
        <v>1</v>
      </c>
      <c r="Q12" s="60">
        <f>'Field data and Waste 1'!Q12</f>
        <v>1</v>
      </c>
      <c r="R12" s="60">
        <f>'Field data and Waste 1'!R12</f>
        <v>2</v>
      </c>
      <c r="S12" s="60">
        <f>'Field data and Waste 1'!S12</f>
        <v>1</v>
      </c>
      <c r="T12" s="60">
        <f>'Field data and Waste 1'!T12</f>
        <v>1</v>
      </c>
      <c r="U12" s="60">
        <f>'Field data and Waste 1'!U12</f>
        <v>1</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0</v>
      </c>
      <c r="D13" s="60">
        <f>'Field data and Waste 1'!D13</f>
        <v>0</v>
      </c>
      <c r="E13" s="60">
        <f>'Field data and Waste 1'!E13</f>
        <v>0</v>
      </c>
      <c r="F13" s="60">
        <f>'Field data and Waste 1'!F13</f>
        <v>2</v>
      </c>
      <c r="G13" s="60">
        <f>'Field data and Waste 1'!G13</f>
        <v>3</v>
      </c>
      <c r="H13" s="60">
        <f>'Field data and Waste 1'!H13</f>
        <v>2</v>
      </c>
      <c r="I13" s="60">
        <f>'Field data and Waste 1'!I13</f>
        <v>2</v>
      </c>
      <c r="J13" s="60">
        <f>'Field data and Waste 1'!J13</f>
        <v>0</v>
      </c>
      <c r="K13" s="60">
        <f>'Field data and Waste 1'!K13</f>
        <v>3</v>
      </c>
      <c r="L13" s="60">
        <f>'Field data and Waste 1'!L13</f>
        <v>4</v>
      </c>
      <c r="M13" s="60">
        <f>'Field data and Waste 1'!M13</f>
        <v>3</v>
      </c>
      <c r="N13" s="60">
        <f>'Field data and Waste 1'!N13</f>
        <v>4</v>
      </c>
      <c r="O13" s="60">
        <f>'Field data and Waste 1'!O13</f>
        <v>5</v>
      </c>
      <c r="P13" s="60">
        <f>'Field data and Waste 1'!P13</f>
        <v>4</v>
      </c>
      <c r="Q13" s="60">
        <f>'Field data and Waste 1'!Q13</f>
        <v>5</v>
      </c>
      <c r="R13" s="60">
        <f>'Field data and Waste 1'!R13</f>
        <v>6</v>
      </c>
      <c r="S13" s="60">
        <f>'Field data and Waste 1'!S13</f>
        <v>5</v>
      </c>
      <c r="T13" s="60">
        <f>'Field data and Waste 1'!T13</f>
        <v>3</v>
      </c>
      <c r="U13" s="60">
        <f>'Field data and Waste 1'!U13</f>
        <v>3</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f>'Field data and Waste 1'!C14</f>
        <v>0</v>
      </c>
      <c r="D14" s="102">
        <f>'Field data and Waste 1'!D14</f>
        <v>0</v>
      </c>
      <c r="E14" s="102">
        <f>'Field data and Waste 1'!E14</f>
        <v>0</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f>'Field data and Waste 1'!J14</f>
        <v>0</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0</v>
      </c>
      <c r="D15" s="60">
        <f>'Field data and Waste 1'!D15</f>
        <v>0</v>
      </c>
      <c r="E15" s="60">
        <f>'Field data and Waste 1'!E15</f>
        <v>0</v>
      </c>
      <c r="F15" s="60">
        <f>'Field data and Waste 1'!F15</f>
        <v>38</v>
      </c>
      <c r="G15" s="60">
        <f>'Field data and Waste 1'!G15</f>
        <v>38</v>
      </c>
      <c r="H15" s="60">
        <f>'Field data and Waste 1'!H15</f>
        <v>38</v>
      </c>
      <c r="I15" s="60">
        <f>'Field data and Waste 1'!I15</f>
        <v>38</v>
      </c>
      <c r="J15" s="60">
        <f>'Field data and Waste 1'!J15</f>
        <v>0</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t="e">
        <f>(VLOOKUP(C$14,$AI2:$AK26,2,FALSE))*C$15</f>
        <v>#N/A</v>
      </c>
      <c r="D17" s="28" t="e">
        <f t="shared" ref="D17:V17" si="0">(VLOOKUP(D$14,$AI2:$AK26,2,FALSE))*D$15</f>
        <v>#N/A</v>
      </c>
      <c r="E17" s="28" t="e">
        <f t="shared" si="0"/>
        <v>#N/A</v>
      </c>
      <c r="F17" s="28">
        <f t="shared" si="0"/>
        <v>64.599999999999994</v>
      </c>
      <c r="G17" s="28">
        <f t="shared" si="0"/>
        <v>64.599999999999994</v>
      </c>
      <c r="H17" s="28">
        <f t="shared" si="0"/>
        <v>64.599999999999994</v>
      </c>
      <c r="I17" s="28">
        <f t="shared" si="0"/>
        <v>64.599999999999994</v>
      </c>
      <c r="J17" s="28" t="e">
        <f t="shared" si="0"/>
        <v>#N/A</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t="e">
        <f>C18-C17</f>
        <v>#N/A</v>
      </c>
      <c r="D19" s="16" t="e">
        <f t="shared" ref="D19:V19" si="1">D18-D17</f>
        <v>#N/A</v>
      </c>
      <c r="E19" s="16" t="e">
        <f t="shared" si="1"/>
        <v>#N/A</v>
      </c>
      <c r="F19" s="16">
        <f t="shared" si="1"/>
        <v>-64.599999999999994</v>
      </c>
      <c r="G19" s="16">
        <f t="shared" si="1"/>
        <v>-64.599999999999994</v>
      </c>
      <c r="H19" s="16">
        <f t="shared" si="1"/>
        <v>-64.599999999999994</v>
      </c>
      <c r="I19" s="16">
        <f t="shared" si="1"/>
        <v>-64.599999999999994</v>
      </c>
      <c r="J19" s="16" t="e">
        <f t="shared" si="1"/>
        <v>#N/A</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t="e">
        <f>(VLOOKUP(C$14,$AI2:$AK26,3,FALSE))*C$15</f>
        <v>#N/A</v>
      </c>
      <c r="D21" s="28" t="e">
        <f t="shared" ref="D21:V21" si="2">(VLOOKUP(D$14,$AI2:$AK26,3,FALSE))*D$15</f>
        <v>#N/A</v>
      </c>
      <c r="E21" s="28" t="e">
        <f t="shared" si="2"/>
        <v>#N/A</v>
      </c>
      <c r="F21" s="28">
        <f t="shared" si="2"/>
        <v>228</v>
      </c>
      <c r="G21" s="28">
        <f t="shared" si="2"/>
        <v>228</v>
      </c>
      <c r="H21" s="28">
        <f t="shared" si="2"/>
        <v>228</v>
      </c>
      <c r="I21" s="28">
        <f t="shared" si="2"/>
        <v>228</v>
      </c>
      <c r="J21" s="28" t="e">
        <f t="shared" si="2"/>
        <v>#N/A</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t="e">
        <f>C22-C21</f>
        <v>#N/A</v>
      </c>
      <c r="D23" s="16" t="e">
        <f t="shared" ref="D23:V23" si="3">D22-D21</f>
        <v>#N/A</v>
      </c>
      <c r="E23" s="16" t="e">
        <f t="shared" si="3"/>
        <v>#N/A</v>
      </c>
      <c r="F23" s="16">
        <f t="shared" si="3"/>
        <v>-228</v>
      </c>
      <c r="G23" s="16">
        <f t="shared" si="3"/>
        <v>-228</v>
      </c>
      <c r="H23" s="16">
        <f t="shared" si="3"/>
        <v>-228</v>
      </c>
      <c r="I23" s="16">
        <f t="shared" si="3"/>
        <v>-228</v>
      </c>
      <c r="J23" s="16" t="e">
        <f t="shared" si="3"/>
        <v>#N/A</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1294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2225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3210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3732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5867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1808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24</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25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26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27</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33</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34</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35</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t="str">
        <f>T8</f>
        <v>36a</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37</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0</v>
      </c>
      <c r="E57" s="8">
        <f t="shared" si="13"/>
        <v>1294</v>
      </c>
      <c r="F57" s="8">
        <f t="shared" si="13"/>
        <v>2225</v>
      </c>
      <c r="G57" s="8">
        <f t="shared" si="13"/>
        <v>3210</v>
      </c>
      <c r="H57" s="8">
        <f t="shared" si="13"/>
        <v>3732</v>
      </c>
      <c r="I57" s="8">
        <f t="shared" si="13"/>
        <v>0</v>
      </c>
      <c r="J57" s="8">
        <f t="shared" si="13"/>
        <v>5867</v>
      </c>
      <c r="K57" s="8">
        <f t="shared" si="13"/>
        <v>1808</v>
      </c>
      <c r="L57" s="8">
        <f t="shared" si="13"/>
        <v>24</v>
      </c>
      <c r="M57" s="8">
        <f t="shared" si="13"/>
        <v>25</v>
      </c>
      <c r="N57" s="8">
        <f t="shared" si="13"/>
        <v>26</v>
      </c>
      <c r="O57" s="8">
        <f t="shared" si="13"/>
        <v>27</v>
      </c>
      <c r="P57" s="8">
        <f t="shared" si="13"/>
        <v>33</v>
      </c>
      <c r="Q57" s="8">
        <f t="shared" si="13"/>
        <v>34</v>
      </c>
      <c r="R57" s="8">
        <f t="shared" si="13"/>
        <v>35</v>
      </c>
      <c r="S57" s="8" t="str">
        <f t="shared" si="13"/>
        <v>36a</v>
      </c>
      <c r="T57" s="8">
        <f t="shared" si="13"/>
        <v>37</v>
      </c>
      <c r="U57" s="8">
        <f t="shared" si="13"/>
        <v>0</v>
      </c>
    </row>
    <row r="58" spans="1:35" s="19" customFormat="1" ht="13" x14ac:dyDescent="0.35">
      <c r="A58" s="92" t="s">
        <v>136</v>
      </c>
      <c r="B58" s="13" t="e">
        <f>C16&amp;" I "&amp;(VLOOKUP(C14,Table2456[],6,FALSE))</f>
        <v>#N/A</v>
      </c>
      <c r="C58" s="13" t="e">
        <f>D16&amp;" I "&amp;(VLOOKUP(D14,Table2456[],6,FALSE))</f>
        <v>#N/A</v>
      </c>
      <c r="D58" s="13" t="e">
        <f>E16&amp;" I "&amp;(VLOOKUP(E14,Table2456[],6,FALSE))</f>
        <v>#N/A</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e">
        <f>J16&amp;" I "&amp;(VLOOKUP(J14,Table2456[],6,FALSE))</f>
        <v>#N/A</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Grass</v>
      </c>
      <c r="Q58" s="13" t="str">
        <f>R16&amp;" I "&amp;(VLOOKUP(R14,Table2456[],6,FALSE))</f>
        <v>Medium/Clay I Grass</v>
      </c>
      <c r="R58" s="13" t="str">
        <f>S16&amp;" I "&amp;(VLOOKUP(S14,Table2456[],6,FALSE))</f>
        <v>Medium/Clay I Grass</v>
      </c>
      <c r="S58" s="13" t="str">
        <f>T16&amp;" I "&amp;(VLOOKUP(T14,Table2456[],6,FALSE))</f>
        <v>Medium/Clay I Grass</v>
      </c>
      <c r="T58" s="13" t="str">
        <f>U16&amp;" I "&amp;(VLOOKUP(U14,Table2456[],6,FALSE))</f>
        <v>Medium/Clay I Grass</v>
      </c>
      <c r="U58" s="13" t="e">
        <f>V16&amp;" I "&amp;(VLOOKUP(V14,Table2456[],6,FALSE))</f>
        <v>#N/A</v>
      </c>
    </row>
    <row r="59" spans="1:35" s="19" customFormat="1" ht="13" x14ac:dyDescent="0.3">
      <c r="A59" s="111" t="s">
        <v>132</v>
      </c>
      <c r="B59" s="76" t="e">
        <f>VLOOKUP(C$14,Table2456[],5,FALSE)</f>
        <v>#N/A</v>
      </c>
      <c r="C59" s="76" t="e">
        <f>VLOOKUP(D$14,Table2456[],5,FALSE)</f>
        <v>#N/A</v>
      </c>
      <c r="D59" s="76" t="e">
        <f>VLOOKUP(E$14,Table2456[],5,FALSE)</f>
        <v>#N/A</v>
      </c>
      <c r="E59" s="76">
        <f>VLOOKUP(F$14,Table2456[],5,FALSE)</f>
        <v>6.2</v>
      </c>
      <c r="F59" s="76">
        <f>VLOOKUP(G$14,Table2456[],5,FALSE)</f>
        <v>6.2</v>
      </c>
      <c r="G59" s="76">
        <f>VLOOKUP(H$14,Table2456[],5,FALSE)</f>
        <v>6.2</v>
      </c>
      <c r="H59" s="76">
        <f>VLOOKUP(I$14,Table2456[],5,FALSE)</f>
        <v>6.2</v>
      </c>
      <c r="I59" s="76" t="e">
        <f>VLOOKUP(J$14,Table2456[],5,FALSE)</f>
        <v>#N/A</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f>VLOOKUP(Q$14,Table2456[],5,FALSE)</f>
        <v>6.2</v>
      </c>
      <c r="Q59" s="76">
        <f>VLOOKUP(R$14,Table2456[],5,FALSE)</f>
        <v>6.2</v>
      </c>
      <c r="R59" s="76">
        <f>VLOOKUP(S$14,Table2456[],5,FALSE)</f>
        <v>6.2</v>
      </c>
      <c r="S59" s="76">
        <f>VLOOKUP(T$14,Table2456[],5,FALSE)</f>
        <v>6.2</v>
      </c>
      <c r="T59" s="76">
        <f>VLOOKUP(U$14,Table2456[],5,FALSE)</f>
        <v>6.2</v>
      </c>
      <c r="U59" s="76" t="e">
        <f>VLOOKUP(V$14,Table2456[],5,FALSE)</f>
        <v>#N/A</v>
      </c>
    </row>
    <row r="60" spans="1:35" s="19" customFormat="1" ht="13" x14ac:dyDescent="0.3">
      <c r="A60" s="111" t="s">
        <v>4</v>
      </c>
      <c r="B60" s="76">
        <f>C10</f>
        <v>0</v>
      </c>
      <c r="C60" s="76">
        <f t="shared" ref="C60:U60" si="14">D10</f>
        <v>0</v>
      </c>
      <c r="D60" s="76">
        <f t="shared" si="14"/>
        <v>0</v>
      </c>
      <c r="E60" s="76">
        <f t="shared" si="14"/>
        <v>7</v>
      </c>
      <c r="F60" s="76">
        <f t="shared" si="14"/>
        <v>7.6</v>
      </c>
      <c r="G60" s="76">
        <f t="shared" si="14"/>
        <v>7.3</v>
      </c>
      <c r="H60" s="76">
        <f t="shared" si="14"/>
        <v>7.5</v>
      </c>
      <c r="I60" s="76">
        <f t="shared" si="14"/>
        <v>0</v>
      </c>
      <c r="J60" s="76">
        <f t="shared" si="14"/>
        <v>7.9</v>
      </c>
      <c r="K60" s="76">
        <f t="shared" si="14"/>
        <v>6.4</v>
      </c>
      <c r="L60" s="76">
        <f t="shared" si="14"/>
        <v>8.1999999999999993</v>
      </c>
      <c r="M60" s="76">
        <f t="shared" si="14"/>
        <v>8.1999999999999993</v>
      </c>
      <c r="N60" s="76">
        <f t="shared" si="14"/>
        <v>7.6</v>
      </c>
      <c r="O60" s="76">
        <f t="shared" si="14"/>
        <v>7.2</v>
      </c>
      <c r="P60" s="76">
        <f t="shared" si="14"/>
        <v>7.1</v>
      </c>
      <c r="Q60" s="76">
        <f t="shared" si="14"/>
        <v>7.1</v>
      </c>
      <c r="R60" s="76">
        <f t="shared" si="14"/>
        <v>7</v>
      </c>
      <c r="S60" s="76">
        <f t="shared" si="14"/>
        <v>7.9</v>
      </c>
      <c r="T60" s="76">
        <f t="shared" si="14"/>
        <v>8</v>
      </c>
      <c r="U60" s="76">
        <f t="shared" si="14"/>
        <v>0</v>
      </c>
    </row>
    <row r="61" spans="1:35" s="19" customFormat="1" ht="13" x14ac:dyDescent="0.3">
      <c r="A61" s="111" t="s">
        <v>133</v>
      </c>
      <c r="B61" s="76" t="e">
        <f t="shared" ref="B61:U61" si="15">VLOOKUP(B58,$AD9:$AE18,2,FALSE)</f>
        <v>#N/A</v>
      </c>
      <c r="C61" s="76" t="e">
        <f t="shared" si="15"/>
        <v>#N/A</v>
      </c>
      <c r="D61" s="76" t="e">
        <f t="shared" si="15"/>
        <v>#N/A</v>
      </c>
      <c r="E61" s="76">
        <f t="shared" si="15"/>
        <v>6</v>
      </c>
      <c r="F61" s="76">
        <f t="shared" si="15"/>
        <v>6</v>
      </c>
      <c r="G61" s="76">
        <f t="shared" si="15"/>
        <v>6</v>
      </c>
      <c r="H61" s="76">
        <f t="shared" si="15"/>
        <v>6</v>
      </c>
      <c r="I61" s="76" t="e">
        <f t="shared" si="15"/>
        <v>#N/A</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f t="shared" si="17"/>
        <v>-4.7999999999999989</v>
      </c>
      <c r="F64" s="77">
        <f t="shared" si="17"/>
        <v>-8.3999999999999968</v>
      </c>
      <c r="G64" s="77">
        <f t="shared" si="17"/>
        <v>-6.5999999999999979</v>
      </c>
      <c r="H64" s="77">
        <f t="shared" si="17"/>
        <v>-7.7999999999999989</v>
      </c>
      <c r="I64" s="77" t="e">
        <f t="shared" si="17"/>
        <v>#N/A</v>
      </c>
      <c r="J64" s="77">
        <f t="shared" si="17"/>
        <v>-10.200000000000001</v>
      </c>
      <c r="K64" s="77">
        <f t="shared" si="17"/>
        <v>-1.2000000000000011</v>
      </c>
      <c r="L64" s="77">
        <f t="shared" si="17"/>
        <v>-11.999999999999995</v>
      </c>
      <c r="M64" s="77">
        <f t="shared" si="17"/>
        <v>-11.999999999999995</v>
      </c>
      <c r="N64" s="77">
        <f t="shared" si="17"/>
        <v>-8.3999999999999968</v>
      </c>
      <c r="O64" s="77">
        <f t="shared" si="17"/>
        <v>-6</v>
      </c>
      <c r="P64" s="77">
        <f t="shared" si="17"/>
        <v>-5.3999999999999968</v>
      </c>
      <c r="Q64" s="77">
        <f t="shared" si="17"/>
        <v>-5.3999999999999968</v>
      </c>
      <c r="R64" s="77">
        <f t="shared" si="17"/>
        <v>-4.7999999999999989</v>
      </c>
      <c r="S64" s="77">
        <f t="shared" si="17"/>
        <v>-10.200000000000001</v>
      </c>
      <c r="T64" s="77">
        <f t="shared" si="17"/>
        <v>-10.799999999999999</v>
      </c>
      <c r="U64" s="77" t="e">
        <f t="shared" si="17"/>
        <v>#N/A</v>
      </c>
    </row>
    <row r="65" spans="1:21" s="19" customFormat="1" ht="52" x14ac:dyDescent="0.3">
      <c r="A65" s="112" t="s">
        <v>157</v>
      </c>
      <c r="B65" s="77" t="e">
        <f>B63-B64</f>
        <v>#N/A</v>
      </c>
      <c r="C65" s="77" t="e">
        <f t="shared" ref="C65:U65" si="18">C63-C64</f>
        <v>#N/A</v>
      </c>
      <c r="D65" s="77" t="e">
        <f t="shared" si="18"/>
        <v>#N/A</v>
      </c>
      <c r="E65" s="77">
        <f t="shared" si="18"/>
        <v>4.7999999999999989</v>
      </c>
      <c r="F65" s="77">
        <f t="shared" si="18"/>
        <v>8.3999999999999968</v>
      </c>
      <c r="G65" s="77">
        <f t="shared" si="18"/>
        <v>6.5999999999999979</v>
      </c>
      <c r="H65" s="77">
        <f t="shared" si="18"/>
        <v>7.7999999999999989</v>
      </c>
      <c r="I65" s="77" t="e">
        <f t="shared" si="18"/>
        <v>#N/A</v>
      </c>
      <c r="J65" s="77">
        <f t="shared" si="18"/>
        <v>10.200000000000001</v>
      </c>
      <c r="K65" s="77">
        <f t="shared" si="18"/>
        <v>1.2000000000000011</v>
      </c>
      <c r="L65" s="77">
        <f t="shared" si="18"/>
        <v>11.999999999999995</v>
      </c>
      <c r="M65" s="77">
        <f t="shared" si="18"/>
        <v>11.999999999999995</v>
      </c>
      <c r="N65" s="77">
        <f t="shared" si="18"/>
        <v>8.3999999999999968</v>
      </c>
      <c r="O65" s="77">
        <f t="shared" si="18"/>
        <v>6</v>
      </c>
      <c r="P65" s="77">
        <f t="shared" si="18"/>
        <v>5.3999999999999968</v>
      </c>
      <c r="Q65" s="77">
        <f t="shared" si="18"/>
        <v>5.3999999999999968</v>
      </c>
      <c r="R65" s="77">
        <f t="shared" si="18"/>
        <v>4.7999999999999989</v>
      </c>
      <c r="S65" s="77">
        <f t="shared" si="18"/>
        <v>10.200000000000001</v>
      </c>
      <c r="T65" s="77">
        <f t="shared" si="18"/>
        <v>10.799999999999999</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str">
        <f t="shared" si="19"/>
        <v>OVER</v>
      </c>
      <c r="F66" s="78" t="str">
        <f t="shared" si="19"/>
        <v>OVER</v>
      </c>
      <c r="G66" s="78" t="str">
        <f t="shared" si="19"/>
        <v>OVER</v>
      </c>
      <c r="H66" s="78" t="str">
        <f t="shared" si="19"/>
        <v>OVER</v>
      </c>
      <c r="I66" s="78" t="e">
        <f t="shared" si="19"/>
        <v>#N/A</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0</v>
      </c>
      <c r="C3" s="33">
        <f>'Field data and Waste 1'!C31</f>
        <v>0</v>
      </c>
      <c r="D3" s="33">
        <f>'Field data and Waste 1'!D31</f>
        <v>0</v>
      </c>
      <c r="E3" s="33">
        <f>'Field data and Waste 1'!E31</f>
        <v>0</v>
      </c>
      <c r="F3" s="33">
        <f>'Field data and Waste 1'!F31</f>
        <v>0</v>
      </c>
      <c r="G3" s="33">
        <f>'Field data and Waste 1'!G31</f>
        <v>0</v>
      </c>
      <c r="H3" s="33">
        <f>'Field data and Waste 1'!H31</f>
        <v>0</v>
      </c>
      <c r="I3" s="33">
        <f>'Field data and Waste 1'!I31</f>
        <v>0</v>
      </c>
      <c r="J3" s="33">
        <f>'Field data and Waste 1'!J31</f>
        <v>0</v>
      </c>
      <c r="K3" s="33">
        <f>'Field data and Waste 1'!K31</f>
        <v>0</v>
      </c>
      <c r="L3" s="33">
        <f>'Field data and Waste 1'!L31</f>
        <v>0</v>
      </c>
      <c r="M3" s="33">
        <f>'Field data and Waste 1'!M31</f>
        <v>0</v>
      </c>
      <c r="N3" s="33">
        <f>'Field data and Waste 1'!N31</f>
        <v>0</v>
      </c>
      <c r="O3" s="33">
        <f>'Field data and Waste 1'!O31</f>
        <v>0</v>
      </c>
      <c r="P3" s="33">
        <f>'Field data and Waste 1'!P31</f>
        <v>0</v>
      </c>
      <c r="Q3" s="33">
        <f>'Field data and Waste 1'!Q31</f>
        <v>0</v>
      </c>
      <c r="R3" s="33">
        <f>'Field data and Waste 1'!R31</f>
        <v>0</v>
      </c>
      <c r="S3" s="33">
        <f>'Field data and Waste 1'!S31</f>
        <v>0</v>
      </c>
      <c r="T3" s="33">
        <f>'Field data and Waste 1'!T31</f>
        <v>0</v>
      </c>
      <c r="U3" s="33">
        <f>'Field data and Waste 1'!U31</f>
        <v>0</v>
      </c>
    </row>
    <row r="4" spans="1:21" x14ac:dyDescent="0.25">
      <c r="A4" s="36">
        <v>2</v>
      </c>
      <c r="B4" s="33">
        <f>'Waste 2'!B31</f>
        <v>250</v>
      </c>
      <c r="C4" s="33">
        <f>'Waste 2'!C31</f>
        <v>63.424999999999997</v>
      </c>
      <c r="D4" s="33">
        <f>'Waste 2'!D31</f>
        <v>18.471187499999999</v>
      </c>
      <c r="E4" s="33">
        <f>'Waste 2'!E31</f>
        <v>4.2164456250000004</v>
      </c>
      <c r="F4" s="33">
        <f>'Waste 2'!F31</f>
        <v>10.337629999999999</v>
      </c>
      <c r="G4" s="33">
        <f>'Waste 2'!G31</f>
        <v>0.28863749999999999</v>
      </c>
      <c r="H4" s="33">
        <f>'Waste 2'!H31</f>
        <v>1.849</v>
      </c>
      <c r="I4" s="33">
        <f>'Waste 2'!I31</f>
        <v>9.1374999999999998E-2</v>
      </c>
      <c r="J4" s="33">
        <f>'Waste 2'!J31</f>
        <v>7.0412500000000006E-3</v>
      </c>
      <c r="K4" s="33">
        <f>'Waste 2'!K31</f>
        <v>5.0524999999999997E-3</v>
      </c>
      <c r="L4" s="33">
        <f>'Waste 2'!L31</f>
        <v>9.1374999999999998E-2</v>
      </c>
      <c r="M4" s="33">
        <f>'Waste 2'!M31</f>
        <v>3.9667500000000001E-2</v>
      </c>
      <c r="N4" s="33">
        <f>'Waste 2'!N31</f>
        <v>983.625</v>
      </c>
      <c r="O4" s="33">
        <f>'Waste 2'!O31</f>
        <v>122.55</v>
      </c>
      <c r="P4" s="33">
        <f>'Waste 2'!P31</f>
        <v>0</v>
      </c>
      <c r="Q4" s="33">
        <f>'Waste 2'!Q31</f>
        <v>80.893749999999983</v>
      </c>
      <c r="R4" s="33">
        <f>'Waste 2'!R31</f>
        <v>0</v>
      </c>
      <c r="S4" s="33">
        <f>'Waste 2'!S31</f>
        <v>0.22789999999999999</v>
      </c>
      <c r="T4" s="33">
        <f>'Waste 2'!T31</f>
        <v>0</v>
      </c>
      <c r="U4" s="33">
        <f>'Waste 2'!U31</f>
        <v>0</v>
      </c>
    </row>
    <row r="5" spans="1:21" x14ac:dyDescent="0.25">
      <c r="A5" s="36">
        <v>3</v>
      </c>
      <c r="B5" s="33">
        <f>'Waste 3'!B31</f>
        <v>50</v>
      </c>
      <c r="C5" s="33">
        <f>'Waste 3'!C31</f>
        <v>240</v>
      </c>
      <c r="D5" s="33">
        <f>'Waste 3'!D31</f>
        <v>59.107799999999997</v>
      </c>
      <c r="E5" s="33">
        <f>'Waste 3'!E31</f>
        <v>121.10250000000002</v>
      </c>
      <c r="F5" s="33">
        <f>'Waste 3'!F31</f>
        <v>8.4558</v>
      </c>
      <c r="G5" s="33">
        <f>'Waste 3'!G31</f>
        <v>5.1000000000000004E-2</v>
      </c>
      <c r="H5" s="33">
        <f>'Waste 3'!H31</f>
        <v>0.34350000000000003</v>
      </c>
      <c r="I5" s="33">
        <f>'Waste 3'!I31</f>
        <v>2.5000000000000001E-2</v>
      </c>
      <c r="J5" s="33">
        <f>'Waste 3'!J31</f>
        <v>1E-3</v>
      </c>
      <c r="K5" s="33">
        <f>'Waste 3'!K31</f>
        <v>2.5000000000000001E-3</v>
      </c>
      <c r="L5" s="33">
        <f>'Waste 3'!L31</f>
        <v>1.4999999999999999E-2</v>
      </c>
      <c r="M5" s="33">
        <f>'Waste 3'!M31</f>
        <v>1.7499999999999998E-2</v>
      </c>
      <c r="N5" s="33">
        <f>'Waste 3'!N31</f>
        <v>0</v>
      </c>
      <c r="O5" s="33">
        <f>'Waste 3'!O31</f>
        <v>0</v>
      </c>
      <c r="P5" s="33">
        <f>'Waste 3'!P31</f>
        <v>0</v>
      </c>
      <c r="Q5" s="33">
        <f>'Waste 3'!Q31</f>
        <v>53.125</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300</v>
      </c>
      <c r="C13" s="81">
        <f t="shared" ref="C13:U13" si="0">SUM(C3:C12)</f>
        <v>303.42500000000001</v>
      </c>
      <c r="D13" s="81">
        <f t="shared" si="0"/>
        <v>77.578987499999997</v>
      </c>
      <c r="E13" s="81">
        <f t="shared" si="0"/>
        <v>125.31894562500003</v>
      </c>
      <c r="F13" s="81">
        <f t="shared" si="0"/>
        <v>18.793430000000001</v>
      </c>
      <c r="G13" s="81">
        <f t="shared" si="0"/>
        <v>0.33963749999999998</v>
      </c>
      <c r="H13" s="81">
        <f t="shared" si="0"/>
        <v>2.1924999999999999</v>
      </c>
      <c r="I13" s="81">
        <f t="shared" si="0"/>
        <v>0.11637500000000001</v>
      </c>
      <c r="J13" s="81">
        <f t="shared" si="0"/>
        <v>8.0412499999999998E-3</v>
      </c>
      <c r="K13" s="81">
        <f t="shared" si="0"/>
        <v>7.5525000000000002E-3</v>
      </c>
      <c r="L13" s="81">
        <f t="shared" si="0"/>
        <v>0.106375</v>
      </c>
      <c r="M13" s="81">
        <f t="shared" si="0"/>
        <v>5.7167499999999996E-2</v>
      </c>
      <c r="N13" s="81">
        <f t="shared" si="0"/>
        <v>983.625</v>
      </c>
      <c r="O13" s="81">
        <f t="shared" si="0"/>
        <v>122.55</v>
      </c>
      <c r="P13" s="81">
        <f t="shared" si="0"/>
        <v>0</v>
      </c>
      <c r="Q13" s="81">
        <f t="shared" si="0"/>
        <v>134.01874999999998</v>
      </c>
      <c r="R13" s="81">
        <f t="shared" si="0"/>
        <v>0</v>
      </c>
      <c r="S13" s="81">
        <f t="shared" si="0"/>
        <v>0.22789999999999999</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0</v>
      </c>
      <c r="D3" s="33">
        <f>'Field data and Waste 1'!C31</f>
        <v>0</v>
      </c>
      <c r="E3" s="33">
        <f>'Field data and Waste 1'!D31</f>
        <v>0</v>
      </c>
      <c r="F3" s="33">
        <f>'Field data and Waste 1'!E31</f>
        <v>0</v>
      </c>
      <c r="G3" s="33">
        <f>'Field data and Waste 1'!F31</f>
        <v>0</v>
      </c>
      <c r="H3" s="33">
        <f>'Field data and Waste 1'!G31</f>
        <v>0</v>
      </c>
      <c r="I3" s="33">
        <f>'Field data and Waste 1'!H31</f>
        <v>0</v>
      </c>
      <c r="J3" s="33">
        <f>'Field data and Waste 1'!I31</f>
        <v>0</v>
      </c>
      <c r="K3" s="33">
        <f>'Field data and Waste 1'!J31</f>
        <v>0</v>
      </c>
      <c r="L3" s="33">
        <f>'Field data and Waste 1'!K31</f>
        <v>0</v>
      </c>
      <c r="M3" s="33">
        <f>'Field data and Waste 1'!L31</f>
        <v>0</v>
      </c>
      <c r="N3" s="33">
        <f>'Field data and Waste 1'!M31</f>
        <v>0</v>
      </c>
      <c r="O3" s="33">
        <f>'Field data and Waste 1'!N31</f>
        <v>0</v>
      </c>
      <c r="P3" s="33">
        <f>'Field data and Waste 1'!O31</f>
        <v>0</v>
      </c>
      <c r="Q3" s="33">
        <f>'Field data and Waste 1'!P31</f>
        <v>0</v>
      </c>
      <c r="R3" s="33">
        <f>'Field data and Waste 1'!Q31</f>
        <v>0</v>
      </c>
      <c r="S3" s="33">
        <f>'Field data and Waste 1'!R31</f>
        <v>0</v>
      </c>
      <c r="T3" s="33">
        <f>'Field data and Waste 1'!S31</f>
        <v>0</v>
      </c>
      <c r="U3" s="33">
        <f>'Field data and Waste 1'!T31</f>
        <v>0</v>
      </c>
      <c r="V3" s="33">
        <f>'Field data and Waste 1'!U31</f>
        <v>0</v>
      </c>
    </row>
    <row r="4" spans="1:22" x14ac:dyDescent="0.25">
      <c r="A4" s="36">
        <v>2</v>
      </c>
      <c r="B4" s="91"/>
      <c r="C4" s="33">
        <f>'Waste 2'!B31</f>
        <v>250</v>
      </c>
      <c r="D4" s="33">
        <f>'Waste 2'!C31</f>
        <v>63.424999999999997</v>
      </c>
      <c r="E4" s="33">
        <f>'Waste 2'!D31</f>
        <v>18.471187499999999</v>
      </c>
      <c r="F4" s="33">
        <f>'Waste 2'!E31</f>
        <v>4.2164456250000004</v>
      </c>
      <c r="G4" s="33">
        <f>'Waste 2'!F31</f>
        <v>10.337629999999999</v>
      </c>
      <c r="H4" s="33">
        <f>'Waste 2'!G31</f>
        <v>0.28863749999999999</v>
      </c>
      <c r="I4" s="33">
        <f>'Waste 2'!H31</f>
        <v>1.849</v>
      </c>
      <c r="J4" s="33">
        <f>'Waste 2'!I31</f>
        <v>9.1374999999999998E-2</v>
      </c>
      <c r="K4" s="33">
        <f>'Waste 2'!J31</f>
        <v>7.0412500000000006E-3</v>
      </c>
      <c r="L4" s="33">
        <f>'Waste 2'!K31</f>
        <v>5.0524999999999997E-3</v>
      </c>
      <c r="M4" s="33">
        <f>'Waste 2'!L31</f>
        <v>9.1374999999999998E-2</v>
      </c>
      <c r="N4" s="33">
        <f>'Waste 2'!M31</f>
        <v>3.9667500000000001E-2</v>
      </c>
      <c r="O4" s="33">
        <f>'Waste 2'!N31</f>
        <v>983.625</v>
      </c>
      <c r="P4" s="33">
        <f>'Waste 2'!O31</f>
        <v>122.55</v>
      </c>
      <c r="Q4" s="33">
        <f>'Waste 2'!P31</f>
        <v>0</v>
      </c>
      <c r="R4" s="33">
        <f>'Waste 2'!Q31</f>
        <v>80.893749999999983</v>
      </c>
      <c r="S4" s="33">
        <f>'Waste 2'!R31</f>
        <v>0</v>
      </c>
      <c r="T4" s="33">
        <f>'Waste 2'!S31</f>
        <v>0.22789999999999999</v>
      </c>
      <c r="U4" s="33">
        <f>'Waste 2'!T31</f>
        <v>0</v>
      </c>
      <c r="V4" s="33">
        <f>'Waste 2'!U31</f>
        <v>0</v>
      </c>
    </row>
    <row r="5" spans="1:22" x14ac:dyDescent="0.25">
      <c r="A5" s="36">
        <v>3</v>
      </c>
      <c r="B5" s="91"/>
      <c r="C5" s="33">
        <f>'Waste 3'!B31</f>
        <v>50</v>
      </c>
      <c r="D5" s="33">
        <f>'Waste 3'!C31</f>
        <v>240</v>
      </c>
      <c r="E5" s="33">
        <f>'Waste 3'!D31</f>
        <v>59.107799999999997</v>
      </c>
      <c r="F5" s="33">
        <f>'Waste 3'!E31</f>
        <v>121.10250000000002</v>
      </c>
      <c r="G5" s="33">
        <f>'Waste 3'!F31</f>
        <v>8.4558</v>
      </c>
      <c r="H5" s="33">
        <f>'Waste 3'!G31</f>
        <v>5.1000000000000004E-2</v>
      </c>
      <c r="I5" s="33">
        <f>'Waste 3'!H31</f>
        <v>0.34350000000000003</v>
      </c>
      <c r="J5" s="33">
        <f>'Waste 3'!I31</f>
        <v>2.5000000000000001E-2</v>
      </c>
      <c r="K5" s="33">
        <f>'Waste 3'!J31</f>
        <v>1E-3</v>
      </c>
      <c r="L5" s="33">
        <f>'Waste 3'!K31</f>
        <v>2.5000000000000001E-3</v>
      </c>
      <c r="M5" s="33">
        <f>'Waste 3'!L31</f>
        <v>1.4999999999999999E-2</v>
      </c>
      <c r="N5" s="33">
        <f>'Waste 3'!M31</f>
        <v>1.7499999999999998E-2</v>
      </c>
      <c r="O5" s="33">
        <f>'Waste 3'!N31</f>
        <v>0</v>
      </c>
      <c r="P5" s="33">
        <f>'Waste 3'!O31</f>
        <v>0</v>
      </c>
      <c r="Q5" s="33">
        <f>'Waste 3'!P31</f>
        <v>0</v>
      </c>
      <c r="R5" s="33">
        <f>'Waste 3'!Q31</f>
        <v>53.125</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30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30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4ee76fff9175bfda7ea6d8982dc5953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80ada285a4ebd4549c0eb9b1f7bfe2a6"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REGU-415-1629918</_dlc_DocId>
    <_dlc_DocIdUrl xmlns="9be56660-2c31-41ef-bc00-23e72f632f2a">
      <Url>https://cyfoethnaturiolcymru.sharepoint.com/teams/Regulatory/Permitting/_layouts/15/DocIdRedir.aspx?ID=REGU-415-1629918</Url>
      <Description>REGU-415-1629918</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2022-08-01T23:00:00+00:00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6F0807-0E3D-4A7B-980E-F71803B4FAAF}"/>
</file>

<file path=customXml/itemProps2.xml><?xml version="1.0" encoding="utf-8"?>
<ds:datastoreItem xmlns:ds="http://schemas.openxmlformats.org/officeDocument/2006/customXml" ds:itemID="{3C30BB90-C31B-4A01-A06B-09466B871AFC}"/>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2022-08-02T13:46:59Z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f027070c-31af-41e2-94f9-f47448d7c2ec</vt:lpwstr>
  </property>
  <property fmtid="{D5CDD505-2E9C-101B-9397-08002B2CF9AE}" pid="4" name="Order">
    <vt:r8>162991800</vt:r8>
  </property>
</Properties>
</file>