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18528 dep/"/>
    </mc:Choice>
  </mc:AlternateContent>
  <xr:revisionPtr revIDLastSave="0" documentId="13_ncr:1_{1E91B0BC-D6C0-41EF-8FD5-EA78C597F9FA}" xr6:coauthVersionLast="47" xr6:coauthVersionMax="47" xr10:uidLastSave="{00000000-0000-0000-0000-000000000000}"/>
  <bookViews>
    <workbookView xWindow="-120" yWindow="-120" windowWidth="29040" windowHeight="15840" tabRatio="870" xr2:uid="{00000000-000D-0000-FFFF-FFFF00000000}"/>
  </bookViews>
  <sheets>
    <sheet name="Secanim" sheetId="1" r:id="rId1"/>
    <sheet name="Croda Goole" sheetId="21" r:id="rId2"/>
    <sheet name="Croda Widnes" sheetId="27" r:id="rId3"/>
    <sheet name="Maelor" sheetId="28" r:id="rId4"/>
    <sheet name="Encirc" sheetId="30" r:id="rId5"/>
    <sheet name="Beechdean Ice Cream" sheetId="26" r:id="rId6"/>
    <sheet name="PENDERYN" sheetId="24" r:id="rId7"/>
    <sheet name="Kelloggs" sheetId="29" r:id="rId8"/>
    <sheet name="Rowan Foods"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U65" i="1" l="1"/>
  <c r="U65" i="21"/>
  <c r="U65" i="27"/>
  <c r="U65" i="28"/>
  <c r="U65" i="30"/>
  <c r="U65" i="26"/>
  <c r="U65" i="24"/>
  <c r="U65" i="29"/>
  <c r="U65" i="23"/>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0" i="30"/>
  <c r="U20" i="30"/>
  <c r="Q18" i="30"/>
  <c r="J18" i="30"/>
  <c r="I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R22" i="29"/>
  <c r="V20" i="29"/>
  <c r="U20" i="29"/>
  <c r="V18" i="29"/>
  <c r="U18" i="29"/>
  <c r="L18" i="29"/>
  <c r="I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M22" i="28"/>
  <c r="V20" i="28"/>
  <c r="U20" i="28"/>
  <c r="V18" i="28"/>
  <c r="U18" i="28"/>
  <c r="P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I22" i="27"/>
  <c r="V20" i="27"/>
  <c r="U20" i="27"/>
  <c r="U18" i="27"/>
  <c r="T18" i="27"/>
  <c r="O18" i="27"/>
  <c r="L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I22" i="26"/>
  <c r="V20" i="26"/>
  <c r="U20" i="26"/>
  <c r="T18" i="26"/>
  <c r="S18" i="26"/>
  <c r="L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V20" i="24"/>
  <c r="U20" i="24"/>
  <c r="V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Q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0" i="26" s="1"/>
  <c r="F21" i="26"/>
  <c r="F23" i="26" s="1"/>
  <c r="F24" i="26" s="1"/>
  <c r="M59" i="26"/>
  <c r="N17" i="26"/>
  <c r="N19" i="26" s="1"/>
  <c r="N20" i="26" s="1"/>
  <c r="N21" i="26"/>
  <c r="N23" i="26" s="1"/>
  <c r="N24" i="26" s="1"/>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19" i="28" s="1"/>
  <c r="M20" i="28" s="1"/>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24" i="23" s="1"/>
  <c r="O17" i="23"/>
  <c r="O19" i="23" s="1"/>
  <c r="O20" i="23" s="1"/>
  <c r="Q9" i="20"/>
  <c r="R9" i="19"/>
  <c r="R23" i="19" s="1"/>
  <c r="F5" i="20"/>
  <c r="G5" i="19"/>
  <c r="G19" i="19" s="1"/>
  <c r="N5" i="20"/>
  <c r="O5" i="19"/>
  <c r="O19" i="19" s="1"/>
  <c r="Q4" i="20"/>
  <c r="R4" i="19"/>
  <c r="R18" i="19" s="1"/>
  <c r="Q59" i="21"/>
  <c r="R21" i="21"/>
  <c r="R23" i="21" s="1"/>
  <c r="R24" i="21" s="1"/>
  <c r="R17" i="21"/>
  <c r="K59" i="22"/>
  <c r="L21" i="22"/>
  <c r="L23" i="22" s="1"/>
  <c r="L17" i="22"/>
  <c r="G12" i="20"/>
  <c r="H12" i="19"/>
  <c r="H26" i="19" s="1"/>
  <c r="J4" i="20"/>
  <c r="K4" i="19"/>
  <c r="K18" i="19" s="1"/>
  <c r="U63" i="21"/>
  <c r="N63" i="21"/>
  <c r="F63" i="21"/>
  <c r="P59" i="21"/>
  <c r="Q21" i="21"/>
  <c r="Q23" i="21" s="1"/>
  <c r="Q24" i="21" s="1"/>
  <c r="Q17" i="21"/>
  <c r="I17" i="21"/>
  <c r="I19" i="21" s="1"/>
  <c r="I20" i="21" s="1"/>
  <c r="I21" i="21"/>
  <c r="I23" i="21" s="1"/>
  <c r="I24" i="21" s="1"/>
  <c r="D59" i="22"/>
  <c r="E21" i="22"/>
  <c r="E17" i="22"/>
  <c r="E19" i="22" s="1"/>
  <c r="L59" i="22"/>
  <c r="M21" i="22"/>
  <c r="M23" i="22" s="1"/>
  <c r="M17" i="22"/>
  <c r="M19" i="22" s="1"/>
  <c r="T59" i="22"/>
  <c r="U21" i="22"/>
  <c r="U23" i="22" s="1"/>
  <c r="U17" i="22"/>
  <c r="U19" i="22" s="1"/>
  <c r="D59" i="27"/>
  <c r="E17" i="27"/>
  <c r="E19" i="27" s="1"/>
  <c r="E20" i="27" s="1"/>
  <c r="L59" i="27"/>
  <c r="M17" i="27"/>
  <c r="M19" i="27" s="1"/>
  <c r="M20" i="27" s="1"/>
  <c r="T59" i="27"/>
  <c r="U17" i="27"/>
  <c r="U19" i="27" s="1"/>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R19" i="24" s="1"/>
  <c r="R20" i="24" s="1"/>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S19" i="21" s="1"/>
  <c r="S20" i="21" s="1"/>
  <c r="J59" i="21"/>
  <c r="K21" i="21"/>
  <c r="K23" i="21" s="1"/>
  <c r="K24" i="21" s="1"/>
  <c r="K17" i="21"/>
  <c r="J59" i="22"/>
  <c r="K17" i="22"/>
  <c r="K21" i="22"/>
  <c r="R59" i="22"/>
  <c r="S17" i="22"/>
  <c r="S19" i="22" s="1"/>
  <c r="S21" i="22"/>
  <c r="S23" i="22" s="1"/>
  <c r="D59" i="23"/>
  <c r="E17" i="23"/>
  <c r="E19" i="23" s="1"/>
  <c r="E20" i="23" s="1"/>
  <c r="E21" i="23"/>
  <c r="L59" i="23"/>
  <c r="M17" i="23"/>
  <c r="M19" i="23" s="1"/>
  <c r="M20" i="23" s="1"/>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S20" i="27" s="1"/>
  <c r="J59" i="28"/>
  <c r="K17" i="28"/>
  <c r="K21" i="28"/>
  <c r="K23" i="28" s="1"/>
  <c r="K24" i="28" s="1"/>
  <c r="R59" i="28"/>
  <c r="S17" i="28"/>
  <c r="S21" i="28"/>
  <c r="S23" i="28" s="1"/>
  <c r="S24" i="28" s="1"/>
  <c r="I59" i="29"/>
  <c r="J17" i="29"/>
  <c r="J21" i="29"/>
  <c r="Q59" i="29"/>
  <c r="R21" i="29"/>
  <c r="R23" i="29" s="1"/>
  <c r="R24" i="29" s="1"/>
  <c r="R17" i="29"/>
  <c r="H59" i="30"/>
  <c r="H64" i="30" s="1"/>
  <c r="I17" i="30"/>
  <c r="I19" i="30" s="1"/>
  <c r="I20" i="30" s="1"/>
  <c r="I21" i="30"/>
  <c r="Q17" i="30"/>
  <c r="Q19" i="30" s="1"/>
  <c r="Q20" i="30" s="1"/>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17" i="23"/>
  <c r="N19" i="23" s="1"/>
  <c r="N20" i="23" s="1"/>
  <c r="U59" i="23"/>
  <c r="V21" i="23"/>
  <c r="V23" i="23" s="1"/>
  <c r="V24" i="23" s="1"/>
  <c r="V17" i="23"/>
  <c r="I17" i="24"/>
  <c r="I19" i="24" s="1"/>
  <c r="I20" i="24" s="1"/>
  <c r="I21" i="24"/>
  <c r="Q17" i="24"/>
  <c r="Q19" i="24" s="1"/>
  <c r="Q20"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T20" i="27" s="1"/>
  <c r="C59" i="28"/>
  <c r="D21" i="28"/>
  <c r="D23" i="28" s="1"/>
  <c r="D24" i="28" s="1"/>
  <c r="D17" i="28"/>
  <c r="K59" i="28"/>
  <c r="L21" i="28"/>
  <c r="L17" i="28"/>
  <c r="S59" i="28"/>
  <c r="T21" i="28"/>
  <c r="T23" i="28" s="1"/>
  <c r="T24" i="28" s="1"/>
  <c r="T17" i="28"/>
  <c r="T19" i="28" s="1"/>
  <c r="T20" i="28" s="1"/>
  <c r="J59" i="29"/>
  <c r="K17" i="29"/>
  <c r="K21" i="29"/>
  <c r="K23" i="29" s="1"/>
  <c r="K24" i="29" s="1"/>
  <c r="R59" i="29"/>
  <c r="S21" i="29"/>
  <c r="S17" i="29"/>
  <c r="I59" i="30"/>
  <c r="J21" i="30"/>
  <c r="J23" i="30" s="1"/>
  <c r="J24" i="30" s="1"/>
  <c r="J17" i="30"/>
  <c r="J19" i="30" s="1"/>
  <c r="J20" i="30" s="1"/>
  <c r="Q59" i="30"/>
  <c r="R21" i="30"/>
  <c r="R23" i="30" s="1"/>
  <c r="R24" i="30" s="1"/>
  <c r="R17" i="30"/>
  <c r="R19" i="30" s="1"/>
  <c r="R20" i="30"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24" i="23" s="1"/>
  <c r="H17" i="23"/>
  <c r="H19" i="23" s="1"/>
  <c r="H20" i="23" s="1"/>
  <c r="P17" i="23"/>
  <c r="P19" i="23" s="1"/>
  <c r="P20" i="23" s="1"/>
  <c r="P21" i="23"/>
  <c r="J59" i="24"/>
  <c r="K21" i="24"/>
  <c r="K23" i="24" s="1"/>
  <c r="K24" i="24" s="1"/>
  <c r="K17" i="24"/>
  <c r="K19" i="24" s="1"/>
  <c r="K20" i="24" s="1"/>
  <c r="R59" i="24"/>
  <c r="S21" i="24"/>
  <c r="S23" i="24" s="1"/>
  <c r="S24" i="24" s="1"/>
  <c r="S17" i="24"/>
  <c r="S19" i="24" s="1"/>
  <c r="S20" i="24" s="1"/>
  <c r="G21" i="26"/>
  <c r="G17" i="26"/>
  <c r="O17" i="26"/>
  <c r="O21" i="26"/>
  <c r="O23" i="26" s="1"/>
  <c r="O24" i="26" s="1"/>
  <c r="E59" i="27"/>
  <c r="F17" i="27"/>
  <c r="F19" i="27" s="1"/>
  <c r="F20" i="27" s="1"/>
  <c r="M59" i="27"/>
  <c r="N17" i="27"/>
  <c r="U59" i="27"/>
  <c r="V17" i="27"/>
  <c r="E59" i="28"/>
  <c r="F17" i="28"/>
  <c r="F19" i="28" s="1"/>
  <c r="F20" i="28" s="1"/>
  <c r="F21" i="28"/>
  <c r="M59" i="28"/>
  <c r="N17" i="28"/>
  <c r="N19" i="28" s="1"/>
  <c r="N20" i="28" s="1"/>
  <c r="N21" i="28"/>
  <c r="N23" i="28" s="1"/>
  <c r="N24" i="28" s="1"/>
  <c r="U59" i="28"/>
  <c r="V17" i="28"/>
  <c r="V21" i="28"/>
  <c r="D59" i="29"/>
  <c r="E17" i="29"/>
  <c r="E19" i="29" s="1"/>
  <c r="E20" i="29" s="1"/>
  <c r="E21" i="29"/>
  <c r="L59" i="29"/>
  <c r="M17" i="29"/>
  <c r="M21" i="29"/>
  <c r="T59" i="29"/>
  <c r="U17" i="29"/>
  <c r="U21" i="29"/>
  <c r="U23" i="29" s="1"/>
  <c r="U24" i="29" s="1"/>
  <c r="C59" i="30"/>
  <c r="D17" i="30"/>
  <c r="D19" i="30" s="1"/>
  <c r="D20" i="30" s="1"/>
  <c r="D21" i="30"/>
  <c r="D23" i="30" s="1"/>
  <c r="D24" i="30" s="1"/>
  <c r="K59" i="30"/>
  <c r="L17" i="30"/>
  <c r="L19" i="30" s="1"/>
  <c r="L20" i="30" s="1"/>
  <c r="L21" i="30"/>
  <c r="S59" i="30"/>
  <c r="T17" i="30"/>
  <c r="T21" i="30"/>
  <c r="T23" i="30" s="1"/>
  <c r="T24"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S23" i="30" s="1"/>
  <c r="S24" i="30" s="1"/>
  <c r="A34" i="21"/>
  <c r="N59" i="21"/>
  <c r="N64" i="21" s="1"/>
  <c r="O21" i="21"/>
  <c r="O23" i="21" s="1"/>
  <c r="O24" i="21" s="1"/>
  <c r="O17" i="21"/>
  <c r="O19" i="21" s="1"/>
  <c r="O20" i="21" s="1"/>
  <c r="F59" i="21"/>
  <c r="G21" i="21"/>
  <c r="G17" i="21"/>
  <c r="G17" i="22"/>
  <c r="G21" i="22"/>
  <c r="G23" i="22" s="1"/>
  <c r="O17" i="22"/>
  <c r="O19" i="22" s="1"/>
  <c r="O21" i="22"/>
  <c r="O23" i="22" s="1"/>
  <c r="H59" i="23"/>
  <c r="I21" i="23"/>
  <c r="I23" i="23" s="1"/>
  <c r="I24" i="23" s="1"/>
  <c r="I17" i="23"/>
  <c r="I19" i="23" s="1"/>
  <c r="I20" i="23" s="1"/>
  <c r="P59" i="23"/>
  <c r="Q17" i="23"/>
  <c r="Q19" i="23" s="1"/>
  <c r="Q20" i="23" s="1"/>
  <c r="Q21" i="23"/>
  <c r="Q23" i="23" s="1"/>
  <c r="Q24" i="23" s="1"/>
  <c r="C59" i="24"/>
  <c r="D17" i="24"/>
  <c r="D19" i="24" s="1"/>
  <c r="D20" i="24" s="1"/>
  <c r="D21" i="24"/>
  <c r="D23" i="24" s="1"/>
  <c r="D24" i="24" s="1"/>
  <c r="K59" i="24"/>
  <c r="L21" i="24"/>
  <c r="L23" i="24" s="1"/>
  <c r="L24" i="24" s="1"/>
  <c r="L17" i="24"/>
  <c r="L19" i="24" s="1"/>
  <c r="L20" i="24" s="1"/>
  <c r="S59" i="24"/>
  <c r="T21" i="24"/>
  <c r="T23" i="24" s="1"/>
  <c r="T24" i="24" s="1"/>
  <c r="T17" i="24"/>
  <c r="T19" i="24" s="1"/>
  <c r="T20" i="24" s="1"/>
  <c r="H21" i="26"/>
  <c r="H23" i="26" s="1"/>
  <c r="H24" i="26" s="1"/>
  <c r="H17" i="26"/>
  <c r="H19" i="26" s="1"/>
  <c r="H20" i="26" s="1"/>
  <c r="P21" i="26"/>
  <c r="P23" i="26" s="1"/>
  <c r="P24" i="26" s="1"/>
  <c r="P17" i="26"/>
  <c r="F59" i="28"/>
  <c r="G17" i="28"/>
  <c r="G19" i="28" s="1"/>
  <c r="G20" i="28" s="1"/>
  <c r="G21" i="28"/>
  <c r="G23" i="28" s="1"/>
  <c r="G24" i="28" s="1"/>
  <c r="N59" i="28"/>
  <c r="O17" i="28"/>
  <c r="O19" i="28" s="1"/>
  <c r="O20" i="28" s="1"/>
  <c r="O21" i="28"/>
  <c r="O23" i="28" s="1"/>
  <c r="O24" i="28" s="1"/>
  <c r="E59" i="29"/>
  <c r="F17" i="29"/>
  <c r="F21" i="29"/>
  <c r="M59" i="29"/>
  <c r="N17" i="29"/>
  <c r="N19" i="29" s="1"/>
  <c r="N20" i="29" s="1"/>
  <c r="N21" i="29"/>
  <c r="N23" i="29" s="1"/>
  <c r="N24" i="29" s="1"/>
  <c r="U59" i="29"/>
  <c r="V17" i="29"/>
  <c r="V21" i="29"/>
  <c r="V23" i="29" s="1"/>
  <c r="V24" i="29" s="1"/>
  <c r="D59" i="30"/>
  <c r="E17" i="30"/>
  <c r="E19" i="30" s="1"/>
  <c r="E20" i="30" s="1"/>
  <c r="E21" i="30"/>
  <c r="E23" i="30" s="1"/>
  <c r="E24" i="30" s="1"/>
  <c r="L59" i="30"/>
  <c r="M17" i="30"/>
  <c r="M21" i="30"/>
  <c r="M23" i="30" s="1"/>
  <c r="M24" i="30" s="1"/>
  <c r="T59" i="30"/>
  <c r="U17" i="30"/>
  <c r="U19" i="30" s="1"/>
  <c r="U21" i="30"/>
  <c r="U23" i="30" s="1"/>
  <c r="U24"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I59" i="23"/>
  <c r="J21" i="23"/>
  <c r="J23" i="23" s="1"/>
  <c r="J24" i="23" s="1"/>
  <c r="J17" i="23"/>
  <c r="J19" i="23" s="1"/>
  <c r="J20" i="23" s="1"/>
  <c r="Q59" i="23"/>
  <c r="R21" i="23"/>
  <c r="R17" i="23"/>
  <c r="R19" i="23" s="1"/>
  <c r="R20" i="23" s="1"/>
  <c r="D59" i="24"/>
  <c r="E17" i="24"/>
  <c r="E21" i="24"/>
  <c r="E23" i="24" s="1"/>
  <c r="E24" i="24" s="1"/>
  <c r="L59" i="24"/>
  <c r="M17" i="24"/>
  <c r="M19" i="24" s="1"/>
  <c r="M20" i="24" s="1"/>
  <c r="M21" i="24"/>
  <c r="M23" i="24" s="1"/>
  <c r="M24" i="24" s="1"/>
  <c r="T59" i="24"/>
  <c r="U21" i="24"/>
  <c r="U23" i="24" s="1"/>
  <c r="U24" i="24" s="1"/>
  <c r="U17" i="24"/>
  <c r="U19" i="24" s="1"/>
  <c r="H59" i="26"/>
  <c r="I17" i="26"/>
  <c r="I21" i="26"/>
  <c r="I23" i="26" s="1"/>
  <c r="I24" i="26" s="1"/>
  <c r="P59" i="26"/>
  <c r="Q17" i="26"/>
  <c r="Q19" i="26" s="1"/>
  <c r="Q20" i="26" s="1"/>
  <c r="Q21" i="26"/>
  <c r="Q23" i="26" s="1"/>
  <c r="Q24" i="26" s="1"/>
  <c r="E63" i="26"/>
  <c r="H17" i="27"/>
  <c r="H19" i="27" s="1"/>
  <c r="H20" i="27" s="1"/>
  <c r="P17" i="27"/>
  <c r="P19" i="27" s="1"/>
  <c r="P20" i="27" s="1"/>
  <c r="H21" i="28"/>
  <c r="H23" i="28" s="1"/>
  <c r="H24" i="28" s="1"/>
  <c r="H17" i="28"/>
  <c r="P21" i="28"/>
  <c r="P17" i="28"/>
  <c r="P19" i="28" s="1"/>
  <c r="P20" i="28" s="1"/>
  <c r="G17" i="29"/>
  <c r="G21" i="29"/>
  <c r="G23" i="29" s="1"/>
  <c r="G24" i="29" s="1"/>
  <c r="O17" i="29"/>
  <c r="O21" i="29"/>
  <c r="O23" i="29" s="1"/>
  <c r="O24" i="29" s="1"/>
  <c r="E59" i="30"/>
  <c r="F21" i="30"/>
  <c r="F23" i="30" s="1"/>
  <c r="F24" i="30" s="1"/>
  <c r="F17" i="30"/>
  <c r="F19" i="30" s="1"/>
  <c r="F20" i="30" s="1"/>
  <c r="M59" i="30"/>
  <c r="N21" i="30"/>
  <c r="N17" i="30"/>
  <c r="N19" i="30" s="1"/>
  <c r="N20"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P19" i="22" s="1"/>
  <c r="T59" i="21"/>
  <c r="U17" i="21"/>
  <c r="U19" i="21" s="1"/>
  <c r="U21" i="21"/>
  <c r="U23" i="21" s="1"/>
  <c r="U24" i="21" s="1"/>
  <c r="M17" i="21"/>
  <c r="M21" i="21"/>
  <c r="E17" i="21"/>
  <c r="E19" i="21" s="1"/>
  <c r="E20" i="21" s="1"/>
  <c r="E21" i="21"/>
  <c r="E23" i="21" s="1"/>
  <c r="E24" i="21" s="1"/>
  <c r="H59" i="22"/>
  <c r="I17" i="22"/>
  <c r="I19" i="22" s="1"/>
  <c r="I21" i="22"/>
  <c r="I23" i="22" s="1"/>
  <c r="P59" i="22"/>
  <c r="Q17" i="22"/>
  <c r="Q19" i="22" s="1"/>
  <c r="Q21" i="22"/>
  <c r="Q23" i="22" s="1"/>
  <c r="J59" i="23"/>
  <c r="K17" i="23"/>
  <c r="K19" i="23" s="1"/>
  <c r="K20" i="23" s="1"/>
  <c r="K21" i="23"/>
  <c r="K23" i="23" s="1"/>
  <c r="K24" i="23" s="1"/>
  <c r="R59" i="23"/>
  <c r="S17" i="23"/>
  <c r="S19" i="23" s="1"/>
  <c r="S20" i="23" s="1"/>
  <c r="S21" i="23"/>
  <c r="S23" i="23" s="1"/>
  <c r="S24" i="23" s="1"/>
  <c r="E59" i="24"/>
  <c r="F21" i="24"/>
  <c r="F17" i="24"/>
  <c r="F19" i="24" s="1"/>
  <c r="F20" i="24" s="1"/>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R20" i="26" s="1"/>
  <c r="F63" i="26"/>
  <c r="I17" i="27"/>
  <c r="I19" i="27" s="1"/>
  <c r="I20" i="27" s="1"/>
  <c r="Q17" i="27"/>
  <c r="Q19" i="27" s="1"/>
  <c r="Q20" i="27" s="1"/>
  <c r="I21" i="28"/>
  <c r="I23" i="28" s="1"/>
  <c r="I24" i="28" s="1"/>
  <c r="I17" i="28"/>
  <c r="Q21" i="28"/>
  <c r="Q23" i="28" s="1"/>
  <c r="Q24" i="28" s="1"/>
  <c r="Q17" i="28"/>
  <c r="Q19" i="28" s="1"/>
  <c r="Q20" i="28" s="1"/>
  <c r="H21" i="29"/>
  <c r="H23" i="29" s="1"/>
  <c r="H24" i="29" s="1"/>
  <c r="H17" i="29"/>
  <c r="H19" i="29" s="1"/>
  <c r="H20" i="29" s="1"/>
  <c r="P21" i="29"/>
  <c r="P23" i="29" s="1"/>
  <c r="P24" i="29" s="1"/>
  <c r="P17" i="29"/>
  <c r="G21" i="30"/>
  <c r="G17" i="30"/>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Q59" i="22"/>
  <c r="R17" i="22"/>
  <c r="R19" i="22" s="1"/>
  <c r="R21" i="22"/>
  <c r="R23" i="22" s="1"/>
  <c r="C59" i="23"/>
  <c r="D17" i="23"/>
  <c r="D19" i="23" s="1"/>
  <c r="D20" i="23" s="1"/>
  <c r="D21" i="23"/>
  <c r="D23" i="23" s="1"/>
  <c r="D24" i="23" s="1"/>
  <c r="S59" i="23"/>
  <c r="T17" i="23"/>
  <c r="T19" i="23" s="1"/>
  <c r="T20" i="23" s="1"/>
  <c r="T21" i="23"/>
  <c r="T23" i="23" s="1"/>
  <c r="T24" i="23" s="1"/>
  <c r="G17" i="24"/>
  <c r="G19" i="24" s="1"/>
  <c r="G20" i="24" s="1"/>
  <c r="G21" i="24"/>
  <c r="G23" i="24" s="1"/>
  <c r="G24" i="24" s="1"/>
  <c r="O17" i="24"/>
  <c r="O19" i="24" s="1"/>
  <c r="O20" i="24" s="1"/>
  <c r="O21" i="24"/>
  <c r="O23" i="24" s="1"/>
  <c r="O24" i="24" s="1"/>
  <c r="J59" i="26"/>
  <c r="K17" i="26"/>
  <c r="K19" i="26" s="1"/>
  <c r="K20" i="26" s="1"/>
  <c r="K21" i="26"/>
  <c r="K23" i="26" s="1"/>
  <c r="K24" i="26" s="1"/>
  <c r="R59" i="26"/>
  <c r="S17" i="26"/>
  <c r="S19" i="26" s="1"/>
  <c r="S20"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R19" i="28" s="1"/>
  <c r="R20" i="28" s="1"/>
  <c r="I21" i="29"/>
  <c r="I23" i="29" s="1"/>
  <c r="I24" i="29" s="1"/>
  <c r="I17" i="29"/>
  <c r="I19" i="29" s="1"/>
  <c r="I20" i="29" s="1"/>
  <c r="Q21" i="29"/>
  <c r="Q17" i="29"/>
  <c r="Q19" i="29" s="1"/>
  <c r="Q20" i="29" s="1"/>
  <c r="H17" i="30"/>
  <c r="H19" i="30" s="1"/>
  <c r="H20" i="30" s="1"/>
  <c r="H21" i="30"/>
  <c r="H23" i="30" s="1"/>
  <c r="H24" i="30" s="1"/>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K58" i="21"/>
  <c r="K61" i="21" s="1"/>
  <c r="K64" i="21" s="1"/>
  <c r="K65" i="21" s="1"/>
  <c r="I21" i="27"/>
  <c r="I23" i="27" s="1"/>
  <c r="I24" i="27" s="1"/>
  <c r="Q21" i="27"/>
  <c r="Q23" i="27" s="1"/>
  <c r="Q24" i="27" s="1"/>
  <c r="R58" i="21"/>
  <c r="R61" i="21" s="1"/>
  <c r="R64" i="21" s="1"/>
  <c r="O57" i="21"/>
  <c r="A43" i="21"/>
  <c r="J58" i="21"/>
  <c r="J61" i="21" s="1"/>
  <c r="G23" i="26"/>
  <c r="G24" i="26" s="1"/>
  <c r="D58" i="29"/>
  <c r="D61" i="29" s="1"/>
  <c r="G21" i="27"/>
  <c r="G23" i="27" s="1"/>
  <c r="G24" i="27" s="1"/>
  <c r="O21" i="27"/>
  <c r="O23" i="27" s="1"/>
  <c r="O24" i="27" s="1"/>
  <c r="D58" i="30"/>
  <c r="D61" i="30" s="1"/>
  <c r="D64" i="30" s="1"/>
  <c r="L58" i="30"/>
  <c r="L61" i="30" s="1"/>
  <c r="L64" i="30" s="1"/>
  <c r="R58" i="23"/>
  <c r="R61" i="23" s="1"/>
  <c r="H21" i="27"/>
  <c r="H23" i="27" s="1"/>
  <c r="H24" i="27" s="1"/>
  <c r="P21" i="27"/>
  <c r="P23" i="27" s="1"/>
  <c r="P24" i="27" s="1"/>
  <c r="J58" i="22"/>
  <c r="J61" i="22" s="1"/>
  <c r="J58" i="26"/>
  <c r="J61" i="26" s="1"/>
  <c r="J58" i="27"/>
  <c r="J61" i="27" s="1"/>
  <c r="J64" i="27" s="1"/>
  <c r="R58" i="27"/>
  <c r="R61" i="27" s="1"/>
  <c r="R64" i="27" s="1"/>
  <c r="R58" i="28"/>
  <c r="R61" i="28" s="1"/>
  <c r="R64" i="28" s="1"/>
  <c r="R65" i="28" s="1"/>
  <c r="F58" i="22"/>
  <c r="F61" i="22" s="1"/>
  <c r="N58" i="22"/>
  <c r="N61" i="22" s="1"/>
  <c r="N64" i="22" s="1"/>
  <c r="N65" i="22" s="1"/>
  <c r="F58" i="23"/>
  <c r="F61" i="23" s="1"/>
  <c r="N58" i="23"/>
  <c r="N61" i="23" s="1"/>
  <c r="D19" i="27"/>
  <c r="D20" i="27" s="1"/>
  <c r="L21" i="27"/>
  <c r="L23" i="27" s="1"/>
  <c r="L24" i="27" s="1"/>
  <c r="T21" i="27"/>
  <c r="T23" i="27" s="1"/>
  <c r="T24" i="27" s="1"/>
  <c r="H57" i="29"/>
  <c r="P58" i="21"/>
  <c r="P61" i="21" s="1"/>
  <c r="H58" i="21"/>
  <c r="H61" i="21" s="1"/>
  <c r="N59" i="23"/>
  <c r="R58" i="26"/>
  <c r="R61" i="26" s="1"/>
  <c r="R57" i="21"/>
  <c r="H58" i="22"/>
  <c r="H61" i="22" s="1"/>
  <c r="H64" i="22" s="1"/>
  <c r="H65" i="22" s="1"/>
  <c r="P58" i="22"/>
  <c r="P61" i="22" s="1"/>
  <c r="P64" i="22" s="1"/>
  <c r="P65" i="22" s="1"/>
  <c r="F59" i="22"/>
  <c r="K58" i="29"/>
  <c r="K61" i="29" s="1"/>
  <c r="I58" i="23"/>
  <c r="I61" i="23" s="1"/>
  <c r="I64" i="23" s="1"/>
  <c r="Q58" i="23"/>
  <c r="Q61" i="23" s="1"/>
  <c r="L58" i="29"/>
  <c r="L61" i="29" s="1"/>
  <c r="T58" i="29"/>
  <c r="T61" i="29" s="1"/>
  <c r="I23" i="30"/>
  <c r="I24" i="30" s="1"/>
  <c r="Q23" i="30"/>
  <c r="Q24" i="30" s="1"/>
  <c r="J58" i="28"/>
  <c r="J61" i="28" s="1"/>
  <c r="J64" i="28" s="1"/>
  <c r="R58" i="22"/>
  <c r="R61" i="22" s="1"/>
  <c r="R64" i="22" s="1"/>
  <c r="R65" i="22" s="1"/>
  <c r="J58" i="23"/>
  <c r="J61" i="23" s="1"/>
  <c r="J64" i="23" s="1"/>
  <c r="J65" i="23" s="1"/>
  <c r="J58" i="24"/>
  <c r="J61" i="24" s="1"/>
  <c r="J64" i="24" s="1"/>
  <c r="R58" i="24"/>
  <c r="R61" i="24" s="1"/>
  <c r="F57" i="24"/>
  <c r="T58" i="30"/>
  <c r="T61" i="30" s="1"/>
  <c r="T64" i="30" s="1"/>
  <c r="T65" i="30" s="1"/>
  <c r="C58" i="23"/>
  <c r="C61" i="23" s="1"/>
  <c r="K58" i="23"/>
  <c r="K61" i="23" s="1"/>
  <c r="S58" i="23"/>
  <c r="S61" i="23" s="1"/>
  <c r="F58" i="26"/>
  <c r="F61" i="26" s="1"/>
  <c r="D58" i="27"/>
  <c r="D61" i="27" s="1"/>
  <c r="L58" i="27"/>
  <c r="L61" i="27" s="1"/>
  <c r="T58" i="27"/>
  <c r="T61" i="27" s="1"/>
  <c r="T64" i="27" s="1"/>
  <c r="T65" i="27" s="1"/>
  <c r="J58" i="30"/>
  <c r="J61" i="30" s="1"/>
  <c r="R58" i="30"/>
  <c r="R61" i="30" s="1"/>
  <c r="R64" i="30" s="1"/>
  <c r="P57" i="30"/>
  <c r="J57" i="21"/>
  <c r="H59" i="21"/>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L24" i="30" s="1"/>
  <c r="G58" i="30"/>
  <c r="G61" i="30" s="1"/>
  <c r="O58" i="30"/>
  <c r="O61" i="30" s="1"/>
  <c r="Q57" i="30"/>
  <c r="A36" i="22"/>
  <c r="G58" i="27"/>
  <c r="G61" i="27" s="1"/>
  <c r="T58" i="28"/>
  <c r="T61" i="28" s="1"/>
  <c r="C58" i="29"/>
  <c r="C61" i="29" s="1"/>
  <c r="H58" i="30"/>
  <c r="H61" i="30" s="1"/>
  <c r="N59" i="30"/>
  <c r="K19" i="21"/>
  <c r="K20" i="21" s="1"/>
  <c r="Q57" i="21"/>
  <c r="B58" i="21"/>
  <c r="B61" i="21" s="1"/>
  <c r="I58" i="22"/>
  <c r="I61" i="22" s="1"/>
  <c r="I64" i="22" s="1"/>
  <c r="I65" i="22" s="1"/>
  <c r="Q58" i="22"/>
  <c r="Q61" i="22" s="1"/>
  <c r="D58" i="23"/>
  <c r="D61" i="23" s="1"/>
  <c r="L58" i="23"/>
  <c r="L61" i="23" s="1"/>
  <c r="L64"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L65" i="24" s="1"/>
  <c r="P58" i="26"/>
  <c r="P61" i="26" s="1"/>
  <c r="F59" i="26"/>
  <c r="F64" i="26" s="1"/>
  <c r="O58" i="27"/>
  <c r="O61" i="27" s="1"/>
  <c r="A38" i="21"/>
  <c r="F57" i="22"/>
  <c r="N59" i="22"/>
  <c r="E58" i="23"/>
  <c r="E61" i="23" s="1"/>
  <c r="E64" i="23" s="1"/>
  <c r="E65" i="23" s="1"/>
  <c r="M58" i="23"/>
  <c r="M61" i="23" s="1"/>
  <c r="U58" i="23"/>
  <c r="U61" i="23" s="1"/>
  <c r="U64" i="23" s="1"/>
  <c r="V19" i="23"/>
  <c r="F58" i="24"/>
  <c r="F61" i="24" s="1"/>
  <c r="N58" i="24"/>
  <c r="N61" i="24" s="1"/>
  <c r="F59" i="24"/>
  <c r="I58" i="27"/>
  <c r="I61" i="27" s="1"/>
  <c r="I64" i="27" s="1"/>
  <c r="Q58" i="27"/>
  <c r="Q61" i="27" s="1"/>
  <c r="Q64" i="27" s="1"/>
  <c r="H57" i="27"/>
  <c r="F59" i="27"/>
  <c r="F58" i="28"/>
  <c r="F61" i="28" s="1"/>
  <c r="N58" i="28"/>
  <c r="N61" i="28" s="1"/>
  <c r="E58" i="29"/>
  <c r="E61" i="29" s="1"/>
  <c r="M58" i="29"/>
  <c r="M61" i="29" s="1"/>
  <c r="U58" i="29"/>
  <c r="U61" i="29" s="1"/>
  <c r="F57" i="30"/>
  <c r="N58" i="26"/>
  <c r="N61" i="26" s="1"/>
  <c r="T58" i="24"/>
  <c r="T61" i="24" s="1"/>
  <c r="T64" i="24" s="1"/>
  <c r="T65" i="24" s="1"/>
  <c r="H58" i="26"/>
  <c r="H61" i="26" s="1"/>
  <c r="H64" i="26" s="1"/>
  <c r="L58" i="28"/>
  <c r="L61" i="28" s="1"/>
  <c r="S58" i="29"/>
  <c r="S61" i="29" s="1"/>
  <c r="P19" i="21"/>
  <c r="P20" i="21" s="1"/>
  <c r="H23" i="22"/>
  <c r="P23" i="22"/>
  <c r="C58" i="22"/>
  <c r="C61" i="22" s="1"/>
  <c r="C64" i="22" s="1"/>
  <c r="C65" i="22" s="1"/>
  <c r="K58" i="22"/>
  <c r="K61" i="22" s="1"/>
  <c r="K64" i="22" s="1"/>
  <c r="K65" i="22" s="1"/>
  <c r="S58" i="22"/>
  <c r="S61" i="22" s="1"/>
  <c r="S64" i="22" s="1"/>
  <c r="S65" i="22" s="1"/>
  <c r="F57" i="23"/>
  <c r="G58" i="24"/>
  <c r="G61" i="24" s="1"/>
  <c r="O58" i="24"/>
  <c r="O61" i="24" s="1"/>
  <c r="N59" i="24"/>
  <c r="C58" i="26"/>
  <c r="C61" i="26" s="1"/>
  <c r="K58" i="26"/>
  <c r="K61" i="26" s="1"/>
  <c r="S58" i="26"/>
  <c r="S61" i="26"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D64" i="28" s="1"/>
  <c r="P58" i="30"/>
  <c r="P61" i="30" s="1"/>
  <c r="Q58" i="21"/>
  <c r="Q61" i="21" s="1"/>
  <c r="Q64" i="21" s="1"/>
  <c r="Q65" i="21" s="1"/>
  <c r="I58" i="21"/>
  <c r="I61" i="21" s="1"/>
  <c r="D58" i="22"/>
  <c r="D61" i="22" s="1"/>
  <c r="L58" i="22"/>
  <c r="L61" i="22" s="1"/>
  <c r="T58" i="22"/>
  <c r="T61" i="22" s="1"/>
  <c r="A37" i="22"/>
  <c r="N57" i="22"/>
  <c r="G58" i="23"/>
  <c r="G61" i="23" s="1"/>
  <c r="O58" i="23"/>
  <c r="O61" i="23" s="1"/>
  <c r="N57" i="23"/>
  <c r="I23" i="24"/>
  <c r="I24" i="24" s="1"/>
  <c r="H58" i="24"/>
  <c r="H61" i="24" s="1"/>
  <c r="P58" i="24"/>
  <c r="P61" i="24" s="1"/>
  <c r="D58" i="26"/>
  <c r="D61" i="26" s="1"/>
  <c r="L58" i="26"/>
  <c r="L61" i="26" s="1"/>
  <c r="T58" i="26"/>
  <c r="T61" i="26" s="1"/>
  <c r="F57" i="26"/>
  <c r="C58" i="27"/>
  <c r="C61" i="27" s="1"/>
  <c r="C64" i="27" s="1"/>
  <c r="K58" i="27"/>
  <c r="K61" i="27" s="1"/>
  <c r="K64" i="27" s="1"/>
  <c r="S58" i="27"/>
  <c r="S61" i="27" s="1"/>
  <c r="S64" i="27" s="1"/>
  <c r="S65" i="27" s="1"/>
  <c r="P57" i="27"/>
  <c r="N59" i="27"/>
  <c r="H58" i="28"/>
  <c r="H61" i="28" s="1"/>
  <c r="P58" i="28"/>
  <c r="P61" i="28" s="1"/>
  <c r="N57" i="28"/>
  <c r="D23" i="29"/>
  <c r="D24" i="29" s="1"/>
  <c r="L23" i="29"/>
  <c r="L24" i="29" s="1"/>
  <c r="T23" i="29"/>
  <c r="T24" i="29" s="1"/>
  <c r="G58" i="29"/>
  <c r="G61" i="29" s="1"/>
  <c r="O58" i="29"/>
  <c r="O61" i="29" s="1"/>
  <c r="P59" i="29"/>
  <c r="I57" i="30"/>
  <c r="M19" i="21"/>
  <c r="M20" i="21" s="1"/>
  <c r="G57" i="21"/>
  <c r="E58" i="22"/>
  <c r="E61" i="22" s="1"/>
  <c r="E64" i="22" s="1"/>
  <c r="E65" i="22" s="1"/>
  <c r="M58" i="22"/>
  <c r="M61" i="22" s="1"/>
  <c r="M64" i="22" s="1"/>
  <c r="M65"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G23" i="30"/>
  <c r="G24" i="30" s="1"/>
  <c r="F63" i="30"/>
  <c r="N63" i="30"/>
  <c r="K19" i="30"/>
  <c r="K20" i="30" s="1"/>
  <c r="S19" i="30"/>
  <c r="S20" i="30" s="1"/>
  <c r="A31" i="30"/>
  <c r="A33" i="30"/>
  <c r="A39" i="30"/>
  <c r="A41" i="30"/>
  <c r="A47" i="30"/>
  <c r="A49" i="30"/>
  <c r="G57" i="30"/>
  <c r="O57" i="30"/>
  <c r="G59" i="30"/>
  <c r="O59" i="30"/>
  <c r="G63" i="30"/>
  <c r="O63" i="30"/>
  <c r="P63" i="30"/>
  <c r="I63" i="30"/>
  <c r="Q63" i="30"/>
  <c r="T19" i="30"/>
  <c r="T20" i="30" s="1"/>
  <c r="V19" i="30"/>
  <c r="N23" i="30"/>
  <c r="N24" i="30" s="1"/>
  <c r="B63" i="30"/>
  <c r="J63" i="30"/>
  <c r="R63" i="30"/>
  <c r="M19" i="30"/>
  <c r="M20" i="30" s="1"/>
  <c r="G19" i="30"/>
  <c r="G20" i="30" s="1"/>
  <c r="A32" i="30"/>
  <c r="A34" i="30"/>
  <c r="A40" i="30"/>
  <c r="A42" i="30"/>
  <c r="A48" i="30"/>
  <c r="A50" i="30"/>
  <c r="C63" i="30"/>
  <c r="K63" i="30"/>
  <c r="S63" i="30"/>
  <c r="D63" i="30"/>
  <c r="L63" i="30"/>
  <c r="T63" i="30"/>
  <c r="H63" i="30"/>
  <c r="E63" i="30"/>
  <c r="M63" i="30"/>
  <c r="Q23" i="29"/>
  <c r="Q24" i="29" s="1"/>
  <c r="T19" i="29"/>
  <c r="T20" i="29" s="1"/>
  <c r="P63" i="29"/>
  <c r="J19" i="29"/>
  <c r="J20" i="29" s="1"/>
  <c r="R19" i="29"/>
  <c r="R20" i="29" s="1"/>
  <c r="J23" i="29"/>
  <c r="J24" i="29" s="1"/>
  <c r="F57" i="29"/>
  <c r="N57" i="29"/>
  <c r="F59" i="29"/>
  <c r="N59" i="29"/>
  <c r="F63" i="29"/>
  <c r="N63" i="29"/>
  <c r="H63" i="29"/>
  <c r="K19" i="29"/>
  <c r="K20" i="29" s="1"/>
  <c r="S19" i="29"/>
  <c r="S20" i="29" s="1"/>
  <c r="S23" i="29"/>
  <c r="S24" i="29" s="1"/>
  <c r="A31" i="29"/>
  <c r="A33" i="29"/>
  <c r="A39" i="29"/>
  <c r="A41" i="29"/>
  <c r="A47" i="29"/>
  <c r="A49" i="29"/>
  <c r="G57" i="29"/>
  <c r="O57" i="29"/>
  <c r="G59" i="29"/>
  <c r="O59" i="29"/>
  <c r="G63" i="29"/>
  <c r="O63" i="29"/>
  <c r="M19" i="29"/>
  <c r="M20" i="29" s="1"/>
  <c r="U19" i="29"/>
  <c r="E23" i="29"/>
  <c r="E24" i="29" s="1"/>
  <c r="M23" i="29"/>
  <c r="M24" i="29" s="1"/>
  <c r="I57" i="29"/>
  <c r="Q57" i="29"/>
  <c r="I63" i="29"/>
  <c r="Q63" i="29"/>
  <c r="F19" i="29"/>
  <c r="F20" i="29" s="1"/>
  <c r="V19" i="29"/>
  <c r="F23" i="29"/>
  <c r="F24" i="29" s="1"/>
  <c r="B63" i="29"/>
  <c r="J63" i="29"/>
  <c r="R63" i="29"/>
  <c r="L19" i="29"/>
  <c r="L20" i="29" s="1"/>
  <c r="G19" i="29"/>
  <c r="G20" i="29" s="1"/>
  <c r="O19" i="29"/>
  <c r="O20" i="29" s="1"/>
  <c r="A32" i="29"/>
  <c r="A34" i="29"/>
  <c r="A40" i="29"/>
  <c r="A42" i="29"/>
  <c r="A48" i="29"/>
  <c r="A50" i="29"/>
  <c r="C63" i="29"/>
  <c r="K63" i="29"/>
  <c r="S63" i="29"/>
  <c r="P19" i="29"/>
  <c r="P20" i="29" s="1"/>
  <c r="D63" i="29"/>
  <c r="L63" i="29"/>
  <c r="T63" i="29"/>
  <c r="E63" i="29"/>
  <c r="M63" i="29"/>
  <c r="K19" i="28"/>
  <c r="K20" i="28" s="1"/>
  <c r="S19" i="28"/>
  <c r="S20" i="28" s="1"/>
  <c r="A31" i="28"/>
  <c r="A33" i="28"/>
  <c r="A37" i="28"/>
  <c r="A39" i="28"/>
  <c r="A41" i="28"/>
  <c r="A45" i="28"/>
  <c r="A47" i="28"/>
  <c r="A49" i="28"/>
  <c r="G57" i="28"/>
  <c r="O57" i="28"/>
  <c r="G59" i="28"/>
  <c r="O59" i="28"/>
  <c r="G63" i="28"/>
  <c r="O63" i="28"/>
  <c r="D19" i="28"/>
  <c r="D20" i="28" s="1"/>
  <c r="L19" i="28"/>
  <c r="L20" i="28" s="1"/>
  <c r="L23" i="28"/>
  <c r="L24" i="28" s="1"/>
  <c r="H59" i="28"/>
  <c r="P59" i="28"/>
  <c r="H63" i="28"/>
  <c r="P63" i="28"/>
  <c r="E19" i="28"/>
  <c r="E20" i="28" s="1"/>
  <c r="U19" i="28"/>
  <c r="M23" i="28"/>
  <c r="M24" i="28" s="1"/>
  <c r="I57" i="28"/>
  <c r="Q57" i="28"/>
  <c r="I63" i="28"/>
  <c r="Q63" i="28"/>
  <c r="V19" i="28"/>
  <c r="F23" i="28"/>
  <c r="F24" i="28" s="1"/>
  <c r="V23" i="28"/>
  <c r="V24" i="28" s="1"/>
  <c r="B63" i="28"/>
  <c r="J63" i="28"/>
  <c r="R63" i="28"/>
  <c r="A32" i="28"/>
  <c r="A34" i="28"/>
  <c r="A40" i="28"/>
  <c r="A42" i="28"/>
  <c r="A48" i="28"/>
  <c r="A50" i="28"/>
  <c r="C63" i="28"/>
  <c r="K63" i="28"/>
  <c r="S63" i="28"/>
  <c r="H19" i="28"/>
  <c r="H20" i="28" s="1"/>
  <c r="D63" i="28"/>
  <c r="L63" i="28"/>
  <c r="T63" i="28"/>
  <c r="I19" i="28"/>
  <c r="I20" i="28" s="1"/>
  <c r="E63" i="28"/>
  <c r="M63" i="28"/>
  <c r="R19" i="27"/>
  <c r="R20" i="27" s="1"/>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D63" i="27"/>
  <c r="L63" i="27"/>
  <c r="T63" i="27"/>
  <c r="H63" i="27"/>
  <c r="E63" i="27"/>
  <c r="M63" i="27"/>
  <c r="U64" i="26"/>
  <c r="U66" i="26" s="1"/>
  <c r="J23" i="26"/>
  <c r="J24" i="26" s="1"/>
  <c r="C19" i="26"/>
  <c r="C20" i="26" s="1"/>
  <c r="A31" i="26"/>
  <c r="A33" i="26"/>
  <c r="A37" i="26"/>
  <c r="A39" i="26"/>
  <c r="A41" i="26"/>
  <c r="A45" i="26"/>
  <c r="A47" i="26"/>
  <c r="A49" i="26"/>
  <c r="G57" i="26"/>
  <c r="O57" i="26"/>
  <c r="G59" i="26"/>
  <c r="O59" i="26"/>
  <c r="G63" i="26"/>
  <c r="O63" i="26"/>
  <c r="L19" i="26"/>
  <c r="L20" i="26" s="1"/>
  <c r="T19" i="26"/>
  <c r="T20" i="26" s="1"/>
  <c r="L23" i="26"/>
  <c r="L24" i="26" s="1"/>
  <c r="T23" i="26"/>
  <c r="T24" i="26" s="1"/>
  <c r="H63" i="26"/>
  <c r="P63" i="26"/>
  <c r="M19" i="26"/>
  <c r="M20" i="26" s="1"/>
  <c r="E23" i="26"/>
  <c r="E24" i="26" s="1"/>
  <c r="M23" i="26"/>
  <c r="M24" i="26" s="1"/>
  <c r="I57" i="26"/>
  <c r="Q57" i="26"/>
  <c r="I59" i="26"/>
  <c r="I64" i="26" s="1"/>
  <c r="Q59" i="26"/>
  <c r="I63" i="26"/>
  <c r="Q63" i="26"/>
  <c r="V23" i="26"/>
  <c r="V24" i="26" s="1"/>
  <c r="B63" i="26"/>
  <c r="J63" i="26"/>
  <c r="R63" i="26"/>
  <c r="G19" i="26"/>
  <c r="G20" i="26" s="1"/>
  <c r="O19" i="26"/>
  <c r="O20" i="26" s="1"/>
  <c r="A32" i="26"/>
  <c r="A34" i="26"/>
  <c r="A40" i="26"/>
  <c r="A42" i="26"/>
  <c r="A48" i="26"/>
  <c r="A50" i="26"/>
  <c r="C63" i="26"/>
  <c r="K63" i="26"/>
  <c r="S63" i="26"/>
  <c r="P19" i="26"/>
  <c r="P20" i="26" s="1"/>
  <c r="D63" i="26"/>
  <c r="L63" i="26"/>
  <c r="I19" i="26"/>
  <c r="I20" i="26" s="1"/>
  <c r="H23" i="24"/>
  <c r="H24" i="24" s="1"/>
  <c r="P23" i="24"/>
  <c r="P24" i="24" s="1"/>
  <c r="A31" i="24"/>
  <c r="A33" i="24"/>
  <c r="A37" i="24"/>
  <c r="A39" i="24"/>
  <c r="A41" i="24"/>
  <c r="A45" i="24"/>
  <c r="A47" i="24"/>
  <c r="A49" i="24"/>
  <c r="G57" i="24"/>
  <c r="O57" i="24"/>
  <c r="G59" i="24"/>
  <c r="O59" i="24"/>
  <c r="G63" i="24"/>
  <c r="O63" i="24"/>
  <c r="H59" i="24"/>
  <c r="P59" i="24"/>
  <c r="H63" i="24"/>
  <c r="P63" i="24"/>
  <c r="E19" i="24"/>
  <c r="E20" i="24" s="1"/>
  <c r="I57" i="24"/>
  <c r="Q57" i="24"/>
  <c r="I63" i="24"/>
  <c r="Q63" i="24"/>
  <c r="F23" i="24"/>
  <c r="F24" i="24" s="1"/>
  <c r="V23" i="24"/>
  <c r="V24" i="24" s="1"/>
  <c r="B63" i="24"/>
  <c r="J63" i="24"/>
  <c r="R63" i="24"/>
  <c r="A32" i="24"/>
  <c r="A34" i="24"/>
  <c r="A40" i="24"/>
  <c r="A42" i="24"/>
  <c r="A48" i="24"/>
  <c r="A50" i="24"/>
  <c r="C63" i="24"/>
  <c r="K63" i="24"/>
  <c r="S63" i="24"/>
  <c r="R23" i="24"/>
  <c r="R24"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A31" i="23"/>
  <c r="A33" i="23"/>
  <c r="A37" i="23"/>
  <c r="A39" i="23"/>
  <c r="A41" i="23"/>
  <c r="A45" i="23"/>
  <c r="A47" i="23"/>
  <c r="A49" i="23"/>
  <c r="G57" i="23"/>
  <c r="O57" i="23"/>
  <c r="G59" i="23"/>
  <c r="O59" i="23"/>
  <c r="L19" i="23"/>
  <c r="L20" i="23" s="1"/>
  <c r="L23" i="23"/>
  <c r="L24" i="23" s="1"/>
  <c r="E23" i="23"/>
  <c r="E24" i="23" s="1"/>
  <c r="M23" i="23"/>
  <c r="M24" i="23" s="1"/>
  <c r="I57" i="23"/>
  <c r="Q57" i="23"/>
  <c r="F23" i="23"/>
  <c r="F24" i="23" s="1"/>
  <c r="N23" i="23"/>
  <c r="N24" i="23" s="1"/>
  <c r="A32" i="23"/>
  <c r="A34" i="23"/>
  <c r="A40" i="23"/>
  <c r="A42" i="23"/>
  <c r="A48" i="23"/>
  <c r="A50" i="23"/>
  <c r="U63" i="22"/>
  <c r="M63" i="22"/>
  <c r="E63" i="22"/>
  <c r="F63" i="22"/>
  <c r="T63" i="22"/>
  <c r="L63" i="22"/>
  <c r="D63" i="22"/>
  <c r="S63" i="22"/>
  <c r="K63" i="22"/>
  <c r="C63" i="22"/>
  <c r="N63" i="22"/>
  <c r="R63" i="22"/>
  <c r="J63" i="22"/>
  <c r="B63" i="22"/>
  <c r="Q63" i="22"/>
  <c r="I63" i="22"/>
  <c r="P63" i="22"/>
  <c r="H63" i="22"/>
  <c r="O63" i="22"/>
  <c r="G63" i="22"/>
  <c r="D19" i="22"/>
  <c r="L19" i="22"/>
  <c r="T19" i="22"/>
  <c r="T23" i="22"/>
  <c r="K23" i="22"/>
  <c r="A31" i="22"/>
  <c r="A33" i="22"/>
  <c r="A41" i="22"/>
  <c r="A47" i="22"/>
  <c r="E23" i="22"/>
  <c r="I57" i="22"/>
  <c r="Q57" i="22"/>
  <c r="K19" i="22"/>
  <c r="A39" i="22"/>
  <c r="A49" i="22"/>
  <c r="N19" i="22"/>
  <c r="V19" i="22"/>
  <c r="V23" i="22"/>
  <c r="G19" i="22"/>
  <c r="A32" i="22"/>
  <c r="A34" i="22"/>
  <c r="A40" i="22"/>
  <c r="A42" i="22"/>
  <c r="A48" i="22"/>
  <c r="A50" i="22"/>
  <c r="P64" i="21"/>
  <c r="P65" i="21" s="1"/>
  <c r="H23" i="21"/>
  <c r="H24" i="21" s="1"/>
  <c r="L23" i="21"/>
  <c r="L24" i="21" s="1"/>
  <c r="F23" i="21"/>
  <c r="F24" i="21" s="1"/>
  <c r="A33" i="21"/>
  <c r="A37" i="21"/>
  <c r="A41" i="21"/>
  <c r="A45" i="21"/>
  <c r="A49" i="21"/>
  <c r="E58" i="21"/>
  <c r="E61" i="21" s="1"/>
  <c r="M58" i="21"/>
  <c r="M61" i="21" s="1"/>
  <c r="U58" i="21"/>
  <c r="U61" i="21" s="1"/>
  <c r="U64" i="21" s="1"/>
  <c r="U66" i="21" s="1"/>
  <c r="G23" i="21"/>
  <c r="G24" i="21" s="1"/>
  <c r="M23" i="21"/>
  <c r="M24" i="21" s="1"/>
  <c r="C57" i="21"/>
  <c r="K57" i="21"/>
  <c r="S57" i="21"/>
  <c r="G19" i="21"/>
  <c r="G20" i="21" s="1"/>
  <c r="Q19" i="21"/>
  <c r="Q20" i="21" s="1"/>
  <c r="J23" i="21"/>
  <c r="J24" i="21" s="1"/>
  <c r="L19" i="21"/>
  <c r="L20" i="21" s="1"/>
  <c r="R19" i="21"/>
  <c r="R20" i="21" s="1"/>
  <c r="A31" i="21"/>
  <c r="D64" i="21"/>
  <c r="D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5" i="23" l="1"/>
  <c r="C23" i="21"/>
  <c r="C24" i="21" s="1"/>
  <c r="I65" i="26"/>
  <c r="D65" i="24"/>
  <c r="Q65" i="30"/>
  <c r="I65" i="30"/>
  <c r="Q65" i="29"/>
  <c r="J65" i="28"/>
  <c r="L65" i="30"/>
  <c r="Q65" i="24"/>
  <c r="K65" i="27"/>
  <c r="K65" i="30"/>
  <c r="I65" i="29"/>
  <c r="R65" i="30"/>
  <c r="R65" i="27"/>
  <c r="D65" i="30"/>
  <c r="R65" i="21"/>
  <c r="L65" i="21"/>
  <c r="I65" i="27"/>
  <c r="I65" i="23"/>
  <c r="Q65" i="28"/>
  <c r="C65" i="27"/>
  <c r="H65" i="26"/>
  <c r="J65" i="27"/>
  <c r="I65" i="28"/>
  <c r="P65" i="23"/>
  <c r="L65" i="23"/>
  <c r="E65" i="27"/>
  <c r="D65" i="28"/>
  <c r="Q65" i="27"/>
  <c r="R65" i="29"/>
  <c r="J65" i="24"/>
  <c r="H65" i="30"/>
  <c r="C19" i="29"/>
  <c r="C20" i="29" s="1"/>
  <c r="B65" i="24"/>
  <c r="T64" i="29"/>
  <c r="T65" i="29" s="1"/>
  <c r="Q64" i="26"/>
  <c r="Q65" i="26" s="1"/>
  <c r="L64" i="28"/>
  <c r="L65" i="28" s="1"/>
  <c r="T64" i="28"/>
  <c r="T65" i="28" s="1"/>
  <c r="T64" i="21"/>
  <c r="T65" i="21" s="1"/>
  <c r="T64" i="22"/>
  <c r="T65" i="22" s="1"/>
  <c r="S64" i="26"/>
  <c r="S65" i="26" s="1"/>
  <c r="S64" i="29"/>
  <c r="S65" i="29" s="1"/>
  <c r="O64" i="21"/>
  <c r="O65" i="21" s="1"/>
  <c r="N66" i="21"/>
  <c r="N65" i="21"/>
  <c r="M66" i="26"/>
  <c r="M65" i="26"/>
  <c r="L64" i="26"/>
  <c r="L65" i="26" s="1"/>
  <c r="J64" i="30"/>
  <c r="J65" i="30" s="1"/>
  <c r="G64" i="30"/>
  <c r="G65" i="30" s="1"/>
  <c r="F66" i="26"/>
  <c r="F65" i="26"/>
  <c r="D64" i="27"/>
  <c r="D65" i="27" s="1"/>
  <c r="C64" i="30"/>
  <c r="C65" i="30" s="1"/>
  <c r="C64" i="21"/>
  <c r="C65" i="21" s="1"/>
  <c r="C64" i="26"/>
  <c r="C65" i="26" s="1"/>
  <c r="C64" i="29"/>
  <c r="C65" i="29" s="1"/>
  <c r="C64" i="23"/>
  <c r="C65" i="23" s="1"/>
  <c r="B64" i="30"/>
  <c r="B65" i="30" s="1"/>
  <c r="L64" i="22"/>
  <c r="L65" i="22" s="1"/>
  <c r="D64" i="22"/>
  <c r="D65" i="22" s="1"/>
  <c r="Q64" i="22"/>
  <c r="Q65" i="22" s="1"/>
  <c r="U64" i="22"/>
  <c r="U66" i="22" s="1"/>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M64" i="30"/>
  <c r="K64" i="26"/>
  <c r="C64" i="28"/>
  <c r="C64" i="24"/>
  <c r="L64" i="27"/>
  <c r="R64" i="24"/>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L66" i="22"/>
  <c r="T66" i="24"/>
  <c r="U66" i="23"/>
  <c r="P64" i="30"/>
  <c r="P66" i="23"/>
  <c r="E66" i="22"/>
  <c r="T66" i="23"/>
  <c r="Q66" i="21"/>
  <c r="P66" i="21"/>
  <c r="K66" i="27"/>
  <c r="G64" i="23"/>
  <c r="Q66" i="24"/>
  <c r="R66" i="27"/>
  <c r="C66" i="27"/>
  <c r="H66" i="23"/>
  <c r="J66" i="27"/>
  <c r="G64" i="27"/>
  <c r="G66" i="30"/>
  <c r="F64" i="27"/>
  <c r="T66" i="27"/>
  <c r="C66" i="22"/>
  <c r="H66" i="30"/>
  <c r="E66" i="30"/>
  <c r="L66" i="21"/>
  <c r="L66" i="28"/>
  <c r="T66" i="30"/>
  <c r="H66" i="22"/>
  <c r="R66" i="28"/>
  <c r="N64" i="26"/>
  <c r="O64" i="29"/>
  <c r="P64" i="29"/>
  <c r="S64" i="1"/>
  <c r="N64" i="29"/>
  <c r="R66" i="30"/>
  <c r="L66" i="23"/>
  <c r="O66" i="22"/>
  <c r="R64" i="1"/>
  <c r="R65" i="1" s="1"/>
  <c r="J66" i="23"/>
  <c r="Q64" i="1"/>
  <c r="U64" i="1"/>
  <c r="P64" i="1"/>
  <c r="E66" i="27"/>
  <c r="J66" i="24"/>
  <c r="Q66" i="29"/>
  <c r="F64" i="29"/>
  <c r="O64" i="23"/>
  <c r="O64" i="30"/>
  <c r="N64" i="24"/>
  <c r="B66" i="24"/>
  <c r="K66" i="30"/>
  <c r="I66" i="30"/>
  <c r="R66" i="29"/>
  <c r="I66" i="29"/>
  <c r="D66" i="28"/>
  <c r="Q66" i="28"/>
  <c r="I66" i="28"/>
  <c r="K66" i="28"/>
  <c r="Q66" i="27"/>
  <c r="I66" i="27"/>
  <c r="Q66" i="26"/>
  <c r="I66" i="26"/>
  <c r="H66" i="26"/>
  <c r="L66" i="24"/>
  <c r="P66" i="24"/>
  <c r="D66" i="24"/>
  <c r="M66" i="24"/>
  <c r="I66" i="23"/>
  <c r="E66" i="23"/>
  <c r="I66" i="22"/>
  <c r="M66" i="22"/>
  <c r="S66" i="22"/>
  <c r="K66" i="22"/>
  <c r="K66" i="21"/>
  <c r="C66" i="21"/>
  <c r="D66" i="21"/>
  <c r="R66" i="21"/>
  <c r="N64" i="1"/>
  <c r="N65" i="1" s="1"/>
  <c r="M64" i="1"/>
  <c r="T64" i="1"/>
  <c r="T65" i="1" s="1"/>
  <c r="L64" i="1"/>
  <c r="J64" i="1"/>
  <c r="J65" i="1" s="1"/>
  <c r="K64" i="1"/>
  <c r="O64" i="1"/>
  <c r="O65" i="1" s="1"/>
  <c r="C64" i="1"/>
  <c r="C65" i="1" s="1"/>
  <c r="I64" i="1"/>
  <c r="I65" i="1" s="1"/>
  <c r="H64" i="1"/>
  <c r="G64" i="1"/>
  <c r="F64" i="1"/>
  <c r="E64" i="1"/>
  <c r="D64" i="1"/>
  <c r="B64" i="1"/>
  <c r="D63" i="1"/>
  <c r="L63" i="1"/>
  <c r="F63" i="1"/>
  <c r="R63" i="1"/>
  <c r="J63" i="1"/>
  <c r="Q63" i="1"/>
  <c r="I63" i="1"/>
  <c r="C63" i="1"/>
  <c r="K63" i="1"/>
  <c r="P63" i="1"/>
  <c r="H63" i="1"/>
  <c r="T63" i="1"/>
  <c r="S63" i="1"/>
  <c r="O63" i="1"/>
  <c r="G63" i="1"/>
  <c r="N63" i="1"/>
  <c r="E63" i="1"/>
  <c r="B63" i="1"/>
  <c r="U63" i="1"/>
  <c r="M63" i="1"/>
  <c r="F65" i="1" l="1"/>
  <c r="L65" i="1"/>
  <c r="S65" i="1"/>
  <c r="D65" i="1"/>
  <c r="E65" i="1"/>
  <c r="G65" i="1"/>
  <c r="Q65" i="1"/>
  <c r="K65" i="1"/>
  <c r="P65" i="1"/>
  <c r="H65" i="1"/>
  <c r="M65" i="1"/>
  <c r="B65" i="1"/>
  <c r="T66" i="28"/>
  <c r="L66" i="29"/>
  <c r="J66" i="30"/>
  <c r="D66" i="26"/>
  <c r="C66" i="30"/>
  <c r="C66" i="23"/>
  <c r="T66" i="22"/>
  <c r="S66" i="24"/>
  <c r="S66" i="28"/>
  <c r="S66" i="26"/>
  <c r="R66" i="26"/>
  <c r="Q66" i="22"/>
  <c r="P66" i="26"/>
  <c r="M66" i="28"/>
  <c r="K66" i="24"/>
  <c r="J66" i="26"/>
  <c r="H66" i="21"/>
  <c r="T66" i="1"/>
  <c r="T66" i="21"/>
  <c r="T66" i="26"/>
  <c r="T65" i="26"/>
  <c r="S66" i="30"/>
  <c r="S65" i="30"/>
  <c r="S66" i="21"/>
  <c r="S65" i="21"/>
  <c r="S66" i="23"/>
  <c r="S66" i="29"/>
  <c r="R66" i="23"/>
  <c r="R65" i="23"/>
  <c r="R66" i="24"/>
  <c r="R65" i="24"/>
  <c r="Q66" i="23"/>
  <c r="Q65" i="23"/>
  <c r="Q66" i="1"/>
  <c r="P66" i="28"/>
  <c r="P65" i="28"/>
  <c r="P66" i="30"/>
  <c r="P65" i="30"/>
  <c r="P66" i="27"/>
  <c r="P66" i="29"/>
  <c r="P65" i="29"/>
  <c r="O66" i="23"/>
  <c r="O65" i="23"/>
  <c r="O66" i="21"/>
  <c r="O66" i="30"/>
  <c r="O65" i="30"/>
  <c r="O66" i="29"/>
  <c r="O65" i="29"/>
  <c r="O66" i="28"/>
  <c r="O65" i="28"/>
  <c r="O66" i="27"/>
  <c r="O65" i="27"/>
  <c r="O66" i="26"/>
  <c r="O65" i="26"/>
  <c r="O66" i="24"/>
  <c r="O65" i="24"/>
  <c r="N66" i="24"/>
  <c r="N65" i="24"/>
  <c r="N66" i="30"/>
  <c r="N65" i="30"/>
  <c r="N66" i="28"/>
  <c r="N65" i="28"/>
  <c r="N66" i="29"/>
  <c r="N65" i="29"/>
  <c r="N66" i="27"/>
  <c r="N65" i="27"/>
  <c r="N66" i="23"/>
  <c r="N66" i="26"/>
  <c r="N65" i="26"/>
  <c r="M66" i="30"/>
  <c r="M65" i="30"/>
  <c r="M66" i="21"/>
  <c r="M66" i="29"/>
  <c r="M66" i="23"/>
  <c r="M65" i="23"/>
  <c r="M66" i="27"/>
  <c r="M65" i="27"/>
  <c r="L66" i="27"/>
  <c r="L65" i="27"/>
  <c r="L66" i="26"/>
  <c r="K66" i="29"/>
  <c r="K65" i="29"/>
  <c r="K66" i="26"/>
  <c r="K65" i="26"/>
  <c r="K66" i="23"/>
  <c r="K65" i="23"/>
  <c r="J66" i="22"/>
  <c r="J65" i="22"/>
  <c r="J66" i="21"/>
  <c r="J65" i="21"/>
  <c r="J66" i="29"/>
  <c r="J65" i="29"/>
  <c r="I66" i="24"/>
  <c r="I66" i="21"/>
  <c r="I65" i="21"/>
  <c r="H66" i="24"/>
  <c r="H65" i="24"/>
  <c r="H66" i="27"/>
  <c r="H65" i="27"/>
  <c r="H66" i="28"/>
  <c r="H65" i="28"/>
  <c r="H66" i="29"/>
  <c r="H65" i="29"/>
  <c r="G66" i="22"/>
  <c r="G65" i="22"/>
  <c r="G66" i="28"/>
  <c r="G65" i="28"/>
  <c r="G66" i="29"/>
  <c r="G65" i="29"/>
  <c r="G66" i="21"/>
  <c r="G65" i="21"/>
  <c r="G66" i="23"/>
  <c r="G65" i="23"/>
  <c r="G66" i="26"/>
  <c r="G65" i="26"/>
  <c r="G66" i="27"/>
  <c r="G65" i="27"/>
  <c r="G66" i="24"/>
  <c r="G65" i="24"/>
  <c r="F66" i="21"/>
  <c r="F65" i="21"/>
  <c r="F66" i="27"/>
  <c r="F65" i="27"/>
  <c r="F66" i="29"/>
  <c r="F65" i="29"/>
  <c r="F66" i="22"/>
  <c r="F65" i="22"/>
  <c r="F66" i="28"/>
  <c r="F65" i="28"/>
  <c r="F66" i="30"/>
  <c r="F65" i="30"/>
  <c r="F66" i="23"/>
  <c r="F65" i="23"/>
  <c r="F66" i="24"/>
  <c r="F65" i="24"/>
  <c r="E66" i="21"/>
  <c r="E65" i="21"/>
  <c r="E66" i="24"/>
  <c r="E65" i="24"/>
  <c r="E66" i="28"/>
  <c r="E65" i="28"/>
  <c r="E66" i="29"/>
  <c r="E65" i="29"/>
  <c r="E66" i="26"/>
  <c r="E65" i="26"/>
  <c r="D66" i="22"/>
  <c r="D66" i="29"/>
  <c r="D66" i="23"/>
  <c r="D66" i="27"/>
  <c r="C66" i="24"/>
  <c r="C65" i="24"/>
  <c r="C66" i="28"/>
  <c r="C65" i="28"/>
  <c r="C66" i="29"/>
  <c r="C66" i="26"/>
  <c r="B66" i="30"/>
  <c r="B66" i="26"/>
  <c r="B65" i="26"/>
  <c r="B66" i="27"/>
  <c r="B65" i="27"/>
  <c r="B66" i="28"/>
  <c r="B65" i="28"/>
  <c r="B66" i="22"/>
  <c r="B65" i="22"/>
  <c r="B66" i="29"/>
  <c r="B65" i="29"/>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<sst xmlns="http://schemas.openxmlformats.org/spreadsheetml/2006/main" count="2235" uniqueCount="181">
  <si>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</si>
  <si>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</si>
  <si>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</si>
  <si>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</si>
  <si>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</si>
  <si>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</si>
  <si>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</si>
  <si>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</si>
  <si>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</si>
  <si>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</si>
  <si>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</si>
  <si>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</si>
  <si>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</si>
  <si>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</si>
  <si>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</si>
  <si>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</si>
  <si>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</si>
  <si>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</si>
  <si>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</si>
  <si>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</si>
  <si>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</si>
  <si>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</si>
  <si>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</si>
  <si>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</si>
  <si>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</si>
  <si>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</si>
  <si>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</si>
  <si>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</si>
  <si>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</si>
  <si>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</si>
  <si>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</si>
  <si>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</si>
  <si>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</si>
  <si>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</si>
  <si>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</si>
  <si>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</si>
  <si>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</si>
  <si>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</si>
  <si>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</si>
  <si>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</si>
  <si>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</si>
  <si>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</si>
  <si>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</si>
  <si>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</si>
  <si>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</si>
  <si>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</si>
  <si>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</si>
  <si>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</si>
  <si>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</si>
  <si>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</si>
  <si>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</si>
  <si>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</si>
  <si>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</si>
  <si>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</si>
  <si>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</si>
  <si>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</si>
  <si>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</si>
  <si>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</si>
  <si>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</si>
  <si>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</si>
  <si>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</si>
  <si>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</si>
  <si>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</si>
  <si>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</si>
  <si>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</si>
  <si>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</si>
  <si>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</si>
  <si>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</si>
  <si>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</si>
  <si>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</si>
  <si>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</si>
  <si>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</si>
  <si>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</si>
  <si>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</si>
  <si>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</si>
  <si>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</si>
  <si>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</si>
  <si>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</si>
  <si>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</si>
  <si>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</si>
  <si>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</si>
  <si>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</si>
  <si>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</si>
  <si>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</si>
  <si>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</si>
  <si>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</si>
  <si>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</si>
  <si>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</si>
  <si>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</si>
  <si>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</si>
  <si>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</si>
  <si>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</si>
  <si>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</si>
  <si>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</si>
  <si>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</si>
  <si>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</si>
  <si>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</si>
  <si>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</si>
  <si>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</si>
  <si>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</si>
  <si>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</si>
  <si>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</si>
  <si>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</si>
  <si>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</si>
  <si>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</si>
  <si>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</si>
  <si>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</si>
  <si>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</si>
  <si>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</si>
  <si>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</si>
  <si>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</si>
  <si>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</si>
  <si>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</si>
  <si>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</si>
  <si>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</si>
  <si>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</si>
  <si>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</si>
  <si>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</si>
  <si>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</si>
  <si>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</si>
  <si>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</si>
  <si>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</si>
  <si>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</si>
  <si>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</si>
  <si>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</si>
  <si>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</si>
  <si>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</si>
  <si>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</si>
  <si>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</si>
  <si>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</si>
  <si>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</si>
  <si>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</si>
  <si>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</si>
  <si>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</si>
  <si>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</si>
  <si>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</si>
  <si>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</si>
  <si>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</si>
  <si>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</si>
  <si>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</si>
  <si>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</si>
  <si>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</si>
  <si>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</si>
  <si>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</si>
  <si>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</si>
  <si>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</si>
  <si>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</si>
  <si>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</si>
  <si>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</si>
  <si>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</si>
  <si>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</si>
  <si>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</si>
  <si>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</si>
  <si>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</si>
  <si>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</si>
  <si>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</si>
  <si>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</si>
  <si>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</si>
  <si>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</si>
  <si>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</si>
  <si>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PAN-018528</t>
  </si>
  <si>
    <t>EPR-KP3594VE</t>
  </si>
  <si>
    <t>Trade Effluent Services Limited</t>
  </si>
  <si>
    <t>Fron Farm, Moel y Crio, CH7 5QW</t>
  </si>
  <si>
    <t>Louise Bailey</t>
  </si>
  <si>
    <t>Moderate</t>
  </si>
  <si>
    <t>2-</t>
  </si>
  <si>
    <t>Secanim</t>
  </si>
  <si>
    <t>Croda Goole</t>
  </si>
  <si>
    <t>Croda Widnes</t>
  </si>
  <si>
    <t>Maelor</t>
  </si>
  <si>
    <t>Encirc</t>
  </si>
  <si>
    <t>Beechdean Ice cream</t>
  </si>
  <si>
    <t>PENDERYN DISTILLERY</t>
  </si>
  <si>
    <t>Kelloggs</t>
  </si>
  <si>
    <t>Rowan Foods</t>
  </si>
  <si>
    <t>07 07 12</t>
  </si>
  <si>
    <t>02 02 04</t>
  </si>
  <si>
    <t>02 03 05</t>
  </si>
  <si>
    <t>02 07 05</t>
  </si>
  <si>
    <t>02 05 01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</si>
</sst>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A44" sqref="A4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7" t="s">
        <v>41</v>
      </c>
      <c r="B1" s="127"/>
      <c r="C1" s="121" t="s">
        <v>160</v>
      </c>
      <c r="D1" s="122"/>
      <c r="E1" s="93" t="s">
        <v>45</v>
      </c>
      <c r="F1" s="96">
        <v>39.5</v>
      </c>
      <c r="G1" s="123" t="s">
        <v>43</v>
      </c>
      <c r="H1" s="124"/>
      <c r="I1" s="96">
        <v>7.45</v>
      </c>
      <c r="J1" s="127" t="s">
        <v>153</v>
      </c>
      <c r="K1" s="127"/>
      <c r="L1" s="96">
        <v>27</v>
      </c>
      <c r="AB1" s="18"/>
      <c r="AC1" s="18"/>
      <c r="AD1" s="30" t="s">
        <v>126</v>
      </c>
      <c r="AE1" s="17"/>
      <c r="AF1" s="17"/>
      <c r="AG1" s="18"/>
      <c r="AH1" s="18"/>
      <c r="AI1" s="40" t="s">
        <v>79</v>
      </c>
      <c r="AJ1" s="41" t="s">
        <v>94</v>
      </c>
      <c r="AK1" s="42" t="s">
        <v>95</v>
      </c>
      <c r="AL1" s="43" t="s">
        <v>125</v>
      </c>
      <c r="AM1" s="43" t="s">
        <v>131</v>
      </c>
      <c r="AN1" s="43" t="s">
        <v>111</v>
      </c>
    </row>
    <row r="2" spans="1:40" x14ac:dyDescent="0.2">
      <c r="A2" s="127" t="s">
        <v>87</v>
      </c>
      <c r="B2" s="127"/>
      <c r="C2" s="119" t="s">
        <v>161</v>
      </c>
      <c r="D2" s="120"/>
      <c r="E2" s="93" t="s">
        <v>109</v>
      </c>
      <c r="F2" s="96" t="s">
        <v>177</v>
      </c>
      <c r="G2" s="125" t="s">
        <v>110</v>
      </c>
      <c r="H2" s="126"/>
      <c r="I2" s="96">
        <v>1045</v>
      </c>
      <c r="J2" s="127" t="s">
        <v>158</v>
      </c>
      <c r="K2" s="127"/>
      <c r="L2" s="96">
        <v>7.0000000000000007E-2</v>
      </c>
      <c r="AB2" s="30" t="s">
        <v>56</v>
      </c>
      <c r="AC2" s="17"/>
      <c r="AD2" s="30" t="s">
        <v>70</v>
      </c>
      <c r="AE2" s="17"/>
      <c r="AF2" s="17"/>
      <c r="AG2" s="44" t="s">
        <v>76</v>
      </c>
      <c r="AH2" s="18"/>
      <c r="AI2" s="45" t="s">
        <v>126</v>
      </c>
      <c r="AJ2" s="46">
        <v>0</v>
      </c>
      <c r="AK2" s="47">
        <v>0</v>
      </c>
      <c r="AL2" s="10">
        <v>0</v>
      </c>
      <c r="AM2" s="11">
        <v>0</v>
      </c>
      <c r="AN2" s="11">
        <v>0</v>
      </c>
    </row>
    <row r="3" spans="1:40" x14ac:dyDescent="0.2">
      <c r="A3" s="123" t="s">
        <v>42</v>
      </c>
      <c r="B3" s="124"/>
      <c r="C3" s="119" t="s">
        <v>162</v>
      </c>
      <c r="D3" s="120"/>
      <c r="E3" s="93" t="s">
        <v>108</v>
      </c>
      <c r="F3" s="31" t="s">
        <v>78</v>
      </c>
      <c r="G3" s="127" t="s">
        <v>159</v>
      </c>
      <c r="H3" s="127"/>
      <c r="I3" s="96">
        <v>200</v>
      </c>
      <c r="J3" s="123" t="s">
        <v>154</v>
      </c>
      <c r="K3" s="124"/>
      <c r="L3" s="96">
        <f>(L1/(L2*10000))*100</f>
        <v>3.8571428571428563</v>
      </c>
      <c r="AB3" s="30" t="s">
        <v>57</v>
      </c>
      <c r="AC3" s="17"/>
      <c r="AD3" s="30" t="s">
        <v>71</v>
      </c>
      <c r="AE3" s="17"/>
      <c r="AF3" s="17"/>
      <c r="AG3" s="44" t="s">
        <v>77</v>
      </c>
      <c r="AH3" s="18"/>
      <c r="AI3" s="48" t="s">
        <v>113</v>
      </c>
      <c r="AJ3" s="49">
        <v>1.7</v>
      </c>
      <c r="AK3" s="50">
        <v>6</v>
      </c>
      <c r="AL3" s="51">
        <v>1</v>
      </c>
      <c r="AM3" s="11">
        <v>6.2</v>
      </c>
      <c r="AN3" s="11" t="s">
        <v>112</v>
      </c>
    </row>
    <row r="4" spans="1:40" x14ac:dyDescent="0.2">
      <c r="A4" s="127" t="s">
        <v>0</v>
      </c>
      <c r="B4" s="127"/>
      <c r="C4" s="121" t="s">
        <v>163</v>
      </c>
      <c r="D4" s="122"/>
      <c r="E4" s="94" t="s">
        <v>1</v>
      </c>
      <c r="F4" s="95" t="s">
        <v>167</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x14ac:dyDescent="0.2">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7" t="s">
        <v>2</v>
      </c>
      <c r="B8" s="127"/>
      <c r="C8" s="15">
        <v>1</v>
      </c>
      <c r="D8" s="15">
        <v>2</v>
      </c>
      <c r="E8" s="15">
        <v>3</v>
      </c>
      <c r="F8" s="15">
        <v>4</v>
      </c>
      <c r="G8" s="15">
        <v>5</v>
      </c>
      <c r="H8" s="15">
        <v>6</v>
      </c>
      <c r="I8" s="15">
        <v>7</v>
      </c>
      <c r="J8" s="15">
        <v>8</v>
      </c>
      <c r="K8" s="15">
        <v>9</v>
      </c>
      <c r="L8" s="15">
        <v>10</v>
      </c>
      <c r="M8" s="15">
        <v>11</v>
      </c>
      <c r="N8" s="15">
        <v>12</v>
      </c>
      <c r="O8" s="15">
        <v>13</v>
      </c>
      <c r="P8" s="15">
        <v>14</v>
      </c>
      <c r="Q8" s="15">
        <v>16</v>
      </c>
      <c r="R8" s="15">
        <v>17</v>
      </c>
      <c r="S8" s="15">
        <v>18</v>
      </c>
      <c r="T8" s="15">
        <v>19</v>
      </c>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27" t="s">
        <v>3</v>
      </c>
      <c r="B9" s="127"/>
      <c r="C9" s="15" t="s">
        <v>165</v>
      </c>
      <c r="D9" s="15" t="s">
        <v>165</v>
      </c>
      <c r="E9" s="15" t="s">
        <v>165</v>
      </c>
      <c r="F9" s="15" t="s">
        <v>165</v>
      </c>
      <c r="G9" s="15" t="s">
        <v>165</v>
      </c>
      <c r="H9" s="15" t="s">
        <v>165</v>
      </c>
      <c r="I9" s="15" t="s">
        <v>165</v>
      </c>
      <c r="J9" s="15" t="s">
        <v>165</v>
      </c>
      <c r="K9" s="15" t="s">
        <v>165</v>
      </c>
      <c r="L9" s="15" t="s">
        <v>165</v>
      </c>
      <c r="M9" s="15" t="s">
        <v>165</v>
      </c>
      <c r="N9" s="15" t="s">
        <v>165</v>
      </c>
      <c r="O9" s="15" t="s">
        <v>165</v>
      </c>
      <c r="P9" s="15" t="s">
        <v>165</v>
      </c>
      <c r="Q9" s="15" t="s">
        <v>165</v>
      </c>
      <c r="R9" s="15" t="s">
        <v>165</v>
      </c>
      <c r="S9" s="15" t="s">
        <v>165</v>
      </c>
      <c r="T9" s="15" t="s">
        <v>165</v>
      </c>
      <c r="U9" s="15"/>
      <c r="V9" s="15"/>
      <c r="AB9" s="17"/>
      <c r="AC9" s="17"/>
      <c r="AD9" s="30" t="s">
        <v>137</v>
      </c>
      <c r="AE9" s="30">
        <v>4.5</v>
      </c>
      <c r="AF9" s="17"/>
      <c r="AG9" s="18"/>
      <c r="AH9" s="18"/>
      <c r="AI9" s="63" t="s">
        <v>103</v>
      </c>
      <c r="AJ9" s="64">
        <v>0.7</v>
      </c>
      <c r="AK9" s="65">
        <v>4</v>
      </c>
      <c r="AL9" s="29">
        <v>7</v>
      </c>
      <c r="AM9" s="11">
        <v>6.7</v>
      </c>
      <c r="AN9" s="11" t="s">
        <v>135</v>
      </c>
    </row>
    <row r="10" spans="1:40" x14ac:dyDescent="0.2">
      <c r="A10" s="127" t="s">
        <v>4</v>
      </c>
      <c r="B10" s="127"/>
      <c r="C10" s="15">
        <v>6.2</v>
      </c>
      <c r="D10" s="15">
        <v>6.5</v>
      </c>
      <c r="E10" s="15">
        <v>6.1</v>
      </c>
      <c r="F10" s="15">
        <v>6.2</v>
      </c>
      <c r="G10" s="15">
        <v>6</v>
      </c>
      <c r="H10" s="15">
        <v>6.1</v>
      </c>
      <c r="I10" s="15">
        <v>6.7</v>
      </c>
      <c r="J10" s="15">
        <v>6.1</v>
      </c>
      <c r="K10" s="15">
        <v>6</v>
      </c>
      <c r="L10" s="15">
        <v>5.9</v>
      </c>
      <c r="M10" s="15">
        <v>5.9</v>
      </c>
      <c r="N10" s="15">
        <v>5.8</v>
      </c>
      <c r="O10" s="15">
        <v>5.8</v>
      </c>
      <c r="P10" s="15">
        <v>6.4</v>
      </c>
      <c r="Q10" s="15">
        <v>6.6</v>
      </c>
      <c r="R10" s="15">
        <v>6.5</v>
      </c>
      <c r="S10" s="15">
        <v>7.3</v>
      </c>
      <c r="T10" s="15">
        <v>7.1</v>
      </c>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27" t="s">
        <v>5</v>
      </c>
      <c r="B11" s="127"/>
      <c r="C11" s="15">
        <v>2</v>
      </c>
      <c r="D11" s="15">
        <v>3</v>
      </c>
      <c r="E11" s="15">
        <v>2</v>
      </c>
      <c r="F11" s="15">
        <v>1</v>
      </c>
      <c r="G11" s="15">
        <v>1</v>
      </c>
      <c r="H11" s="15">
        <v>1</v>
      </c>
      <c r="I11" s="15">
        <v>1</v>
      </c>
      <c r="J11" s="15">
        <v>1</v>
      </c>
      <c r="K11" s="15">
        <v>1</v>
      </c>
      <c r="L11" s="15">
        <v>1</v>
      </c>
      <c r="M11" s="15">
        <v>1</v>
      </c>
      <c r="N11" s="15">
        <v>0</v>
      </c>
      <c r="O11" s="15">
        <v>0</v>
      </c>
      <c r="P11" s="15">
        <v>1</v>
      </c>
      <c r="Q11" s="15">
        <v>3</v>
      </c>
      <c r="R11" s="15">
        <v>2</v>
      </c>
      <c r="S11" s="15">
        <v>3</v>
      </c>
      <c r="T11" s="15">
        <v>1</v>
      </c>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27" t="s">
        <v>6</v>
      </c>
      <c r="B12" s="127"/>
      <c r="C12" s="15">
        <v>0</v>
      </c>
      <c r="D12" s="15" t="s">
        <v>166</v>
      </c>
      <c r="E12" s="15">
        <v>1</v>
      </c>
      <c r="F12" s="15">
        <v>0</v>
      </c>
      <c r="G12" s="15">
        <v>1</v>
      </c>
      <c r="H12" s="15">
        <v>1</v>
      </c>
      <c r="I12" s="15">
        <v>1</v>
      </c>
      <c r="J12" s="15">
        <v>1</v>
      </c>
      <c r="K12" s="15">
        <v>0</v>
      </c>
      <c r="L12" s="15">
        <v>0</v>
      </c>
      <c r="M12" s="15" t="s">
        <v>166</v>
      </c>
      <c r="N12" s="15">
        <v>0</v>
      </c>
      <c r="O12" s="15">
        <v>0</v>
      </c>
      <c r="P12" s="15">
        <v>1</v>
      </c>
      <c r="Q12" s="15">
        <v>1</v>
      </c>
      <c r="R12" s="15">
        <v>1</v>
      </c>
      <c r="S12" s="15">
        <v>0</v>
      </c>
      <c r="T12" s="15">
        <v>0</v>
      </c>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27" t="s">
        <v>7</v>
      </c>
      <c r="B13" s="127"/>
      <c r="C13" s="15">
        <v>2</v>
      </c>
      <c r="D13" s="15">
        <v>2</v>
      </c>
      <c r="E13" s="15">
        <v>2</v>
      </c>
      <c r="F13" s="15">
        <v>2</v>
      </c>
      <c r="G13" s="15">
        <v>2</v>
      </c>
      <c r="H13" s="15">
        <v>2</v>
      </c>
      <c r="I13" s="15">
        <v>2</v>
      </c>
      <c r="J13" s="15">
        <v>2</v>
      </c>
      <c r="K13" s="15">
        <v>2</v>
      </c>
      <c r="L13" s="15">
        <v>2</v>
      </c>
      <c r="M13" s="15">
        <v>2</v>
      </c>
      <c r="N13" s="15">
        <v>2</v>
      </c>
      <c r="O13" s="15">
        <v>2</v>
      </c>
      <c r="P13" s="15">
        <v>2</v>
      </c>
      <c r="Q13" s="15">
        <v>2</v>
      </c>
      <c r="R13" s="15">
        <v>2</v>
      </c>
      <c r="S13" s="15">
        <v>1</v>
      </c>
      <c r="T13" s="15">
        <v>1</v>
      </c>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6" t="s">
        <v>8</v>
      </c>
      <c r="B14" s="136"/>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t="s">
        <v>113</v>
      </c>
      <c r="R14" s="100" t="s">
        <v>113</v>
      </c>
      <c r="S14" s="100" t="s">
        <v>113</v>
      </c>
      <c r="T14" s="100" t="s">
        <v>113</v>
      </c>
      <c r="U14" s="100"/>
      <c r="V14" s="100"/>
      <c r="AD14" s="30" t="s">
        <v>138</v>
      </c>
      <c r="AE14" s="30">
        <v>6</v>
      </c>
      <c r="AI14" s="53" t="s">
        <v>119</v>
      </c>
      <c r="AJ14" s="54">
        <v>0.8</v>
      </c>
      <c r="AK14" s="55">
        <v>1.7</v>
      </c>
      <c r="AL14" s="11">
        <v>12</v>
      </c>
      <c r="AM14" s="11">
        <v>6.7</v>
      </c>
      <c r="AN14" s="11" t="s">
        <v>135</v>
      </c>
    </row>
    <row r="15" spans="1:40" x14ac:dyDescent="0.2">
      <c r="A15" s="135" t="s">
        <v>9</v>
      </c>
      <c r="B15" s="135"/>
      <c r="C15" s="15">
        <v>38</v>
      </c>
      <c r="D15" s="15">
        <v>38</v>
      </c>
      <c r="E15" s="15">
        <v>38</v>
      </c>
      <c r="F15" s="15">
        <v>38</v>
      </c>
      <c r="G15" s="15">
        <v>38</v>
      </c>
      <c r="H15" s="15">
        <v>38</v>
      </c>
      <c r="I15" s="15">
        <v>38</v>
      </c>
      <c r="J15" s="15">
        <v>38</v>
      </c>
      <c r="K15" s="15">
        <v>38</v>
      </c>
      <c r="L15" s="15">
        <v>38</v>
      </c>
      <c r="M15" s="15">
        <v>38</v>
      </c>
      <c r="N15" s="15">
        <v>38</v>
      </c>
      <c r="O15" s="15">
        <v>38</v>
      </c>
      <c r="P15" s="15">
        <v>38</v>
      </c>
      <c r="Q15" s="15">
        <v>38</v>
      </c>
      <c r="R15" s="15">
        <v>38</v>
      </c>
      <c r="S15" s="15">
        <v>38</v>
      </c>
      <c r="T15" s="15">
        <v>38</v>
      </c>
      <c r="U15" s="15"/>
      <c r="V15" s="15"/>
      <c r="AD15" s="30" t="s">
        <v>144</v>
      </c>
      <c r="AE15" s="30">
        <v>7</v>
      </c>
      <c r="AI15" s="53" t="s">
        <v>101</v>
      </c>
      <c r="AJ15" s="62">
        <v>1.8</v>
      </c>
      <c r="AK15" s="55">
        <v>5.4</v>
      </c>
      <c r="AL15" s="11">
        <v>13</v>
      </c>
      <c r="AM15" s="11">
        <v>6.7</v>
      </c>
      <c r="AN15" s="11" t="s">
        <v>135</v>
      </c>
    </row>
    <row r="16" spans="1:40" ht="13.5" thickBot="1" x14ac:dyDescent="0.25">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t="s">
        <v>72</v>
      </c>
      <c r="S16" s="101" t="s">
        <v>72</v>
      </c>
      <c r="T16" s="101" t="s">
        <v>72</v>
      </c>
      <c r="U16" s="101"/>
      <c r="V16" s="101"/>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63.781439999999996</v>
      </c>
      <c r="D18" s="16">
        <f>$D32</f>
        <v>63.781439999999996</v>
      </c>
      <c r="E18" s="16">
        <f>$D33</f>
        <v>63.781439999999996</v>
      </c>
      <c r="F18" s="16">
        <f>$D34</f>
        <v>63.781439999999996</v>
      </c>
      <c r="G18" s="16">
        <f>$D35</f>
        <v>63.781439999999996</v>
      </c>
      <c r="H18" s="16">
        <f>$D36</f>
        <v>63.781439999999996</v>
      </c>
      <c r="I18" s="16">
        <f>$D37</f>
        <v>63.781439999999996</v>
      </c>
      <c r="J18" s="16">
        <f>$D38</f>
        <v>63.781439999999996</v>
      </c>
      <c r="K18" s="16">
        <f>$D39</f>
        <v>63.781439999999996</v>
      </c>
      <c r="L18" s="16">
        <f>$D40</f>
        <v>63.781439999999996</v>
      </c>
      <c r="M18" s="16">
        <f>$D41</f>
        <v>63.781439999999996</v>
      </c>
      <c r="N18" s="16">
        <f>$D42</f>
        <v>63.781439999999996</v>
      </c>
      <c r="O18" s="16">
        <f>$D43</f>
        <v>63.781439999999996</v>
      </c>
      <c r="P18" s="16">
        <f>$D44</f>
        <v>63.781439999999996</v>
      </c>
      <c r="Q18" s="16">
        <f>$D45</f>
        <v>63.781439999999996</v>
      </c>
      <c r="R18" s="16">
        <f>$D46</f>
        <v>63.781439999999996</v>
      </c>
      <c r="S18" s="16">
        <f>$D47</f>
        <v>63.781439999999996</v>
      </c>
      <c r="T18" s="16">
        <f>$D48</f>
        <v>63.781439999999996</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-0.81855999999999796</v>
      </c>
      <c r="D19" s="16">
        <f t="shared" ref="D19:V19" si="1">D18-D17</f>
        <v>-0.81855999999999796</v>
      </c>
      <c r="E19" s="16">
        <f t="shared" si="1"/>
        <v>-0.81855999999999796</v>
      </c>
      <c r="F19" s="16">
        <f t="shared" si="1"/>
        <v>-0.81855999999999796</v>
      </c>
      <c r="G19" s="16">
        <f t="shared" si="1"/>
        <v>-0.81855999999999796</v>
      </c>
      <c r="H19" s="16">
        <f t="shared" si="1"/>
        <v>-0.81855999999999796</v>
      </c>
      <c r="I19" s="16">
        <f t="shared" si="1"/>
        <v>-0.81855999999999796</v>
      </c>
      <c r="J19" s="16">
        <f t="shared" si="1"/>
        <v>-0.81855999999999796</v>
      </c>
      <c r="K19" s="16">
        <f t="shared" si="1"/>
        <v>-0.81855999999999796</v>
      </c>
      <c r="L19" s="16">
        <f t="shared" si="1"/>
        <v>-0.81855999999999796</v>
      </c>
      <c r="M19" s="16">
        <f t="shared" si="1"/>
        <v>-0.81855999999999796</v>
      </c>
      <c r="N19" s="16">
        <f t="shared" si="1"/>
        <v>-0.81855999999999796</v>
      </c>
      <c r="O19" s="16">
        <f t="shared" si="1"/>
        <v>-0.81855999999999796</v>
      </c>
      <c r="P19" s="16">
        <f t="shared" si="1"/>
        <v>-0.81855999999999796</v>
      </c>
      <c r="Q19" s="16">
        <f t="shared" si="1"/>
        <v>-0.81855999999999796</v>
      </c>
      <c r="R19" s="16">
        <f t="shared" si="1"/>
        <v>-0.81855999999999796</v>
      </c>
      <c r="S19" s="16">
        <f t="shared" si="1"/>
        <v>-0.81855999999999796</v>
      </c>
      <c r="T19" s="16">
        <f t="shared" si="1"/>
        <v>-0.81855999999999796</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49.761680000000005</v>
      </c>
      <c r="D22" s="16">
        <f>$E32</f>
        <v>49.761680000000005</v>
      </c>
      <c r="E22" s="16">
        <f>$E33</f>
        <v>49.761680000000005</v>
      </c>
      <c r="F22" s="16">
        <f>$E34</f>
        <v>49.761680000000005</v>
      </c>
      <c r="G22" s="16">
        <f>$E35</f>
        <v>49.761680000000005</v>
      </c>
      <c r="H22" s="16">
        <f>$E36</f>
        <v>49.761680000000005</v>
      </c>
      <c r="I22" s="16">
        <f>$E37</f>
        <v>49.761680000000005</v>
      </c>
      <c r="J22" s="16">
        <f>$E38</f>
        <v>49.761680000000005</v>
      </c>
      <c r="K22" s="16">
        <f>$E39</f>
        <v>49.761680000000005</v>
      </c>
      <c r="L22" s="16">
        <f>$E40</f>
        <v>49.761680000000005</v>
      </c>
      <c r="M22" s="16">
        <f>$E41</f>
        <v>49.761680000000005</v>
      </c>
      <c r="N22" s="16">
        <f>$E42</f>
        <v>49.761680000000005</v>
      </c>
      <c r="O22" s="16">
        <f>$E43</f>
        <v>49.761680000000005</v>
      </c>
      <c r="P22" s="16">
        <f>$E44</f>
        <v>49.761680000000005</v>
      </c>
      <c r="Q22" s="16">
        <f>$E45</f>
        <v>49.761680000000005</v>
      </c>
      <c r="R22" s="16">
        <f>$E46</f>
        <v>49.761680000000005</v>
      </c>
      <c r="S22" s="16">
        <f>$E47</f>
        <v>49.761680000000005</v>
      </c>
      <c r="T22" s="16">
        <f>$E48</f>
        <v>49.761680000000005</v>
      </c>
      <c r="U22" s="16">
        <f>$E49</f>
        <v>0</v>
      </c>
      <c r="V22" s="16">
        <f>$E50</f>
        <v>0</v>
      </c>
      <c r="AI22" s="63" t="s">
        <v>102</v>
      </c>
      <c r="AJ22" s="64">
        <v>1.2</v>
      </c>
      <c r="AK22" s="65">
        <v>5</v>
      </c>
      <c r="AL22" s="29">
        <v>20</v>
      </c>
      <c r="AM22" s="11">
        <v>6.7</v>
      </c>
      <c r="AN22" s="11" t="s">
        <v>135</v>
      </c>
    </row>
    <row r="23" spans="1:40" x14ac:dyDescent="0.2">
      <c r="A23" s="131" t="s">
        <v>92</v>
      </c>
      <c r="B23" s="132"/>
      <c r="C23" s="16">
        <f>C22-C21</f>
        <v>-178.23831999999999</v>
      </c>
      <c r="D23" s="16">
        <f t="shared" ref="D23:V23" si="3">D22-D21</f>
        <v>-178.23831999999999</v>
      </c>
      <c r="E23" s="16">
        <f t="shared" si="3"/>
        <v>-178.23831999999999</v>
      </c>
      <c r="F23" s="16">
        <f t="shared" si="3"/>
        <v>-178.23831999999999</v>
      </c>
      <c r="G23" s="16">
        <f t="shared" si="3"/>
        <v>-178.23831999999999</v>
      </c>
      <c r="H23" s="16">
        <f t="shared" si="3"/>
        <v>-178.23831999999999</v>
      </c>
      <c r="I23" s="16">
        <f t="shared" si="3"/>
        <v>-178.23831999999999</v>
      </c>
      <c r="J23" s="16">
        <f t="shared" si="3"/>
        <v>-178.23831999999999</v>
      </c>
      <c r="K23" s="16">
        <f t="shared" si="3"/>
        <v>-178.23831999999999</v>
      </c>
      <c r="L23" s="16">
        <f t="shared" si="3"/>
        <v>-178.23831999999999</v>
      </c>
      <c r="M23" s="16">
        <f t="shared" si="3"/>
        <v>-178.23831999999999</v>
      </c>
      <c r="N23" s="16">
        <f t="shared" si="3"/>
        <v>-178.23831999999999</v>
      </c>
      <c r="O23" s="16">
        <f t="shared" si="3"/>
        <v>-178.23831999999999</v>
      </c>
      <c r="P23" s="16">
        <f t="shared" si="3"/>
        <v>-178.23831999999999</v>
      </c>
      <c r="Q23" s="16">
        <f t="shared" si="3"/>
        <v>-178.23831999999999</v>
      </c>
      <c r="R23" s="16">
        <f t="shared" si="3"/>
        <v>-178.23831999999999</v>
      </c>
      <c r="S23" s="16">
        <f t="shared" si="3"/>
        <v>-178.23831999999999</v>
      </c>
      <c r="T23" s="16">
        <f t="shared" si="3"/>
        <v>-178.23831999999999</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1.1399999999999999</v>
      </c>
      <c r="C28" s="15">
        <v>7.0000000000000007E-2</v>
      </c>
      <c r="D28" s="15">
        <v>120</v>
      </c>
      <c r="E28" s="15">
        <v>178</v>
      </c>
      <c r="F28" s="15">
        <v>22.7</v>
      </c>
      <c r="G28" s="15">
        <v>0.77300000000000002</v>
      </c>
      <c r="H28" s="15">
        <v>2.14</v>
      </c>
      <c r="I28" s="15">
        <v>0.5</v>
      </c>
      <c r="J28" s="15">
        <v>0.01</v>
      </c>
      <c r="K28" s="23">
        <v>0.05</v>
      </c>
      <c r="L28" s="15">
        <v>0.2</v>
      </c>
      <c r="M28" s="15">
        <v>0.2</v>
      </c>
      <c r="N28" s="15"/>
      <c r="O28" s="15"/>
      <c r="P28" s="15">
        <v>1298</v>
      </c>
      <c r="Q28" s="15">
        <v>443</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232</v>
      </c>
      <c r="C31" s="77">
        <f>IF(C$27="%w/w SAR",((C$28*10)*$B31),IF(C$27="%w/w DM",(((C$28*10)*($B$28/100))*$B31),IF(C$27="kg/t SAR",(C$28*$B31),IF(C$27="kg/t DM",((C$28*($B$28/100))*$B31),IF(C$27="mg/kg SAR",((C$28*0.001)*$B31),IF(C$27="mg/kg DM",(((C$28*0.001)*($B$28/100))*$B31),0))))))</f>
        <v>162.4</v>
      </c>
      <c r="D31" s="77">
        <f>(IF(D$27="%w/w SAR",((D$28*10)*$B31),IF(D$27="%w/w DM",(((D$28*10)*($B$28/100))*$B31),IF(D$27="kg/t SAR",(D$28*$B31),IF(D$27="kg/t DM",((D$28*($B$28/100))*$B31),IF(D$27="mg/kg SAR",((D$28*0.001)*$B31),IF(D$27="mg/kg DM",(((D$28*0.001)*($B$28/100))*$B31),"0")))))))*2.291</f>
        <v>63.781439999999996</v>
      </c>
      <c r="E31" s="77">
        <f>(IF(E$27="%w/w SAR",((E$28*10)*$B31),IF(E$27="%w/w DM",(((E$28*10)*($B$28/100))*$B31),IF(E$27="kg/t SAR",(E$28*$B31),IF(E$27="kg/t DM",((E$28*($B$28/100))*$B31),IF(E$27="mg/kg SAR",((E$28*0.001)*$B31),IF(E$27="mg/kg DM",(((E$28*0.001)*($B$28/100))*$B31),"0")))))))*1.205</f>
        <v>49.761680000000005</v>
      </c>
      <c r="F31" s="77">
        <f>(IF(F$27="%w/w SAR",((F$28*10)*$B31),IF(F$27="%w/w DM",(((F$28*10)*($B$28/100))*$B31),IF(F$27="kg/t SAR",(F$28*$B31),IF(F$27="kg/t DM",((F$28*($B$28/100))*$B31),IF(F$27="mg/kg SAR",((F$28*0.001)*$B31),IF(F$27="mg/kg DM",(((F$28*0.001)*($B$28/100))*$B31),"0")))))))*1.658</f>
        <v>8.7316912000000002</v>
      </c>
      <c r="G31" s="77">
        <f t="shared" ref="G31:P31" si="5">IF(G$27="%w/w SAR",((G$28*10)*$B31),IF(G$27="%w/w DM",(((G$28*10)*($B$28/100))*$B31),IF(G$27="kg/t SAR",(G$28*$B31),IF(G$27="kg/t DM",((G$28*($B$28/100))*$B31),IF(G$27="mg/kg SAR",((G$28*0.001)*$B31),IF(G$27="mg/kg DM",(((G$28*0.001)*($B$28/100))*$B31),0))))))</f>
        <v>0.179336</v>
      </c>
      <c r="H31" s="77">
        <f t="shared" si="5"/>
        <v>0.49647999999999998</v>
      </c>
      <c r="I31" s="77">
        <f t="shared" si="5"/>
        <v>0.11600000000000001</v>
      </c>
      <c r="J31" s="77">
        <f t="shared" si="5"/>
        <v>2.32E-3</v>
      </c>
      <c r="K31" s="77">
        <f t="shared" si="5"/>
        <v>1.1600000000000001E-2</v>
      </c>
      <c r="L31" s="77">
        <f t="shared" si="5"/>
        <v>4.6400000000000004E-2</v>
      </c>
      <c r="M31" s="77">
        <f t="shared" si="5"/>
        <v>4.6400000000000004E-2</v>
      </c>
      <c r="N31" s="77">
        <f t="shared" si="5"/>
        <v>0</v>
      </c>
      <c r="O31" s="77">
        <f t="shared" si="5"/>
        <v>0</v>
      </c>
      <c r="P31" s="77">
        <f t="shared" si="5"/>
        <v>301.13600000000002</v>
      </c>
      <c r="Q31" s="77">
        <f>(IF(Q$27="%w/w SAR",((Q$28*10)*$B31),IF(Q$27="%w/w DM",(((Q$28*10)*($B$28/100))*$B31),IF(Q$27="kg/t SAR",(Q$28*$B31),IF(Q$27="kg/t DM",((Q$28*($B$28/100))*$B31),IF(Q$27="mg/kg SAR",((Q$28*0.001)*$B31),IF(Q$27="mg/kg DM",(((Q$28*0.001)*($B$28/100))*$B31),0)))))))*2.5</f>
        <v>256.94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232</v>
      </c>
      <c r="C32" s="77">
        <f t="shared" ref="C32:C50" si="6">IF(C$27="%w/w SAR",((C$28*10)*$B32),IF(C$27="%w/w DM",(((C$28*10)*($B$28/100))*$B32),IF(C$27="kg/t SAR",(C$28*$B32),IF(C$27="kg/t DM",((C$28*($B$28/100))*$B32),IF(C$27="mg/kg SAR",((C$28*0.001)*$B32),IF(C$27="mg/kg DM",(((C$28*0.001)*($B$28/100))*$B32),0))))))</f>
        <v>162.4</v>
      </c>
      <c r="D32" s="77">
        <f t="shared" ref="D32:D50" si="7">(IF(D$27="%w/w SAR",((D$28*10)*$B32),IF(D$27="%w/w DM",(((D$28*10)*($B$28/100))*$B32),IF(D$27="kg/t SAR",(D$28*$B32),IF(D$27="kg/t DM",((D$28*($B$28/100))*$B32),IF(D$27="mg/kg SAR",((D$28*0.001)*$B32),IF(D$27="mg/kg DM",(((D$28*0.001)*($B$28/100))*$B32),"0")))))))*2.291</f>
        <v>63.781439999999996</v>
      </c>
      <c r="E32" s="77">
        <f t="shared" ref="E32:E50" si="8">(IF(E$27="%w/w SAR",((E$28*10)*$B32),IF(E$27="%w/w DM",(((E$28*10)*($B$28/100))*$B32),IF(E$27="kg/t SAR",(E$28*$B32),IF(E$27="kg/t DM",((E$28*($B$28/100))*$B32),IF(E$27="mg/kg SAR",((E$28*0.001)*$B32),IF(E$27="mg/kg DM",(((E$28*0.001)*($B$28/100))*$B32),"0")))))))*1.205</f>
        <v>49.761680000000005</v>
      </c>
      <c r="F32" s="77">
        <f t="shared" ref="F32:F50" si="9">(IF(F$27="%w/w SAR",((F$28*10)*$B32),IF(F$27="%w/w DM",(((F$28*10)*($B$28/100))*$B32),IF(F$27="kg/t SAR",(F$28*$B32),IF(F$27="kg/t DM",((F$28*($B$28/100))*$B32),IF(F$27="mg/kg SAR",((F$28*0.001)*$B32),IF(F$27="mg/kg DM",(((F$28*0.001)*($B$28/100))*$B32),"0")))))))*1.658</f>
        <v>8.7316912000000002</v>
      </c>
      <c r="G32" s="77">
        <f t="shared" ref="G32:P50" si="10">IF(G$27="%w/w SAR",((G$28*10)*$B32),IF(G$27="%w/w DM",(((G$28*10)*($B$28/100))*$B32),IF(G$27="kg/t SAR",(G$28*$B32),IF(G$27="kg/t DM",((G$28*($B$28/100))*$B32),IF(G$27="mg/kg SAR",((G$28*0.001)*$B32),IF(G$27="mg/kg DM",(((G$28*0.001)*($B$28/100))*$B32),0))))))</f>
        <v>0.179336</v>
      </c>
      <c r="H32" s="77">
        <f t="shared" si="10"/>
        <v>0.49647999999999998</v>
      </c>
      <c r="I32" s="77">
        <f t="shared" si="10"/>
        <v>0.11600000000000001</v>
      </c>
      <c r="J32" s="77">
        <f t="shared" si="10"/>
        <v>2.32E-3</v>
      </c>
      <c r="K32" s="77">
        <f t="shared" si="10"/>
        <v>1.1600000000000001E-2</v>
      </c>
      <c r="L32" s="77">
        <f t="shared" si="10"/>
        <v>4.6400000000000004E-2</v>
      </c>
      <c r="M32" s="77">
        <f t="shared" si="10"/>
        <v>4.6400000000000004E-2</v>
      </c>
      <c r="N32" s="77">
        <f t="shared" si="10"/>
        <v>0</v>
      </c>
      <c r="O32" s="77">
        <f t="shared" si="10"/>
        <v>0</v>
      </c>
      <c r="P32" s="77">
        <f t="shared" si="10"/>
        <v>301.13600000000002</v>
      </c>
      <c r="Q32" s="77">
        <f t="shared" ref="Q32:Q50" si="11">(IF(Q$27="%w/w SAR",((Q$28*10)*$B32),IF(Q$27="%w/w DM",(((Q$28*10)*($B$28/100))*$B32),IF(Q$27="kg/t SAR",(Q$28*$B32),IF(Q$27="kg/t DM",((Q$28*($B$28/100))*$B32),IF(Q$27="mg/kg SAR",((Q$28*0.001)*$B32),IF(Q$27="mg/kg DM",(((Q$28*0.001)*($B$28/100))*$B32),0)))))))*2.5</f>
        <v>256.94</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f>E8</f>
        <v>3</v>
      </c>
      <c r="B33" s="15">
        <v>232</v>
      </c>
      <c r="C33" s="77">
        <f t="shared" si="6"/>
        <v>162.4</v>
      </c>
      <c r="D33" s="77">
        <f t="shared" si="7"/>
        <v>63.781439999999996</v>
      </c>
      <c r="E33" s="77">
        <f t="shared" si="8"/>
        <v>49.761680000000005</v>
      </c>
      <c r="F33" s="77">
        <f t="shared" si="9"/>
        <v>8.7316912000000002</v>
      </c>
      <c r="G33" s="77">
        <f t="shared" si="10"/>
        <v>0.179336</v>
      </c>
      <c r="H33" s="77">
        <f t="shared" si="10"/>
        <v>0.49647999999999998</v>
      </c>
      <c r="I33" s="77">
        <f t="shared" si="10"/>
        <v>0.11600000000000001</v>
      </c>
      <c r="J33" s="77">
        <f t="shared" si="10"/>
        <v>2.32E-3</v>
      </c>
      <c r="K33" s="77">
        <f t="shared" si="10"/>
        <v>1.1600000000000001E-2</v>
      </c>
      <c r="L33" s="77">
        <f t="shared" si="10"/>
        <v>4.6400000000000004E-2</v>
      </c>
      <c r="M33" s="77">
        <f t="shared" si="10"/>
        <v>4.6400000000000004E-2</v>
      </c>
      <c r="N33" s="77">
        <f t="shared" si="10"/>
        <v>0</v>
      </c>
      <c r="O33" s="77">
        <f t="shared" si="10"/>
        <v>0</v>
      </c>
      <c r="P33" s="77">
        <f t="shared" si="10"/>
        <v>301.13600000000002</v>
      </c>
      <c r="Q33" s="77">
        <f t="shared" si="11"/>
        <v>256.94</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f>F8</f>
        <v>4</v>
      </c>
      <c r="B34" s="15">
        <v>232</v>
      </c>
      <c r="C34" s="77">
        <f t="shared" si="6"/>
        <v>162.4</v>
      </c>
      <c r="D34" s="77">
        <f t="shared" si="7"/>
        <v>63.781439999999996</v>
      </c>
      <c r="E34" s="77">
        <f t="shared" si="8"/>
        <v>49.761680000000005</v>
      </c>
      <c r="F34" s="77">
        <f t="shared" si="9"/>
        <v>8.7316912000000002</v>
      </c>
      <c r="G34" s="77">
        <f t="shared" si="10"/>
        <v>0.179336</v>
      </c>
      <c r="H34" s="77">
        <f t="shared" si="10"/>
        <v>0.49647999999999998</v>
      </c>
      <c r="I34" s="77">
        <f t="shared" si="10"/>
        <v>0.11600000000000001</v>
      </c>
      <c r="J34" s="77">
        <f t="shared" si="10"/>
        <v>2.32E-3</v>
      </c>
      <c r="K34" s="77">
        <f t="shared" si="10"/>
        <v>1.1600000000000001E-2</v>
      </c>
      <c r="L34" s="77">
        <f t="shared" si="10"/>
        <v>4.6400000000000004E-2</v>
      </c>
      <c r="M34" s="77">
        <f t="shared" si="10"/>
        <v>4.6400000000000004E-2</v>
      </c>
      <c r="N34" s="77">
        <f t="shared" si="10"/>
        <v>0</v>
      </c>
      <c r="O34" s="77">
        <f t="shared" si="10"/>
        <v>0</v>
      </c>
      <c r="P34" s="77">
        <f t="shared" si="10"/>
        <v>301.13600000000002</v>
      </c>
      <c r="Q34" s="77">
        <f t="shared" si="11"/>
        <v>256.94</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f>G8</f>
        <v>5</v>
      </c>
      <c r="B35" s="15">
        <v>232</v>
      </c>
      <c r="C35" s="77">
        <f t="shared" si="6"/>
        <v>162.4</v>
      </c>
      <c r="D35" s="77">
        <f t="shared" si="7"/>
        <v>63.781439999999996</v>
      </c>
      <c r="E35" s="77">
        <f t="shared" si="8"/>
        <v>49.761680000000005</v>
      </c>
      <c r="F35" s="77">
        <f t="shared" si="9"/>
        <v>8.7316912000000002</v>
      </c>
      <c r="G35" s="77">
        <f t="shared" si="10"/>
        <v>0.179336</v>
      </c>
      <c r="H35" s="77">
        <f t="shared" si="10"/>
        <v>0.49647999999999998</v>
      </c>
      <c r="I35" s="77">
        <f t="shared" si="10"/>
        <v>0.11600000000000001</v>
      </c>
      <c r="J35" s="77">
        <f t="shared" si="10"/>
        <v>2.32E-3</v>
      </c>
      <c r="K35" s="77">
        <f t="shared" si="10"/>
        <v>1.1600000000000001E-2</v>
      </c>
      <c r="L35" s="77">
        <f t="shared" si="10"/>
        <v>4.6400000000000004E-2</v>
      </c>
      <c r="M35" s="77">
        <f t="shared" si="10"/>
        <v>4.6400000000000004E-2</v>
      </c>
      <c r="N35" s="77">
        <f t="shared" si="10"/>
        <v>0</v>
      </c>
      <c r="O35" s="77">
        <f t="shared" si="10"/>
        <v>0</v>
      </c>
      <c r="P35" s="77">
        <f t="shared" si="10"/>
        <v>301.13600000000002</v>
      </c>
      <c r="Q35" s="77">
        <f t="shared" si="11"/>
        <v>256.94</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f>H8</f>
        <v>6</v>
      </c>
      <c r="B36" s="15">
        <v>232</v>
      </c>
      <c r="C36" s="77">
        <f t="shared" si="6"/>
        <v>162.4</v>
      </c>
      <c r="D36" s="77">
        <f t="shared" si="7"/>
        <v>63.781439999999996</v>
      </c>
      <c r="E36" s="77">
        <f t="shared" si="8"/>
        <v>49.761680000000005</v>
      </c>
      <c r="F36" s="77">
        <f t="shared" si="9"/>
        <v>8.7316912000000002</v>
      </c>
      <c r="G36" s="77">
        <f t="shared" si="10"/>
        <v>0.179336</v>
      </c>
      <c r="H36" s="77">
        <f t="shared" si="10"/>
        <v>0.49647999999999998</v>
      </c>
      <c r="I36" s="77">
        <f t="shared" si="10"/>
        <v>0.11600000000000001</v>
      </c>
      <c r="J36" s="77">
        <f t="shared" si="10"/>
        <v>2.32E-3</v>
      </c>
      <c r="K36" s="77">
        <f t="shared" si="10"/>
        <v>1.1600000000000001E-2</v>
      </c>
      <c r="L36" s="77">
        <f t="shared" si="10"/>
        <v>4.6400000000000004E-2</v>
      </c>
      <c r="M36" s="77">
        <f t="shared" si="10"/>
        <v>4.6400000000000004E-2</v>
      </c>
      <c r="N36" s="77">
        <f t="shared" si="10"/>
        <v>0</v>
      </c>
      <c r="O36" s="77">
        <f t="shared" si="10"/>
        <v>0</v>
      </c>
      <c r="P36" s="77">
        <f t="shared" si="10"/>
        <v>301.13600000000002</v>
      </c>
      <c r="Q36" s="77">
        <f t="shared" si="11"/>
        <v>256.94</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f>I8</f>
        <v>7</v>
      </c>
      <c r="B37" s="15">
        <v>232</v>
      </c>
      <c r="C37" s="77">
        <f t="shared" si="6"/>
        <v>162.4</v>
      </c>
      <c r="D37" s="77">
        <f t="shared" si="7"/>
        <v>63.781439999999996</v>
      </c>
      <c r="E37" s="77">
        <f t="shared" si="8"/>
        <v>49.761680000000005</v>
      </c>
      <c r="F37" s="77">
        <f t="shared" si="9"/>
        <v>8.7316912000000002</v>
      </c>
      <c r="G37" s="77">
        <f t="shared" si="10"/>
        <v>0.179336</v>
      </c>
      <c r="H37" s="77">
        <f t="shared" si="10"/>
        <v>0.49647999999999998</v>
      </c>
      <c r="I37" s="77">
        <f t="shared" si="10"/>
        <v>0.11600000000000001</v>
      </c>
      <c r="J37" s="77">
        <f t="shared" si="10"/>
        <v>2.32E-3</v>
      </c>
      <c r="K37" s="77">
        <f t="shared" si="10"/>
        <v>1.1600000000000001E-2</v>
      </c>
      <c r="L37" s="77">
        <f t="shared" si="10"/>
        <v>4.6400000000000004E-2</v>
      </c>
      <c r="M37" s="77">
        <f t="shared" si="10"/>
        <v>4.6400000000000004E-2</v>
      </c>
      <c r="N37" s="77">
        <f t="shared" si="10"/>
        <v>0</v>
      </c>
      <c r="O37" s="77">
        <f t="shared" si="10"/>
        <v>0</v>
      </c>
      <c r="P37" s="77">
        <f t="shared" si="10"/>
        <v>301.13600000000002</v>
      </c>
      <c r="Q37" s="77">
        <f t="shared" si="11"/>
        <v>256.94</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f>J8</f>
        <v>8</v>
      </c>
      <c r="B38" s="15">
        <v>232</v>
      </c>
      <c r="C38" s="77">
        <f t="shared" si="6"/>
        <v>162.4</v>
      </c>
      <c r="D38" s="77">
        <f t="shared" si="7"/>
        <v>63.781439999999996</v>
      </c>
      <c r="E38" s="77">
        <f t="shared" si="8"/>
        <v>49.761680000000005</v>
      </c>
      <c r="F38" s="77">
        <f t="shared" si="9"/>
        <v>8.7316912000000002</v>
      </c>
      <c r="G38" s="77">
        <f t="shared" si="10"/>
        <v>0.179336</v>
      </c>
      <c r="H38" s="77">
        <f t="shared" si="10"/>
        <v>0.49647999999999998</v>
      </c>
      <c r="I38" s="77">
        <f t="shared" si="10"/>
        <v>0.11600000000000001</v>
      </c>
      <c r="J38" s="77">
        <f t="shared" si="10"/>
        <v>2.32E-3</v>
      </c>
      <c r="K38" s="77">
        <f t="shared" si="10"/>
        <v>1.1600000000000001E-2</v>
      </c>
      <c r="L38" s="77">
        <f t="shared" si="10"/>
        <v>4.6400000000000004E-2</v>
      </c>
      <c r="M38" s="77">
        <f t="shared" si="10"/>
        <v>4.6400000000000004E-2</v>
      </c>
      <c r="N38" s="77">
        <f t="shared" si="10"/>
        <v>0</v>
      </c>
      <c r="O38" s="77">
        <f t="shared" si="10"/>
        <v>0</v>
      </c>
      <c r="P38" s="77">
        <f t="shared" si="10"/>
        <v>301.13600000000002</v>
      </c>
      <c r="Q38" s="77">
        <f t="shared" si="11"/>
        <v>256.94</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f>K8</f>
        <v>9</v>
      </c>
      <c r="B39" s="15">
        <v>232</v>
      </c>
      <c r="C39" s="77">
        <f t="shared" si="6"/>
        <v>162.4</v>
      </c>
      <c r="D39" s="77">
        <f t="shared" si="7"/>
        <v>63.781439999999996</v>
      </c>
      <c r="E39" s="77">
        <f t="shared" si="8"/>
        <v>49.761680000000005</v>
      </c>
      <c r="F39" s="77">
        <f t="shared" si="9"/>
        <v>8.7316912000000002</v>
      </c>
      <c r="G39" s="77">
        <f t="shared" si="10"/>
        <v>0.179336</v>
      </c>
      <c r="H39" s="77">
        <f t="shared" si="10"/>
        <v>0.49647999999999998</v>
      </c>
      <c r="I39" s="77">
        <f t="shared" si="10"/>
        <v>0.11600000000000001</v>
      </c>
      <c r="J39" s="77">
        <f t="shared" si="10"/>
        <v>2.32E-3</v>
      </c>
      <c r="K39" s="77">
        <f t="shared" si="10"/>
        <v>1.1600000000000001E-2</v>
      </c>
      <c r="L39" s="77">
        <f t="shared" si="10"/>
        <v>4.6400000000000004E-2</v>
      </c>
      <c r="M39" s="77">
        <f t="shared" si="10"/>
        <v>4.6400000000000004E-2</v>
      </c>
      <c r="N39" s="77">
        <f t="shared" si="10"/>
        <v>0</v>
      </c>
      <c r="O39" s="77">
        <f t="shared" si="10"/>
        <v>0</v>
      </c>
      <c r="P39" s="77">
        <f t="shared" si="10"/>
        <v>301.13600000000002</v>
      </c>
      <c r="Q39" s="77">
        <f t="shared" si="11"/>
        <v>256.94</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10</v>
      </c>
      <c r="B40" s="15">
        <v>232</v>
      </c>
      <c r="C40" s="77">
        <f t="shared" si="6"/>
        <v>162.4</v>
      </c>
      <c r="D40" s="77">
        <f t="shared" si="7"/>
        <v>63.781439999999996</v>
      </c>
      <c r="E40" s="77">
        <f t="shared" si="8"/>
        <v>49.761680000000005</v>
      </c>
      <c r="F40" s="77">
        <f t="shared" si="9"/>
        <v>8.7316912000000002</v>
      </c>
      <c r="G40" s="77">
        <f t="shared" si="10"/>
        <v>0.179336</v>
      </c>
      <c r="H40" s="77">
        <f t="shared" si="10"/>
        <v>0.49647999999999998</v>
      </c>
      <c r="I40" s="77">
        <f t="shared" si="10"/>
        <v>0.11600000000000001</v>
      </c>
      <c r="J40" s="77">
        <f t="shared" si="10"/>
        <v>2.32E-3</v>
      </c>
      <c r="K40" s="77">
        <f t="shared" si="10"/>
        <v>1.1600000000000001E-2</v>
      </c>
      <c r="L40" s="77">
        <f t="shared" si="10"/>
        <v>4.6400000000000004E-2</v>
      </c>
      <c r="M40" s="77">
        <f t="shared" si="10"/>
        <v>4.6400000000000004E-2</v>
      </c>
      <c r="N40" s="77">
        <f t="shared" si="10"/>
        <v>0</v>
      </c>
      <c r="O40" s="77">
        <f t="shared" si="10"/>
        <v>0</v>
      </c>
      <c r="P40" s="77">
        <f t="shared" si="10"/>
        <v>301.13600000000002</v>
      </c>
      <c r="Q40" s="77">
        <f t="shared" si="11"/>
        <v>256.94</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11</v>
      </c>
      <c r="B41" s="15">
        <v>232</v>
      </c>
      <c r="C41" s="77">
        <f t="shared" si="6"/>
        <v>162.4</v>
      </c>
      <c r="D41" s="77">
        <f t="shared" si="7"/>
        <v>63.781439999999996</v>
      </c>
      <c r="E41" s="77">
        <f t="shared" si="8"/>
        <v>49.761680000000005</v>
      </c>
      <c r="F41" s="77">
        <f t="shared" si="9"/>
        <v>8.7316912000000002</v>
      </c>
      <c r="G41" s="77">
        <f t="shared" si="10"/>
        <v>0.179336</v>
      </c>
      <c r="H41" s="77">
        <f t="shared" si="10"/>
        <v>0.49647999999999998</v>
      </c>
      <c r="I41" s="77">
        <f t="shared" si="10"/>
        <v>0.11600000000000001</v>
      </c>
      <c r="J41" s="77">
        <f t="shared" si="10"/>
        <v>2.32E-3</v>
      </c>
      <c r="K41" s="77">
        <f t="shared" si="10"/>
        <v>1.1600000000000001E-2</v>
      </c>
      <c r="L41" s="77">
        <f t="shared" si="10"/>
        <v>4.6400000000000004E-2</v>
      </c>
      <c r="M41" s="77">
        <f t="shared" si="10"/>
        <v>4.6400000000000004E-2</v>
      </c>
      <c r="N41" s="77">
        <f t="shared" si="10"/>
        <v>0</v>
      </c>
      <c r="O41" s="77">
        <f t="shared" si="10"/>
        <v>0</v>
      </c>
      <c r="P41" s="77">
        <f t="shared" si="10"/>
        <v>301.13600000000002</v>
      </c>
      <c r="Q41" s="77">
        <f t="shared" si="11"/>
        <v>256.94</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12</v>
      </c>
      <c r="B42" s="15">
        <v>232</v>
      </c>
      <c r="C42" s="77">
        <f t="shared" si="6"/>
        <v>162.4</v>
      </c>
      <c r="D42" s="77">
        <f t="shared" si="7"/>
        <v>63.781439999999996</v>
      </c>
      <c r="E42" s="77">
        <f t="shared" si="8"/>
        <v>49.761680000000005</v>
      </c>
      <c r="F42" s="77">
        <f t="shared" si="9"/>
        <v>8.7316912000000002</v>
      </c>
      <c r="G42" s="77">
        <f t="shared" si="10"/>
        <v>0.179336</v>
      </c>
      <c r="H42" s="77">
        <f t="shared" si="10"/>
        <v>0.49647999999999998</v>
      </c>
      <c r="I42" s="77">
        <f t="shared" si="10"/>
        <v>0.11600000000000001</v>
      </c>
      <c r="J42" s="77">
        <f t="shared" si="10"/>
        <v>2.32E-3</v>
      </c>
      <c r="K42" s="77">
        <f t="shared" si="10"/>
        <v>1.1600000000000001E-2</v>
      </c>
      <c r="L42" s="77">
        <f t="shared" si="10"/>
        <v>4.6400000000000004E-2</v>
      </c>
      <c r="M42" s="77">
        <f t="shared" si="10"/>
        <v>4.6400000000000004E-2</v>
      </c>
      <c r="N42" s="77">
        <f t="shared" si="10"/>
        <v>0</v>
      </c>
      <c r="O42" s="77">
        <f t="shared" si="10"/>
        <v>0</v>
      </c>
      <c r="P42" s="77">
        <f t="shared" si="10"/>
        <v>301.13600000000002</v>
      </c>
      <c r="Q42" s="77">
        <f t="shared" si="11"/>
        <v>256.94</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13</v>
      </c>
      <c r="B43" s="15">
        <v>232</v>
      </c>
      <c r="C43" s="77">
        <f t="shared" si="6"/>
        <v>162.4</v>
      </c>
      <c r="D43" s="77">
        <f t="shared" si="7"/>
        <v>63.781439999999996</v>
      </c>
      <c r="E43" s="77">
        <f t="shared" si="8"/>
        <v>49.761680000000005</v>
      </c>
      <c r="F43" s="77">
        <f t="shared" si="9"/>
        <v>8.7316912000000002</v>
      </c>
      <c r="G43" s="77">
        <f t="shared" si="10"/>
        <v>0.179336</v>
      </c>
      <c r="H43" s="77">
        <f t="shared" si="10"/>
        <v>0.49647999999999998</v>
      </c>
      <c r="I43" s="77">
        <f t="shared" si="10"/>
        <v>0.11600000000000001</v>
      </c>
      <c r="J43" s="77">
        <f t="shared" si="10"/>
        <v>2.32E-3</v>
      </c>
      <c r="K43" s="77">
        <f t="shared" si="10"/>
        <v>1.1600000000000001E-2</v>
      </c>
      <c r="L43" s="77">
        <f t="shared" si="10"/>
        <v>4.6400000000000004E-2</v>
      </c>
      <c r="M43" s="77">
        <f t="shared" si="10"/>
        <v>4.6400000000000004E-2</v>
      </c>
      <c r="N43" s="77">
        <f t="shared" si="10"/>
        <v>0</v>
      </c>
      <c r="O43" s="77">
        <f t="shared" si="10"/>
        <v>0</v>
      </c>
      <c r="P43" s="77">
        <f t="shared" si="10"/>
        <v>301.13600000000002</v>
      </c>
      <c r="Q43" s="77">
        <f t="shared" si="11"/>
        <v>256.94</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14</v>
      </c>
      <c r="B44" s="15">
        <v>232</v>
      </c>
      <c r="C44" s="77">
        <f t="shared" si="6"/>
        <v>162.4</v>
      </c>
      <c r="D44" s="77">
        <f t="shared" si="7"/>
        <v>63.781439999999996</v>
      </c>
      <c r="E44" s="77">
        <f t="shared" si="8"/>
        <v>49.761680000000005</v>
      </c>
      <c r="F44" s="77">
        <f t="shared" si="9"/>
        <v>8.7316912000000002</v>
      </c>
      <c r="G44" s="77">
        <f t="shared" si="10"/>
        <v>0.179336</v>
      </c>
      <c r="H44" s="77">
        <f t="shared" si="10"/>
        <v>0.49647999999999998</v>
      </c>
      <c r="I44" s="77">
        <f t="shared" si="10"/>
        <v>0.11600000000000001</v>
      </c>
      <c r="J44" s="77">
        <f t="shared" si="10"/>
        <v>2.32E-3</v>
      </c>
      <c r="K44" s="77">
        <f t="shared" si="10"/>
        <v>1.1600000000000001E-2</v>
      </c>
      <c r="L44" s="77">
        <f t="shared" si="10"/>
        <v>4.6400000000000004E-2</v>
      </c>
      <c r="M44" s="77">
        <f t="shared" si="10"/>
        <v>4.6400000000000004E-2</v>
      </c>
      <c r="N44" s="77">
        <f t="shared" si="10"/>
        <v>0</v>
      </c>
      <c r="O44" s="77">
        <f t="shared" si="10"/>
        <v>0</v>
      </c>
      <c r="P44" s="77">
        <f t="shared" si="10"/>
        <v>301.13600000000002</v>
      </c>
      <c r="Q44" s="77">
        <f t="shared" si="11"/>
        <v>256.94</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16</v>
      </c>
      <c r="B45" s="15">
        <v>232</v>
      </c>
      <c r="C45" s="77">
        <f t="shared" si="6"/>
        <v>162.4</v>
      </c>
      <c r="D45" s="77">
        <f t="shared" si="7"/>
        <v>63.781439999999996</v>
      </c>
      <c r="E45" s="77">
        <f t="shared" si="8"/>
        <v>49.761680000000005</v>
      </c>
      <c r="F45" s="77">
        <f t="shared" si="9"/>
        <v>8.7316912000000002</v>
      </c>
      <c r="G45" s="77">
        <f t="shared" si="10"/>
        <v>0.179336</v>
      </c>
      <c r="H45" s="77">
        <f t="shared" si="10"/>
        <v>0.49647999999999998</v>
      </c>
      <c r="I45" s="77">
        <f t="shared" si="10"/>
        <v>0.11600000000000001</v>
      </c>
      <c r="J45" s="77">
        <f t="shared" si="10"/>
        <v>2.32E-3</v>
      </c>
      <c r="K45" s="77">
        <f t="shared" si="10"/>
        <v>1.1600000000000001E-2</v>
      </c>
      <c r="L45" s="77">
        <f t="shared" si="10"/>
        <v>4.6400000000000004E-2</v>
      </c>
      <c r="M45" s="77">
        <f t="shared" si="10"/>
        <v>4.6400000000000004E-2</v>
      </c>
      <c r="N45" s="77">
        <f t="shared" si="10"/>
        <v>0</v>
      </c>
      <c r="O45" s="77">
        <f t="shared" si="10"/>
        <v>0</v>
      </c>
      <c r="P45" s="77">
        <f t="shared" si="10"/>
        <v>301.13600000000002</v>
      </c>
      <c r="Q45" s="77">
        <f t="shared" si="11"/>
        <v>256.94</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17</v>
      </c>
      <c r="B46" s="15">
        <v>232</v>
      </c>
      <c r="C46" s="77">
        <f t="shared" si="6"/>
        <v>162.4</v>
      </c>
      <c r="D46" s="77">
        <f t="shared" si="7"/>
        <v>63.781439999999996</v>
      </c>
      <c r="E46" s="77">
        <f t="shared" si="8"/>
        <v>49.761680000000005</v>
      </c>
      <c r="F46" s="77">
        <f t="shared" si="9"/>
        <v>8.7316912000000002</v>
      </c>
      <c r="G46" s="77">
        <f t="shared" si="10"/>
        <v>0.179336</v>
      </c>
      <c r="H46" s="77">
        <f t="shared" si="10"/>
        <v>0.49647999999999998</v>
      </c>
      <c r="I46" s="77">
        <f t="shared" si="10"/>
        <v>0.11600000000000001</v>
      </c>
      <c r="J46" s="77">
        <f t="shared" si="10"/>
        <v>2.32E-3</v>
      </c>
      <c r="K46" s="77">
        <f t="shared" si="10"/>
        <v>1.1600000000000001E-2</v>
      </c>
      <c r="L46" s="77">
        <f t="shared" si="10"/>
        <v>4.6400000000000004E-2</v>
      </c>
      <c r="M46" s="77">
        <f t="shared" si="10"/>
        <v>4.6400000000000004E-2</v>
      </c>
      <c r="N46" s="77">
        <f t="shared" si="10"/>
        <v>0</v>
      </c>
      <c r="O46" s="77">
        <f t="shared" si="10"/>
        <v>0</v>
      </c>
      <c r="P46" s="77">
        <f t="shared" si="10"/>
        <v>301.13600000000002</v>
      </c>
      <c r="Q46" s="77">
        <f t="shared" si="11"/>
        <v>256.94</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18</v>
      </c>
      <c r="B47" s="15">
        <v>232</v>
      </c>
      <c r="C47" s="77">
        <f t="shared" si="6"/>
        <v>162.4</v>
      </c>
      <c r="D47" s="77">
        <f t="shared" si="7"/>
        <v>63.781439999999996</v>
      </c>
      <c r="E47" s="77">
        <f t="shared" si="8"/>
        <v>49.761680000000005</v>
      </c>
      <c r="F47" s="77">
        <f t="shared" si="9"/>
        <v>8.7316912000000002</v>
      </c>
      <c r="G47" s="77">
        <f t="shared" si="10"/>
        <v>0.179336</v>
      </c>
      <c r="H47" s="77">
        <f t="shared" si="10"/>
        <v>0.49647999999999998</v>
      </c>
      <c r="I47" s="77">
        <f t="shared" si="10"/>
        <v>0.11600000000000001</v>
      </c>
      <c r="J47" s="77">
        <f t="shared" si="10"/>
        <v>2.32E-3</v>
      </c>
      <c r="K47" s="77">
        <f t="shared" si="10"/>
        <v>1.1600000000000001E-2</v>
      </c>
      <c r="L47" s="77">
        <f t="shared" si="10"/>
        <v>4.6400000000000004E-2</v>
      </c>
      <c r="M47" s="77">
        <f t="shared" si="10"/>
        <v>4.6400000000000004E-2</v>
      </c>
      <c r="N47" s="77">
        <f t="shared" si="10"/>
        <v>0</v>
      </c>
      <c r="O47" s="77">
        <f t="shared" si="10"/>
        <v>0</v>
      </c>
      <c r="P47" s="77">
        <f t="shared" si="10"/>
        <v>301.13600000000002</v>
      </c>
      <c r="Q47" s="77">
        <f t="shared" si="11"/>
        <v>256.94</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19</v>
      </c>
      <c r="B48" s="15">
        <v>232</v>
      </c>
      <c r="C48" s="77">
        <f t="shared" si="6"/>
        <v>162.4</v>
      </c>
      <c r="D48" s="77">
        <f t="shared" si="7"/>
        <v>63.781439999999996</v>
      </c>
      <c r="E48" s="77">
        <f t="shared" si="8"/>
        <v>49.761680000000005</v>
      </c>
      <c r="F48" s="77">
        <f t="shared" si="9"/>
        <v>8.7316912000000002</v>
      </c>
      <c r="G48" s="77">
        <f t="shared" si="10"/>
        <v>0.179336</v>
      </c>
      <c r="H48" s="77">
        <f t="shared" si="10"/>
        <v>0.49647999999999998</v>
      </c>
      <c r="I48" s="77">
        <f t="shared" si="10"/>
        <v>0.11600000000000001</v>
      </c>
      <c r="J48" s="77">
        <f t="shared" si="10"/>
        <v>2.32E-3</v>
      </c>
      <c r="K48" s="77">
        <f t="shared" si="10"/>
        <v>1.1600000000000001E-2</v>
      </c>
      <c r="L48" s="77">
        <f t="shared" si="10"/>
        <v>4.6400000000000004E-2</v>
      </c>
      <c r="M48" s="77">
        <f t="shared" si="10"/>
        <v>4.6400000000000004E-2</v>
      </c>
      <c r="N48" s="77">
        <f t="shared" si="10"/>
        <v>0</v>
      </c>
      <c r="O48" s="77">
        <f t="shared" si="10"/>
        <v>0</v>
      </c>
      <c r="P48" s="77">
        <f t="shared" si="10"/>
        <v>301.13600000000002</v>
      </c>
      <c r="Q48" s="77">
        <f t="shared" si="11"/>
        <v>256.94</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x14ac:dyDescent="0.2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str">
        <f>S16&amp;" I "&amp;(VLOOKUP(S14,Table24[],6,FALSE))</f>
        <v>Medium/Clay I Grass</v>
      </c>
      <c r="S58" s="13" t="str">
        <f>T16&amp;" I "&amp;(VLOOKUP(T14,Table24[],6,FALSE))</f>
        <v>Medium/Clay I Grass</v>
      </c>
      <c r="T58" s="13" t="e">
        <f>U16&amp;" I "&amp;(VLOOKUP(U14,Table24[],6,FALSE))</f>
        <v>#N/A</v>
      </c>
      <c r="U58" s="13" t="e">
        <f>V16&amp;" I "&amp;(VLOOKUP(V14,Table24[],6,FALSE))</f>
        <v>#N/A</v>
      </c>
    </row>
    <row r="59" spans="1:35" s="19" customFormat="1" x14ac:dyDescent="0.2">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f>VLOOKUP(R$14,Table24[],5,FALSE)</f>
        <v>6.2</v>
      </c>
      <c r="R59" s="76">
        <f>VLOOKUP(S$14,Table24[],5,FALSE)</f>
        <v>6.2</v>
      </c>
      <c r="S59" s="76">
        <f>VLOOKUP(T$14,Table24[],5,FALSE)</f>
        <v>6.2</v>
      </c>
      <c r="T59" s="76" t="e">
        <f>VLOOKUP(U$14,Table24[],5,FALSE)</f>
        <v>#N/A</v>
      </c>
      <c r="U59" s="76" t="e">
        <f>VLOOKUP(V$14,Table24[],5,FALSE)</f>
        <v>#N/A</v>
      </c>
    </row>
    <row r="60" spans="1:35" s="19" customFormat="1" x14ac:dyDescent="0.2">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t="e">
        <f t="shared" si="15"/>
        <v>#N/A</v>
      </c>
      <c r="U61" s="76" t="e">
        <f t="shared" si="15"/>
        <v>#N/A</v>
      </c>
    </row>
    <row r="62" spans="1:35" s="19" customFormat="1" x14ac:dyDescent="0.2">
      <c r="A62" s="111" t="s">
        <v>134</v>
      </c>
      <c r="B62" s="77">
        <f>B31</f>
        <v>232</v>
      </c>
      <c r="C62" s="77">
        <f>B32</f>
        <v>232</v>
      </c>
      <c r="D62" s="77">
        <f>B33</f>
        <v>232</v>
      </c>
      <c r="E62" s="77">
        <f>B34</f>
        <v>232</v>
      </c>
      <c r="F62" s="77">
        <f>B35</f>
        <v>232</v>
      </c>
      <c r="G62" s="77">
        <f>B36</f>
        <v>232</v>
      </c>
      <c r="H62" s="77">
        <f>B37</f>
        <v>232</v>
      </c>
      <c r="I62" s="77">
        <f>B38</f>
        <v>232</v>
      </c>
      <c r="J62" s="77">
        <f>B39</f>
        <v>232</v>
      </c>
      <c r="K62" s="77">
        <f>B40</f>
        <v>232</v>
      </c>
      <c r="L62" s="77">
        <f>B41</f>
        <v>232</v>
      </c>
      <c r="M62" s="77">
        <f>B42</f>
        <v>232</v>
      </c>
      <c r="N62" s="77">
        <f>B43</f>
        <v>232</v>
      </c>
      <c r="O62" s="77">
        <f>B44</f>
        <v>232</v>
      </c>
      <c r="P62" s="77">
        <f>B45</f>
        <v>232</v>
      </c>
      <c r="Q62" s="77">
        <f>B46</f>
        <v>232</v>
      </c>
      <c r="R62" s="77">
        <f>B47</f>
        <v>232</v>
      </c>
      <c r="S62" s="77">
        <f>B48</f>
        <v>232</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-1.7999999999999989</v>
      </c>
      <c r="D64" s="77">
        <f t="shared" si="17"/>
        <v>0.6000000000000032</v>
      </c>
      <c r="E64" s="77">
        <f t="shared" si="17"/>
        <v>0</v>
      </c>
      <c r="F64" s="77">
        <f t="shared" si="17"/>
        <v>1.2000000000000011</v>
      </c>
      <c r="G64" s="77">
        <f t="shared" si="17"/>
        <v>0.6000000000000032</v>
      </c>
      <c r="H64" s="77">
        <f t="shared" si="17"/>
        <v>-3</v>
      </c>
      <c r="I64" s="77">
        <f t="shared" si="17"/>
        <v>0.6000000000000032</v>
      </c>
      <c r="J64" s="77">
        <f t="shared" si="17"/>
        <v>1.2000000000000011</v>
      </c>
      <c r="K64" s="77">
        <f t="shared" si="17"/>
        <v>1.7999999999999989</v>
      </c>
      <c r="L64" s="77">
        <f t="shared" si="17"/>
        <v>1.7999999999999989</v>
      </c>
      <c r="M64" s="77">
        <f t="shared" si="17"/>
        <v>2.4000000000000021</v>
      </c>
      <c r="N64" s="77">
        <f t="shared" si="17"/>
        <v>2.4000000000000021</v>
      </c>
      <c r="O64" s="77">
        <f t="shared" si="17"/>
        <v>-1.2000000000000011</v>
      </c>
      <c r="P64" s="77">
        <f t="shared" si="17"/>
        <v>-2.3999999999999968</v>
      </c>
      <c r="Q64" s="77">
        <f t="shared" si="17"/>
        <v>-1.7999999999999989</v>
      </c>
      <c r="R64" s="77">
        <f t="shared" si="17"/>
        <v>-6.5999999999999979</v>
      </c>
      <c r="S64" s="77">
        <f t="shared" si="17"/>
        <v>-5.3999999999999968</v>
      </c>
      <c r="T64" s="77" t="e">
        <f t="shared" si="17"/>
        <v>#N/A</v>
      </c>
      <c r="U64" s="77" t="e">
        <f t="shared" si="17"/>
        <v>#N/A</v>
      </c>
    </row>
    <row r="65" spans="1:21" s="19" customFormat="1" ht="51" x14ac:dyDescent="0.2">
      <c r="A65" s="112" t="s">
        <v>157</v>
      </c>
      <c r="B65" s="77">
        <f>B63-B64</f>
        <v>0</v>
      </c>
      <c r="C65" s="77">
        <f t="shared" ref="C65:U65" si="18">C63-C64</f>
        <v>1.7999999999999989</v>
      </c>
      <c r="D65" s="77">
        <f t="shared" si="18"/>
        <v>-0.6000000000000032</v>
      </c>
      <c r="E65" s="77">
        <f t="shared" si="18"/>
        <v>0</v>
      </c>
      <c r="F65" s="77">
        <f t="shared" si="18"/>
        <v>-1.2000000000000011</v>
      </c>
      <c r="G65" s="77">
        <f t="shared" si="18"/>
        <v>-0.6000000000000032</v>
      </c>
      <c r="H65" s="77">
        <f t="shared" si="18"/>
        <v>3</v>
      </c>
      <c r="I65" s="77">
        <f t="shared" si="18"/>
        <v>-0.6000000000000032</v>
      </c>
      <c r="J65" s="77">
        <f t="shared" si="18"/>
        <v>-1.2000000000000011</v>
      </c>
      <c r="K65" s="77">
        <f t="shared" si="18"/>
        <v>-1.7999999999999989</v>
      </c>
      <c r="L65" s="77">
        <f t="shared" si="18"/>
        <v>-1.7999999999999989</v>
      </c>
      <c r="M65" s="77">
        <f t="shared" si="18"/>
        <v>-2.4000000000000021</v>
      </c>
      <c r="N65" s="77">
        <f t="shared" si="18"/>
        <v>-2.4000000000000021</v>
      </c>
      <c r="O65" s="77">
        <f t="shared" si="18"/>
        <v>1.2000000000000011</v>
      </c>
      <c r="P65" s="77">
        <f t="shared" si="18"/>
        <v>2.3999999999999968</v>
      </c>
      <c r="Q65" s="77">
        <f t="shared" si="18"/>
        <v>1.7999999999999989</v>
      </c>
      <c r="R65" s="77">
        <f t="shared" si="18"/>
        <v>6.5999999999999979</v>
      </c>
      <c r="S65" s="77">
        <f t="shared" si="18"/>
        <v>5.3999999999999968</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32" sqref="A3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PAN-018528</v>
      </c>
      <c r="D1" s="141"/>
      <c r="E1" s="93" t="s">
        <v>45</v>
      </c>
      <c r="F1" s="39">
        <f>Secanim!F1</f>
        <v>39.5</v>
      </c>
      <c r="G1" s="123" t="s">
        <v>43</v>
      </c>
      <c r="H1" s="124"/>
      <c r="I1" s="118">
        <v>7.01</v>
      </c>
      <c r="J1" s="127" t="s">
        <v>153</v>
      </c>
      <c r="K1" s="127"/>
      <c r="L1" s="97">
        <v>57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EPR-KP3594VE</v>
      </c>
      <c r="D2" s="143"/>
      <c r="E2" s="93" t="s">
        <v>109</v>
      </c>
      <c r="F2" s="96" t="s">
        <v>176</v>
      </c>
      <c r="G2" s="125" t="s">
        <v>110</v>
      </c>
      <c r="H2" s="126"/>
      <c r="I2" s="118">
        <v>3261</v>
      </c>
      <c r="J2" s="127" t="s">
        <v>158</v>
      </c>
      <c r="K2" s="127"/>
      <c r="L2" s="97">
        <v>0.22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7" t="s">
        <v>159</v>
      </c>
      <c r="H3" s="127"/>
      <c r="I3" s="118"/>
      <c r="J3" s="123" t="s">
        <v>154</v>
      </c>
      <c r="K3" s="124"/>
      <c r="L3" s="97">
        <f>(L1/(L2*10000))*100</f>
        <v>2.5909090909090908</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Fron Farm, Moel y Crio, CH7 5QW</v>
      </c>
      <c r="D4" s="141"/>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8</v>
      </c>
      <c r="K8" s="60">
        <f>Secanim!K8</f>
        <v>9</v>
      </c>
      <c r="L8" s="60">
        <f>Secanim!L8</f>
        <v>10</v>
      </c>
      <c r="M8" s="60">
        <f>Secanim!M8</f>
        <v>11</v>
      </c>
      <c r="N8" s="60">
        <f>Secanim!N8</f>
        <v>12</v>
      </c>
      <c r="O8" s="60">
        <f>Secanim!O8</f>
        <v>13</v>
      </c>
      <c r="P8" s="60">
        <f>Secanim!P8</f>
        <v>14</v>
      </c>
      <c r="Q8" s="60">
        <f>Secanim!Q8</f>
        <v>16</v>
      </c>
      <c r="R8" s="60">
        <f>Secanim!R8</f>
        <v>17</v>
      </c>
      <c r="S8" s="60">
        <f>Secanim!S8</f>
        <v>18</v>
      </c>
      <c r="T8" s="60">
        <f>Secanim!T8</f>
        <v>19</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6.2</v>
      </c>
      <c r="D10" s="60">
        <f>Secanim!D10</f>
        <v>6.5</v>
      </c>
      <c r="E10" s="60">
        <f>Secanim!E10</f>
        <v>6.1</v>
      </c>
      <c r="F10" s="60">
        <f>Secanim!F10</f>
        <v>6.2</v>
      </c>
      <c r="G10" s="60">
        <f>Secanim!G10</f>
        <v>6</v>
      </c>
      <c r="H10" s="60">
        <f>Secanim!H10</f>
        <v>6.1</v>
      </c>
      <c r="I10" s="60">
        <f>Secanim!I10</f>
        <v>6.7</v>
      </c>
      <c r="J10" s="60">
        <f>Secanim!J10</f>
        <v>6.1</v>
      </c>
      <c r="K10" s="60">
        <f>Secanim!K10</f>
        <v>6</v>
      </c>
      <c r="L10" s="60">
        <f>Secanim!L10</f>
        <v>5.9</v>
      </c>
      <c r="M10" s="60">
        <f>Secanim!M10</f>
        <v>5.9</v>
      </c>
      <c r="N10" s="60">
        <f>Secanim!N10</f>
        <v>5.8</v>
      </c>
      <c r="O10" s="60">
        <f>Secanim!O10</f>
        <v>5.8</v>
      </c>
      <c r="P10" s="60">
        <f>Secanim!P10</f>
        <v>6.4</v>
      </c>
      <c r="Q10" s="60">
        <f>Secanim!Q10</f>
        <v>6.6</v>
      </c>
      <c r="R10" s="60">
        <f>Secanim!R10</f>
        <v>6.5</v>
      </c>
      <c r="S10" s="60">
        <f>Secanim!S10</f>
        <v>7.3</v>
      </c>
      <c r="T10" s="60">
        <f>Secanim!T10</f>
        <v>7.1</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2</v>
      </c>
      <c r="D11" s="60">
        <f>Secanim!D11</f>
        <v>3</v>
      </c>
      <c r="E11" s="60">
        <f>Secanim!E11</f>
        <v>2</v>
      </c>
      <c r="F11" s="60">
        <f>Secanim!F11</f>
        <v>1</v>
      </c>
      <c r="G11" s="60">
        <f>Secanim!G11</f>
        <v>1</v>
      </c>
      <c r="H11" s="60">
        <f>Secanim!H11</f>
        <v>1</v>
      </c>
      <c r="I11" s="60">
        <f>Secanim!I11</f>
        <v>1</v>
      </c>
      <c r="J11" s="60">
        <f>Secanim!J11</f>
        <v>1</v>
      </c>
      <c r="K11" s="60">
        <f>Secanim!K11</f>
        <v>1</v>
      </c>
      <c r="L11" s="60">
        <f>Secanim!L11</f>
        <v>1</v>
      </c>
      <c r="M11" s="60">
        <f>Secanim!M11</f>
        <v>1</v>
      </c>
      <c r="N11" s="60">
        <f>Secanim!N11</f>
        <v>0</v>
      </c>
      <c r="O11" s="60">
        <f>Secanim!O11</f>
        <v>0</v>
      </c>
      <c r="P11" s="60">
        <f>Secanim!P11</f>
        <v>1</v>
      </c>
      <c r="Q11" s="60">
        <f>Secanim!Q11</f>
        <v>3</v>
      </c>
      <c r="R11" s="60">
        <f>Secanim!R11</f>
        <v>2</v>
      </c>
      <c r="S11" s="60">
        <f>Secanim!S11</f>
        <v>3</v>
      </c>
      <c r="T11" s="60">
        <f>Secanim!T11</f>
        <v>1</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t="str">
        <f>Secanim!D12</f>
        <v>2-</v>
      </c>
      <c r="E12" s="60">
        <f>Secanim!E12</f>
        <v>1</v>
      </c>
      <c r="F12" s="60">
        <f>Secanim!F12</f>
        <v>0</v>
      </c>
      <c r="G12" s="60">
        <f>Secanim!G12</f>
        <v>1</v>
      </c>
      <c r="H12" s="60">
        <f>Secanim!H12</f>
        <v>1</v>
      </c>
      <c r="I12" s="60">
        <f>Secanim!I12</f>
        <v>1</v>
      </c>
      <c r="J12" s="60">
        <f>Secanim!J12</f>
        <v>1</v>
      </c>
      <c r="K12" s="60">
        <f>Secanim!K12</f>
        <v>0</v>
      </c>
      <c r="L12" s="60">
        <f>Secanim!L12</f>
        <v>0</v>
      </c>
      <c r="M12" s="60" t="str">
        <f>Secanim!M12</f>
        <v>2-</v>
      </c>
      <c r="N12" s="60">
        <f>Secanim!N12</f>
        <v>0</v>
      </c>
      <c r="O12" s="60">
        <f>Secanim!O12</f>
        <v>0</v>
      </c>
      <c r="P12" s="60">
        <f>Secanim!P12</f>
        <v>1</v>
      </c>
      <c r="Q12" s="60">
        <f>Secanim!Q12</f>
        <v>1</v>
      </c>
      <c r="R12" s="60">
        <f>Secanim!R12</f>
        <v>1</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2</v>
      </c>
      <c r="R13" s="60">
        <f>Secanim!R13</f>
        <v>2</v>
      </c>
      <c r="S13" s="60">
        <f>Secanim!S13</f>
        <v>1</v>
      </c>
      <c r="T13" s="60">
        <f>Secanim!T13</f>
        <v>1</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63.868497999999995</v>
      </c>
      <c r="D18" s="16">
        <f>$D32</f>
        <v>63.868497999999995</v>
      </c>
      <c r="E18" s="16">
        <f>$D33</f>
        <v>63.868497999999995</v>
      </c>
      <c r="F18" s="16">
        <f>$D34</f>
        <v>63.868497999999995</v>
      </c>
      <c r="G18" s="16">
        <f>$D35</f>
        <v>63.868497999999995</v>
      </c>
      <c r="H18" s="16">
        <f>$D36</f>
        <v>63.868497999999995</v>
      </c>
      <c r="I18" s="16">
        <f>$D37</f>
        <v>63.868497999999995</v>
      </c>
      <c r="J18" s="16">
        <f>$D38</f>
        <v>63.868497999999995</v>
      </c>
      <c r="K18" s="16">
        <f>$D39</f>
        <v>63.868497999999995</v>
      </c>
      <c r="L18" s="16">
        <f>$D40</f>
        <v>63.868497999999995</v>
      </c>
      <c r="M18" s="16">
        <f>$D41</f>
        <v>63.868497999999995</v>
      </c>
      <c r="N18" s="16">
        <f>$D42</f>
        <v>63.868497999999995</v>
      </c>
      <c r="O18" s="16">
        <f>$D43</f>
        <v>63.868497999999995</v>
      </c>
      <c r="P18" s="16">
        <f>$D44</f>
        <v>63.868497999999995</v>
      </c>
      <c r="Q18" s="16">
        <f>$D45</f>
        <v>63.868497999999995</v>
      </c>
      <c r="R18" s="16">
        <f>$D46</f>
        <v>63.868497999999995</v>
      </c>
      <c r="S18" s="16">
        <f>$D47</f>
        <v>63.868497999999995</v>
      </c>
      <c r="T18" s="16">
        <f>$D48</f>
        <v>63.868497999999995</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-0.73150199999999899</v>
      </c>
      <c r="D19" s="16">
        <f t="shared" ref="D19:V19" si="1">D18-D17</f>
        <v>-0.73150199999999899</v>
      </c>
      <c r="E19" s="16">
        <f t="shared" si="1"/>
        <v>-0.73150199999999899</v>
      </c>
      <c r="F19" s="16">
        <f t="shared" si="1"/>
        <v>-0.73150199999999899</v>
      </c>
      <c r="G19" s="16">
        <f t="shared" si="1"/>
        <v>-0.73150199999999899</v>
      </c>
      <c r="H19" s="16">
        <f t="shared" si="1"/>
        <v>-0.73150199999999899</v>
      </c>
      <c r="I19" s="16">
        <f t="shared" si="1"/>
        <v>-0.73150199999999899</v>
      </c>
      <c r="J19" s="16">
        <f t="shared" si="1"/>
        <v>-0.73150199999999899</v>
      </c>
      <c r="K19" s="16">
        <f t="shared" si="1"/>
        <v>-0.73150199999999899</v>
      </c>
      <c r="L19" s="16">
        <f t="shared" si="1"/>
        <v>-0.73150199999999899</v>
      </c>
      <c r="M19" s="16">
        <f t="shared" si="1"/>
        <v>-0.73150199999999899</v>
      </c>
      <c r="N19" s="16">
        <f t="shared" si="1"/>
        <v>-0.73150199999999899</v>
      </c>
      <c r="O19" s="16">
        <f t="shared" si="1"/>
        <v>-0.73150199999999899</v>
      </c>
      <c r="P19" s="16">
        <f t="shared" si="1"/>
        <v>-0.73150199999999899</v>
      </c>
      <c r="Q19" s="16">
        <f t="shared" si="1"/>
        <v>-0.73150199999999899</v>
      </c>
      <c r="R19" s="16">
        <f t="shared" si="1"/>
        <v>-0.73150199999999899</v>
      </c>
      <c r="S19" s="16">
        <f t="shared" si="1"/>
        <v>-0.73150199999999899</v>
      </c>
      <c r="T19" s="16">
        <f t="shared" si="1"/>
        <v>-0.73150199999999899</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13.667110000000001</v>
      </c>
      <c r="D22" s="16">
        <f>$E32</f>
        <v>13.667110000000001</v>
      </c>
      <c r="E22" s="16">
        <f>$E33</f>
        <v>13.667110000000001</v>
      </c>
      <c r="F22" s="16">
        <f>$E34</f>
        <v>13.667110000000001</v>
      </c>
      <c r="G22" s="16">
        <f>$E35</f>
        <v>13.667110000000001</v>
      </c>
      <c r="H22" s="16">
        <f>$E36</f>
        <v>13.667110000000001</v>
      </c>
      <c r="I22" s="16">
        <f>$E37</f>
        <v>13.667110000000001</v>
      </c>
      <c r="J22" s="16">
        <f>$E38</f>
        <v>13.667110000000001</v>
      </c>
      <c r="K22" s="16">
        <f>$E39</f>
        <v>13.667110000000001</v>
      </c>
      <c r="L22" s="16">
        <f>$E40</f>
        <v>13.667110000000001</v>
      </c>
      <c r="M22" s="16">
        <f>$E41</f>
        <v>13.667110000000001</v>
      </c>
      <c r="N22" s="16">
        <f>$E42</f>
        <v>13.667110000000001</v>
      </c>
      <c r="O22" s="16">
        <f>$E43</f>
        <v>13.667110000000001</v>
      </c>
      <c r="P22" s="16">
        <f>$E44</f>
        <v>13.667110000000001</v>
      </c>
      <c r="Q22" s="16">
        <f>$E45</f>
        <v>13.667110000000001</v>
      </c>
      <c r="R22" s="16">
        <f>$E46</f>
        <v>13.667110000000001</v>
      </c>
      <c r="S22" s="16">
        <f>$E47</f>
        <v>13.667110000000001</v>
      </c>
      <c r="T22" s="16">
        <f>$E48</f>
        <v>13.667110000000001</v>
      </c>
      <c r="U22" s="16">
        <f>$E49</f>
        <v>0</v>
      </c>
      <c r="V22" s="16">
        <f>$E50</f>
        <v>0</v>
      </c>
      <c r="AI22" s="63" t="s">
        <v>102</v>
      </c>
      <c r="AJ22" s="64">
        <v>1.2</v>
      </c>
      <c r="AK22" s="65">
        <v>5</v>
      </c>
      <c r="AL22" s="29">
        <v>20</v>
      </c>
      <c r="AM22" s="11">
        <v>6.7</v>
      </c>
      <c r="AN22" s="11" t="s">
        <v>135</v>
      </c>
    </row>
    <row r="23" spans="1:40" x14ac:dyDescent="0.2">
      <c r="A23" s="131" t="s">
        <v>92</v>
      </c>
      <c r="B23" s="132"/>
      <c r="C23" s="16">
        <f>C22-C21</f>
        <v>-214.33288999999999</v>
      </c>
      <c r="D23" s="16">
        <f t="shared" ref="D23:V23" si="3">D22-D21</f>
        <v>-214.33288999999999</v>
      </c>
      <c r="E23" s="16">
        <f t="shared" si="3"/>
        <v>-214.33288999999999</v>
      </c>
      <c r="F23" s="16">
        <f t="shared" si="3"/>
        <v>-214.33288999999999</v>
      </c>
      <c r="G23" s="16">
        <f t="shared" si="3"/>
        <v>-214.33288999999999</v>
      </c>
      <c r="H23" s="16">
        <f t="shared" si="3"/>
        <v>-214.33288999999999</v>
      </c>
      <c r="I23" s="16">
        <f t="shared" si="3"/>
        <v>-214.33288999999999</v>
      </c>
      <c r="J23" s="16">
        <f t="shared" si="3"/>
        <v>-214.33288999999999</v>
      </c>
      <c r="K23" s="16">
        <f t="shared" si="3"/>
        <v>-214.33288999999999</v>
      </c>
      <c r="L23" s="16">
        <f t="shared" si="3"/>
        <v>-214.33288999999999</v>
      </c>
      <c r="M23" s="16">
        <f t="shared" si="3"/>
        <v>-214.33288999999999</v>
      </c>
      <c r="N23" s="16">
        <f t="shared" si="3"/>
        <v>-214.33288999999999</v>
      </c>
      <c r="O23" s="16">
        <f t="shared" si="3"/>
        <v>-214.33288999999999</v>
      </c>
      <c r="P23" s="16">
        <f t="shared" si="3"/>
        <v>-214.33288999999999</v>
      </c>
      <c r="Q23" s="16">
        <f t="shared" si="3"/>
        <v>-214.33288999999999</v>
      </c>
      <c r="R23" s="16">
        <f t="shared" si="3"/>
        <v>-214.33288999999999</v>
      </c>
      <c r="S23" s="16">
        <f t="shared" si="3"/>
        <v>-214.33288999999999</v>
      </c>
      <c r="T23" s="16">
        <f t="shared" si="3"/>
        <v>-214.33288999999999</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3.24</v>
      </c>
      <c r="C28" s="15">
        <v>0.22</v>
      </c>
      <c r="D28" s="15">
        <v>526</v>
      </c>
      <c r="E28" s="15">
        <v>214</v>
      </c>
      <c r="F28" s="15">
        <v>92</v>
      </c>
      <c r="G28" s="15">
        <v>0.98</v>
      </c>
      <c r="H28" s="15">
        <v>11.1</v>
      </c>
      <c r="I28" s="15">
        <v>0.5</v>
      </c>
      <c r="J28" s="15">
        <v>0.1</v>
      </c>
      <c r="K28" s="23">
        <v>0.05</v>
      </c>
      <c r="L28" s="15">
        <v>0.65300000000000002</v>
      </c>
      <c r="M28" s="15">
        <v>5.1100000000000003</v>
      </c>
      <c r="N28" s="15"/>
      <c r="O28" s="15"/>
      <c r="P28" s="15">
        <v>4373</v>
      </c>
      <c r="Q28" s="15">
        <v>2095</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53</v>
      </c>
      <c r="C31" s="77">
        <f>IF(C$27="%w/w SAR",((C$28*10)*$B31),IF(C$27="%w/w DM",(((C$28*10)*($B$28/100))*$B31),IF(C$27="kg/t SAR",(C$28*$B31),IF(C$27="kg/t DM",((C$28*($B$28/100))*$B31),IF(C$27="mg/kg SAR",((C$28*0.001)*$B31),IF(C$27="mg/kg DM",(((C$28*0.001)*($B$28/100))*$B31),0))))))</f>
        <v>116.60000000000001</v>
      </c>
      <c r="D31" s="77">
        <f>(IF(D$27="%w/w SAR",((D$28*10)*$B31),IF(D$27="%w/w DM",(((D$28*10)*($B$28/100))*$B31),IF(D$27="kg/t SAR",(D$28*$B31),IF(D$27="kg/t DM",((D$28*($B$28/100))*$B31),IF(D$27="mg/kg SAR",((D$28*0.001)*$B31),IF(D$27="mg/kg DM",(((D$28*0.001)*($B$28/100))*$B31),"0")))))))*2.291</f>
        <v>63.868497999999995</v>
      </c>
      <c r="E31" s="77">
        <f>(IF(E$27="%w/w SAR",((E$28*10)*$B31),IF(E$27="%w/w DM",(((E$28*10)*($B$28/100))*$B31),IF(E$27="kg/t SAR",(E$28*$B31),IF(E$27="kg/t DM",((E$28*($B$28/100))*$B31),IF(E$27="mg/kg SAR",((E$28*0.001)*$B31),IF(E$27="mg/kg DM",(((E$28*0.001)*($B$28/100))*$B31),"0")))))))*1.205</f>
        <v>13.667110000000001</v>
      </c>
      <c r="F31" s="77">
        <f>(IF(F$27="%w/w SAR",((F$28*10)*$B31),IF(F$27="%w/w DM",(((F$28*10)*($B$28/100))*$B31),IF(F$27="kg/t SAR",(F$28*$B31),IF(F$27="kg/t DM",((F$28*($B$28/100))*$B31),IF(F$27="mg/kg SAR",((F$28*0.001)*$B31),IF(F$27="mg/kg DM",(((F$28*0.001)*($B$28/100))*$B31),"0")))))))*1.658</f>
        <v>8.0844079999999998</v>
      </c>
      <c r="G31" s="77">
        <f t="shared" ref="G31:P46" si="5">IF(G$27="%w/w SAR",((G$28*10)*$B31),IF(G$27="%w/w DM",(((G$28*10)*($B$28/100))*$B31),IF(G$27="kg/t SAR",(G$28*$B31),IF(G$27="kg/t DM",((G$28*($B$28/100))*$B31),IF(G$27="mg/kg SAR",((G$28*0.001)*$B31),IF(G$27="mg/kg DM",(((G$28*0.001)*($B$28/100))*$B31),0))))))</f>
        <v>5.194E-2</v>
      </c>
      <c r="H31" s="77">
        <f t="shared" si="5"/>
        <v>0.58830000000000005</v>
      </c>
      <c r="I31" s="77">
        <f t="shared" si="5"/>
        <v>2.6499999999999999E-2</v>
      </c>
      <c r="J31" s="77">
        <f t="shared" si="5"/>
        <v>5.3E-3</v>
      </c>
      <c r="K31" s="77">
        <f t="shared" si="5"/>
        <v>2.65E-3</v>
      </c>
      <c r="L31" s="77">
        <f t="shared" si="5"/>
        <v>3.4609000000000001E-2</v>
      </c>
      <c r="M31" s="77">
        <f t="shared" si="5"/>
        <v>0.27083000000000007</v>
      </c>
      <c r="N31" s="77">
        <f t="shared" si="5"/>
        <v>0</v>
      </c>
      <c r="O31" s="77">
        <f t="shared" si="5"/>
        <v>0</v>
      </c>
      <c r="P31" s="77">
        <f t="shared" si="5"/>
        <v>231.76900000000001</v>
      </c>
      <c r="Q31" s="77">
        <f>(IF(Q$27="%w/w SAR",((Q$28*10)*$B31),IF(Q$27="%w/w DM",(((Q$28*10)*($B$28/100))*$B31),IF(Q$27="kg/t SAR",(Q$28*$B31),IF(Q$27="kg/t DM",((Q$28*($B$28/100))*$B31),IF(Q$27="mg/kg SAR",((Q$28*0.001)*$B31),IF(Q$27="mg/kg DM",(((Q$28*0.001)*($B$28/100))*$B31),0)))))))*2.5</f>
        <v>277.58750000000003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53</v>
      </c>
      <c r="C32" s="77">
        <f t="shared" ref="C32:C50" si="6">IF(C$27="%w/w SAR",((C$28*10)*$B32),IF(C$27="%w/w DM",(((C$28*10)*($B$28/100))*$B32),IF(C$27="kg/t SAR",(C$28*$B32),IF(C$27="kg/t DM",((C$28*($B$28/100))*$B32),IF(C$27="mg/kg SAR",((C$28*0.001)*$B32),IF(C$27="mg/kg DM",(((C$28*0.001)*($B$28/100))*$B32),0))))))</f>
        <v>116.60000000000001</v>
      </c>
      <c r="D32" s="77">
        <f t="shared" ref="D32:D50" si="7">(IF(D$27="%w/w SAR",((D$28*10)*$B32),IF(D$27="%w/w DM",(((D$28*10)*($B$28/100))*$B32),IF(D$27="kg/t SAR",(D$28*$B32),IF(D$27="kg/t DM",((D$28*($B$28/100))*$B32),IF(D$27="mg/kg SAR",((D$28*0.001)*$B32),IF(D$27="mg/kg DM",(((D$28*0.001)*($B$28/100))*$B32),"0")))))))*2.291</f>
        <v>63.868497999999995</v>
      </c>
      <c r="E32" s="77">
        <f t="shared" ref="E32:E50" si="8">(IF(E$27="%w/w SAR",((E$28*10)*$B32),IF(E$27="%w/w DM",(((E$28*10)*($B$28/100))*$B32),IF(E$27="kg/t SAR",(E$28*$B32),IF(E$27="kg/t DM",((E$28*($B$28/100))*$B32),IF(E$27="mg/kg SAR",((E$28*0.001)*$B32),IF(E$27="mg/kg DM",(((E$28*0.001)*($B$28/100))*$B32),"0")))))))*1.205</f>
        <v>13.667110000000001</v>
      </c>
      <c r="F32" s="77">
        <f t="shared" ref="F32:F50" si="9">(IF(F$27="%w/w SAR",((F$28*10)*$B32),IF(F$27="%w/w DM",(((F$28*10)*($B$28/100))*$B32),IF(F$27="kg/t SAR",(F$28*$B32),IF(F$27="kg/t DM",((F$28*($B$28/100))*$B32),IF(F$27="mg/kg SAR",((F$28*0.001)*$B32),IF(F$27="mg/kg DM",(((F$28*0.001)*($B$28/100))*$B32),"0")))))))*1.658</f>
        <v>8.0844079999999998</v>
      </c>
      <c r="G32" s="77">
        <f t="shared" si="5"/>
        <v>5.194E-2</v>
      </c>
      <c r="H32" s="77">
        <f t="shared" si="5"/>
        <v>0.58830000000000005</v>
      </c>
      <c r="I32" s="77">
        <f t="shared" si="5"/>
        <v>2.6499999999999999E-2</v>
      </c>
      <c r="J32" s="77">
        <f t="shared" si="5"/>
        <v>5.3E-3</v>
      </c>
      <c r="K32" s="77">
        <f t="shared" si="5"/>
        <v>2.65E-3</v>
      </c>
      <c r="L32" s="77">
        <f t="shared" si="5"/>
        <v>3.4609000000000001E-2</v>
      </c>
      <c r="M32" s="77">
        <f t="shared" si="5"/>
        <v>0.27083000000000007</v>
      </c>
      <c r="N32" s="77">
        <f t="shared" si="5"/>
        <v>0</v>
      </c>
      <c r="O32" s="77">
        <f t="shared" si="5"/>
        <v>0</v>
      </c>
      <c r="P32" s="77">
        <f t="shared" si="5"/>
        <v>231.76900000000001</v>
      </c>
      <c r="Q32" s="77">
        <f t="shared" ref="Q32:Q50" si="10">(IF(Q$27="%w/w SAR",((Q$28*10)*$B32),IF(Q$27="%w/w DM",(((Q$28*10)*($B$28/100))*$B32),IF(Q$27="kg/t SAR",(Q$28*$B32),IF(Q$27="kg/t DM",((Q$28*($B$28/100))*$B32),IF(Q$27="mg/kg SAR",((Q$28*0.001)*$B32),IF(Q$27="mg/kg DM",(((Q$28*0.001)*($B$28/100))*$B32),0)))))))*2.5</f>
        <v>277.58750000000003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53</v>
      </c>
      <c r="C33" s="77">
        <f t="shared" si="6"/>
        <v>116.60000000000001</v>
      </c>
      <c r="D33" s="77">
        <f t="shared" si="7"/>
        <v>63.868497999999995</v>
      </c>
      <c r="E33" s="77">
        <f t="shared" si="8"/>
        <v>13.667110000000001</v>
      </c>
      <c r="F33" s="77">
        <f t="shared" si="9"/>
        <v>8.0844079999999998</v>
      </c>
      <c r="G33" s="77">
        <f t="shared" si="5"/>
        <v>5.194E-2</v>
      </c>
      <c r="H33" s="77">
        <f t="shared" si="5"/>
        <v>0.58830000000000005</v>
      </c>
      <c r="I33" s="77">
        <f t="shared" si="5"/>
        <v>2.6499999999999999E-2</v>
      </c>
      <c r="J33" s="77">
        <f t="shared" si="5"/>
        <v>5.3E-3</v>
      </c>
      <c r="K33" s="77">
        <f t="shared" si="5"/>
        <v>2.65E-3</v>
      </c>
      <c r="L33" s="77">
        <f t="shared" si="5"/>
        <v>3.4609000000000001E-2</v>
      </c>
      <c r="M33" s="77">
        <f t="shared" si="5"/>
        <v>0.27083000000000007</v>
      </c>
      <c r="N33" s="77">
        <f t="shared" si="5"/>
        <v>0</v>
      </c>
      <c r="O33" s="77">
        <f t="shared" si="5"/>
        <v>0</v>
      </c>
      <c r="P33" s="77">
        <f t="shared" si="5"/>
        <v>231.76900000000001</v>
      </c>
      <c r="Q33" s="77">
        <f t="shared" si="10"/>
        <v>277.58750000000003</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53</v>
      </c>
      <c r="C34" s="77">
        <f t="shared" si="6"/>
        <v>116.60000000000001</v>
      </c>
      <c r="D34" s="77">
        <f t="shared" si="7"/>
        <v>63.868497999999995</v>
      </c>
      <c r="E34" s="77">
        <f t="shared" si="8"/>
        <v>13.667110000000001</v>
      </c>
      <c r="F34" s="77">
        <f t="shared" si="9"/>
        <v>8.0844079999999998</v>
      </c>
      <c r="G34" s="77">
        <f t="shared" si="5"/>
        <v>5.194E-2</v>
      </c>
      <c r="H34" s="77">
        <f t="shared" si="5"/>
        <v>0.58830000000000005</v>
      </c>
      <c r="I34" s="77">
        <f t="shared" si="5"/>
        <v>2.6499999999999999E-2</v>
      </c>
      <c r="J34" s="77">
        <f t="shared" si="5"/>
        <v>5.3E-3</v>
      </c>
      <c r="K34" s="77">
        <f t="shared" si="5"/>
        <v>2.65E-3</v>
      </c>
      <c r="L34" s="77">
        <f t="shared" si="5"/>
        <v>3.4609000000000001E-2</v>
      </c>
      <c r="M34" s="77">
        <f t="shared" si="5"/>
        <v>0.27083000000000007</v>
      </c>
      <c r="N34" s="77">
        <f t="shared" si="5"/>
        <v>0</v>
      </c>
      <c r="O34" s="77">
        <f t="shared" si="5"/>
        <v>0</v>
      </c>
      <c r="P34" s="77">
        <f t="shared" si="5"/>
        <v>231.76900000000001</v>
      </c>
      <c r="Q34" s="77">
        <f t="shared" si="10"/>
        <v>277.58750000000003</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53</v>
      </c>
      <c r="C35" s="77">
        <f t="shared" si="6"/>
        <v>116.60000000000001</v>
      </c>
      <c r="D35" s="77">
        <f t="shared" si="7"/>
        <v>63.868497999999995</v>
      </c>
      <c r="E35" s="77">
        <f t="shared" si="8"/>
        <v>13.667110000000001</v>
      </c>
      <c r="F35" s="77">
        <f t="shared" si="9"/>
        <v>8.0844079999999998</v>
      </c>
      <c r="G35" s="77">
        <f t="shared" si="5"/>
        <v>5.194E-2</v>
      </c>
      <c r="H35" s="77">
        <f t="shared" si="5"/>
        <v>0.58830000000000005</v>
      </c>
      <c r="I35" s="77">
        <f t="shared" si="5"/>
        <v>2.6499999999999999E-2</v>
      </c>
      <c r="J35" s="77">
        <f t="shared" si="5"/>
        <v>5.3E-3</v>
      </c>
      <c r="K35" s="77">
        <f t="shared" si="5"/>
        <v>2.65E-3</v>
      </c>
      <c r="L35" s="77">
        <f t="shared" si="5"/>
        <v>3.4609000000000001E-2</v>
      </c>
      <c r="M35" s="77">
        <f t="shared" si="5"/>
        <v>0.27083000000000007</v>
      </c>
      <c r="N35" s="77">
        <f t="shared" si="5"/>
        <v>0</v>
      </c>
      <c r="O35" s="77">
        <f t="shared" si="5"/>
        <v>0</v>
      </c>
      <c r="P35" s="77">
        <f t="shared" si="5"/>
        <v>231.76900000000001</v>
      </c>
      <c r="Q35" s="77">
        <f t="shared" si="10"/>
        <v>277.58750000000003</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53</v>
      </c>
      <c r="C36" s="77">
        <f t="shared" si="6"/>
        <v>116.60000000000001</v>
      </c>
      <c r="D36" s="77">
        <f t="shared" si="7"/>
        <v>63.868497999999995</v>
      </c>
      <c r="E36" s="77">
        <f t="shared" si="8"/>
        <v>13.667110000000001</v>
      </c>
      <c r="F36" s="77">
        <f t="shared" si="9"/>
        <v>8.0844079999999998</v>
      </c>
      <c r="G36" s="77">
        <f t="shared" si="5"/>
        <v>5.194E-2</v>
      </c>
      <c r="H36" s="77">
        <f t="shared" si="5"/>
        <v>0.58830000000000005</v>
      </c>
      <c r="I36" s="77">
        <f t="shared" si="5"/>
        <v>2.6499999999999999E-2</v>
      </c>
      <c r="J36" s="77">
        <f t="shared" si="5"/>
        <v>5.3E-3</v>
      </c>
      <c r="K36" s="77">
        <f t="shared" si="5"/>
        <v>2.65E-3</v>
      </c>
      <c r="L36" s="77">
        <f t="shared" si="5"/>
        <v>3.4609000000000001E-2</v>
      </c>
      <c r="M36" s="77">
        <f t="shared" si="5"/>
        <v>0.27083000000000007</v>
      </c>
      <c r="N36" s="77">
        <f t="shared" si="5"/>
        <v>0</v>
      </c>
      <c r="O36" s="77">
        <f t="shared" si="5"/>
        <v>0</v>
      </c>
      <c r="P36" s="77">
        <f t="shared" si="5"/>
        <v>231.76900000000001</v>
      </c>
      <c r="Q36" s="77">
        <f t="shared" si="10"/>
        <v>277.58750000000003</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53</v>
      </c>
      <c r="C37" s="77">
        <f t="shared" si="6"/>
        <v>116.60000000000001</v>
      </c>
      <c r="D37" s="77">
        <f t="shared" si="7"/>
        <v>63.868497999999995</v>
      </c>
      <c r="E37" s="77">
        <f t="shared" si="8"/>
        <v>13.667110000000001</v>
      </c>
      <c r="F37" s="77">
        <f t="shared" si="9"/>
        <v>8.0844079999999998</v>
      </c>
      <c r="G37" s="77">
        <f t="shared" si="5"/>
        <v>5.194E-2</v>
      </c>
      <c r="H37" s="77">
        <f t="shared" si="5"/>
        <v>0.58830000000000005</v>
      </c>
      <c r="I37" s="77">
        <f t="shared" si="5"/>
        <v>2.6499999999999999E-2</v>
      </c>
      <c r="J37" s="77">
        <f t="shared" si="5"/>
        <v>5.3E-3</v>
      </c>
      <c r="K37" s="77">
        <f t="shared" si="5"/>
        <v>2.65E-3</v>
      </c>
      <c r="L37" s="77">
        <f t="shared" si="5"/>
        <v>3.4609000000000001E-2</v>
      </c>
      <c r="M37" s="77">
        <f t="shared" si="5"/>
        <v>0.27083000000000007</v>
      </c>
      <c r="N37" s="77">
        <f t="shared" si="5"/>
        <v>0</v>
      </c>
      <c r="O37" s="77">
        <f t="shared" si="5"/>
        <v>0</v>
      </c>
      <c r="P37" s="77">
        <f t="shared" si="5"/>
        <v>231.76900000000001</v>
      </c>
      <c r="Q37" s="77">
        <f t="shared" si="10"/>
        <v>277.58750000000003</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53</v>
      </c>
      <c r="C38" s="77">
        <f t="shared" si="6"/>
        <v>116.60000000000001</v>
      </c>
      <c r="D38" s="77">
        <f t="shared" si="7"/>
        <v>63.868497999999995</v>
      </c>
      <c r="E38" s="77">
        <f t="shared" si="8"/>
        <v>13.667110000000001</v>
      </c>
      <c r="F38" s="77">
        <f t="shared" si="9"/>
        <v>8.0844079999999998</v>
      </c>
      <c r="G38" s="77">
        <f t="shared" si="5"/>
        <v>5.194E-2</v>
      </c>
      <c r="H38" s="77">
        <f t="shared" si="5"/>
        <v>0.58830000000000005</v>
      </c>
      <c r="I38" s="77">
        <f t="shared" si="5"/>
        <v>2.6499999999999999E-2</v>
      </c>
      <c r="J38" s="77">
        <f t="shared" si="5"/>
        <v>5.3E-3</v>
      </c>
      <c r="K38" s="77">
        <f t="shared" si="5"/>
        <v>2.65E-3</v>
      </c>
      <c r="L38" s="77">
        <f t="shared" si="5"/>
        <v>3.4609000000000001E-2</v>
      </c>
      <c r="M38" s="77">
        <f t="shared" si="5"/>
        <v>0.27083000000000007</v>
      </c>
      <c r="N38" s="77">
        <f t="shared" si="5"/>
        <v>0</v>
      </c>
      <c r="O38" s="77">
        <f t="shared" si="5"/>
        <v>0</v>
      </c>
      <c r="P38" s="77">
        <f t="shared" si="5"/>
        <v>231.76900000000001</v>
      </c>
      <c r="Q38" s="77">
        <f t="shared" si="10"/>
        <v>277.58750000000003</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53</v>
      </c>
      <c r="C39" s="77">
        <f t="shared" si="6"/>
        <v>116.60000000000001</v>
      </c>
      <c r="D39" s="77">
        <f t="shared" si="7"/>
        <v>63.868497999999995</v>
      </c>
      <c r="E39" s="77">
        <f t="shared" si="8"/>
        <v>13.667110000000001</v>
      </c>
      <c r="F39" s="77">
        <f t="shared" si="9"/>
        <v>8.0844079999999998</v>
      </c>
      <c r="G39" s="77">
        <f t="shared" si="5"/>
        <v>5.194E-2</v>
      </c>
      <c r="H39" s="77">
        <f t="shared" si="5"/>
        <v>0.58830000000000005</v>
      </c>
      <c r="I39" s="77">
        <f t="shared" si="5"/>
        <v>2.6499999999999999E-2</v>
      </c>
      <c r="J39" s="77">
        <f t="shared" si="5"/>
        <v>5.3E-3</v>
      </c>
      <c r="K39" s="77">
        <f t="shared" si="5"/>
        <v>2.65E-3</v>
      </c>
      <c r="L39" s="77">
        <f t="shared" si="5"/>
        <v>3.4609000000000001E-2</v>
      </c>
      <c r="M39" s="77">
        <f t="shared" si="5"/>
        <v>0.27083000000000007</v>
      </c>
      <c r="N39" s="77">
        <f t="shared" si="5"/>
        <v>0</v>
      </c>
      <c r="O39" s="77">
        <f t="shared" si="5"/>
        <v>0</v>
      </c>
      <c r="P39" s="77">
        <f t="shared" si="5"/>
        <v>231.76900000000001</v>
      </c>
      <c r="Q39" s="77">
        <f t="shared" si="10"/>
        <v>277.58750000000003</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53</v>
      </c>
      <c r="C40" s="77">
        <f t="shared" si="6"/>
        <v>116.60000000000001</v>
      </c>
      <c r="D40" s="77">
        <f t="shared" si="7"/>
        <v>63.868497999999995</v>
      </c>
      <c r="E40" s="77">
        <f t="shared" si="8"/>
        <v>13.667110000000001</v>
      </c>
      <c r="F40" s="77">
        <f t="shared" si="9"/>
        <v>8.0844079999999998</v>
      </c>
      <c r="G40" s="77">
        <f t="shared" si="5"/>
        <v>5.194E-2</v>
      </c>
      <c r="H40" s="77">
        <f t="shared" si="5"/>
        <v>0.58830000000000005</v>
      </c>
      <c r="I40" s="77">
        <f t="shared" si="5"/>
        <v>2.6499999999999999E-2</v>
      </c>
      <c r="J40" s="77">
        <f t="shared" si="5"/>
        <v>5.3E-3</v>
      </c>
      <c r="K40" s="77">
        <f t="shared" si="5"/>
        <v>2.65E-3</v>
      </c>
      <c r="L40" s="77">
        <f t="shared" si="5"/>
        <v>3.4609000000000001E-2</v>
      </c>
      <c r="M40" s="77">
        <f t="shared" si="5"/>
        <v>0.27083000000000007</v>
      </c>
      <c r="N40" s="77">
        <f t="shared" si="5"/>
        <v>0</v>
      </c>
      <c r="O40" s="77">
        <f t="shared" si="5"/>
        <v>0</v>
      </c>
      <c r="P40" s="77">
        <f t="shared" si="5"/>
        <v>231.76900000000001</v>
      </c>
      <c r="Q40" s="77">
        <f t="shared" si="10"/>
        <v>277.58750000000003</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53</v>
      </c>
      <c r="C41" s="77">
        <f t="shared" si="6"/>
        <v>116.60000000000001</v>
      </c>
      <c r="D41" s="77">
        <f t="shared" si="7"/>
        <v>63.868497999999995</v>
      </c>
      <c r="E41" s="77">
        <f t="shared" si="8"/>
        <v>13.667110000000001</v>
      </c>
      <c r="F41" s="77">
        <f t="shared" si="9"/>
        <v>8.0844079999999998</v>
      </c>
      <c r="G41" s="77">
        <f t="shared" si="5"/>
        <v>5.194E-2</v>
      </c>
      <c r="H41" s="77">
        <f t="shared" si="5"/>
        <v>0.58830000000000005</v>
      </c>
      <c r="I41" s="77">
        <f t="shared" si="5"/>
        <v>2.6499999999999999E-2</v>
      </c>
      <c r="J41" s="77">
        <f t="shared" si="5"/>
        <v>5.3E-3</v>
      </c>
      <c r="K41" s="77">
        <f t="shared" si="5"/>
        <v>2.65E-3</v>
      </c>
      <c r="L41" s="77">
        <f t="shared" si="5"/>
        <v>3.4609000000000001E-2</v>
      </c>
      <c r="M41" s="77">
        <f t="shared" si="5"/>
        <v>0.27083000000000007</v>
      </c>
      <c r="N41" s="77">
        <f t="shared" si="5"/>
        <v>0</v>
      </c>
      <c r="O41" s="77">
        <f t="shared" si="5"/>
        <v>0</v>
      </c>
      <c r="P41" s="77">
        <f t="shared" si="5"/>
        <v>231.76900000000001</v>
      </c>
      <c r="Q41" s="77">
        <f t="shared" si="10"/>
        <v>277.58750000000003</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53</v>
      </c>
      <c r="C42" s="77">
        <f t="shared" si="6"/>
        <v>116.60000000000001</v>
      </c>
      <c r="D42" s="77">
        <f t="shared" si="7"/>
        <v>63.868497999999995</v>
      </c>
      <c r="E42" s="77">
        <f t="shared" si="8"/>
        <v>13.667110000000001</v>
      </c>
      <c r="F42" s="77">
        <f t="shared" si="9"/>
        <v>8.0844079999999998</v>
      </c>
      <c r="G42" s="77">
        <f t="shared" si="5"/>
        <v>5.194E-2</v>
      </c>
      <c r="H42" s="77">
        <f t="shared" si="5"/>
        <v>0.58830000000000005</v>
      </c>
      <c r="I42" s="77">
        <f t="shared" si="5"/>
        <v>2.6499999999999999E-2</v>
      </c>
      <c r="J42" s="77">
        <f t="shared" si="5"/>
        <v>5.3E-3</v>
      </c>
      <c r="K42" s="77">
        <f t="shared" si="5"/>
        <v>2.65E-3</v>
      </c>
      <c r="L42" s="77">
        <f t="shared" si="5"/>
        <v>3.4609000000000001E-2</v>
      </c>
      <c r="M42" s="77">
        <f t="shared" si="5"/>
        <v>0.27083000000000007</v>
      </c>
      <c r="N42" s="77">
        <f t="shared" si="5"/>
        <v>0</v>
      </c>
      <c r="O42" s="77">
        <f t="shared" si="5"/>
        <v>0</v>
      </c>
      <c r="P42" s="77">
        <f t="shared" si="5"/>
        <v>231.76900000000001</v>
      </c>
      <c r="Q42" s="77">
        <f t="shared" si="10"/>
        <v>277.58750000000003</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53</v>
      </c>
      <c r="C43" s="77">
        <f t="shared" si="6"/>
        <v>116.60000000000001</v>
      </c>
      <c r="D43" s="77">
        <f t="shared" si="7"/>
        <v>63.868497999999995</v>
      </c>
      <c r="E43" s="77">
        <f t="shared" si="8"/>
        <v>13.667110000000001</v>
      </c>
      <c r="F43" s="77">
        <f t="shared" si="9"/>
        <v>8.0844079999999998</v>
      </c>
      <c r="G43" s="77">
        <f t="shared" si="5"/>
        <v>5.194E-2</v>
      </c>
      <c r="H43" s="77">
        <f t="shared" si="5"/>
        <v>0.58830000000000005</v>
      </c>
      <c r="I43" s="77">
        <f t="shared" si="5"/>
        <v>2.6499999999999999E-2</v>
      </c>
      <c r="J43" s="77">
        <f t="shared" si="5"/>
        <v>5.3E-3</v>
      </c>
      <c r="K43" s="77">
        <f t="shared" si="5"/>
        <v>2.65E-3</v>
      </c>
      <c r="L43" s="77">
        <f t="shared" si="5"/>
        <v>3.4609000000000001E-2</v>
      </c>
      <c r="M43" s="77">
        <f t="shared" si="5"/>
        <v>0.27083000000000007</v>
      </c>
      <c r="N43" s="77">
        <f t="shared" si="5"/>
        <v>0</v>
      </c>
      <c r="O43" s="77">
        <f t="shared" si="5"/>
        <v>0</v>
      </c>
      <c r="P43" s="77">
        <f t="shared" si="5"/>
        <v>231.76900000000001</v>
      </c>
      <c r="Q43" s="77">
        <f t="shared" si="10"/>
        <v>277.58750000000003</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53</v>
      </c>
      <c r="C44" s="77">
        <f t="shared" si="6"/>
        <v>116.60000000000001</v>
      </c>
      <c r="D44" s="77">
        <f t="shared" si="7"/>
        <v>63.868497999999995</v>
      </c>
      <c r="E44" s="77">
        <f t="shared" si="8"/>
        <v>13.667110000000001</v>
      </c>
      <c r="F44" s="77">
        <f t="shared" si="9"/>
        <v>8.0844079999999998</v>
      </c>
      <c r="G44" s="77">
        <f t="shared" si="5"/>
        <v>5.194E-2</v>
      </c>
      <c r="H44" s="77">
        <f t="shared" si="5"/>
        <v>0.58830000000000005</v>
      </c>
      <c r="I44" s="77">
        <f t="shared" si="5"/>
        <v>2.6499999999999999E-2</v>
      </c>
      <c r="J44" s="77">
        <f t="shared" si="5"/>
        <v>5.3E-3</v>
      </c>
      <c r="K44" s="77">
        <f t="shared" si="5"/>
        <v>2.65E-3</v>
      </c>
      <c r="L44" s="77">
        <f t="shared" si="5"/>
        <v>3.4609000000000001E-2</v>
      </c>
      <c r="M44" s="77">
        <f t="shared" si="5"/>
        <v>0.27083000000000007</v>
      </c>
      <c r="N44" s="77">
        <f t="shared" si="5"/>
        <v>0</v>
      </c>
      <c r="O44" s="77">
        <f t="shared" si="5"/>
        <v>0</v>
      </c>
      <c r="P44" s="77">
        <f t="shared" si="5"/>
        <v>231.76900000000001</v>
      </c>
      <c r="Q44" s="77">
        <f t="shared" si="10"/>
        <v>277.58750000000003</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16</v>
      </c>
      <c r="B45" s="15">
        <v>53</v>
      </c>
      <c r="C45" s="77">
        <f t="shared" si="6"/>
        <v>116.60000000000001</v>
      </c>
      <c r="D45" s="77">
        <f t="shared" si="7"/>
        <v>63.868497999999995</v>
      </c>
      <c r="E45" s="77">
        <f t="shared" si="8"/>
        <v>13.667110000000001</v>
      </c>
      <c r="F45" s="77">
        <f t="shared" si="9"/>
        <v>8.0844079999999998</v>
      </c>
      <c r="G45" s="77">
        <f t="shared" si="5"/>
        <v>5.194E-2</v>
      </c>
      <c r="H45" s="77">
        <f t="shared" si="5"/>
        <v>0.58830000000000005</v>
      </c>
      <c r="I45" s="77">
        <f t="shared" si="5"/>
        <v>2.6499999999999999E-2</v>
      </c>
      <c r="J45" s="77">
        <f t="shared" si="5"/>
        <v>5.3E-3</v>
      </c>
      <c r="K45" s="77">
        <f t="shared" si="5"/>
        <v>2.65E-3</v>
      </c>
      <c r="L45" s="77">
        <f t="shared" si="5"/>
        <v>3.4609000000000001E-2</v>
      </c>
      <c r="M45" s="77">
        <f t="shared" si="5"/>
        <v>0.27083000000000007</v>
      </c>
      <c r="N45" s="77">
        <f t="shared" si="5"/>
        <v>0</v>
      </c>
      <c r="O45" s="77">
        <f t="shared" si="5"/>
        <v>0</v>
      </c>
      <c r="P45" s="77">
        <f t="shared" si="5"/>
        <v>231.76900000000001</v>
      </c>
      <c r="Q45" s="77">
        <f t="shared" si="10"/>
        <v>277.58750000000003</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17</v>
      </c>
      <c r="B46" s="15">
        <v>53</v>
      </c>
      <c r="C46" s="77">
        <f t="shared" si="6"/>
        <v>116.60000000000001</v>
      </c>
      <c r="D46" s="77">
        <f t="shared" si="7"/>
        <v>63.868497999999995</v>
      </c>
      <c r="E46" s="77">
        <f t="shared" si="8"/>
        <v>13.667110000000001</v>
      </c>
      <c r="F46" s="77">
        <f t="shared" si="9"/>
        <v>8.0844079999999998</v>
      </c>
      <c r="G46" s="77">
        <f t="shared" si="5"/>
        <v>5.194E-2</v>
      </c>
      <c r="H46" s="77">
        <f t="shared" si="5"/>
        <v>0.58830000000000005</v>
      </c>
      <c r="I46" s="77">
        <f t="shared" si="5"/>
        <v>2.6499999999999999E-2</v>
      </c>
      <c r="J46" s="77">
        <f t="shared" si="5"/>
        <v>5.3E-3</v>
      </c>
      <c r="K46" s="77">
        <f t="shared" si="5"/>
        <v>2.65E-3</v>
      </c>
      <c r="L46" s="77">
        <f t="shared" si="5"/>
        <v>3.4609000000000001E-2</v>
      </c>
      <c r="M46" s="77">
        <f t="shared" si="5"/>
        <v>0.27083000000000007</v>
      </c>
      <c r="N46" s="77">
        <f t="shared" si="5"/>
        <v>0</v>
      </c>
      <c r="O46" s="77">
        <f t="shared" si="5"/>
        <v>0</v>
      </c>
      <c r="P46" s="77">
        <f t="shared" si="5"/>
        <v>231.76900000000001</v>
      </c>
      <c r="Q46" s="77">
        <f t="shared" si="10"/>
        <v>277.58750000000003</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18</v>
      </c>
      <c r="B47" s="15">
        <v>53</v>
      </c>
      <c r="C47" s="77">
        <f t="shared" si="6"/>
        <v>116.60000000000001</v>
      </c>
      <c r="D47" s="77">
        <f t="shared" si="7"/>
        <v>63.868497999999995</v>
      </c>
      <c r="E47" s="77">
        <f t="shared" si="8"/>
        <v>13.667110000000001</v>
      </c>
      <c r="F47" s="77">
        <f t="shared" si="9"/>
        <v>8.0844079999999998</v>
      </c>
      <c r="G47" s="77">
        <f t="shared" ref="G47:P50" si="12">IF(G$27="%w/w SAR",((G$28*10)*$B47),IF(G$27="%w/w DM",(((G$28*10)*($B$28/100))*$B47),IF(G$27="kg/t SAR",(G$28*$B47),IF(G$27="kg/t DM",((G$28*($B$28/100))*$B47),IF(G$27="mg/kg SAR",((G$28*0.001)*$B47),IF(G$27="mg/kg DM",(((G$28*0.001)*($B$28/100))*$B47),0))))))</f>
        <v>5.194E-2</v>
      </c>
      <c r="H47" s="77">
        <f t="shared" si="12"/>
        <v>0.58830000000000005</v>
      </c>
      <c r="I47" s="77">
        <f t="shared" si="12"/>
        <v>2.6499999999999999E-2</v>
      </c>
      <c r="J47" s="77">
        <f t="shared" si="12"/>
        <v>5.3E-3</v>
      </c>
      <c r="K47" s="77">
        <f t="shared" si="12"/>
        <v>2.65E-3</v>
      </c>
      <c r="L47" s="77">
        <f t="shared" si="12"/>
        <v>3.4609000000000001E-2</v>
      </c>
      <c r="M47" s="77">
        <f t="shared" si="12"/>
        <v>0.27083000000000007</v>
      </c>
      <c r="N47" s="77">
        <f t="shared" si="12"/>
        <v>0</v>
      </c>
      <c r="O47" s="77">
        <f t="shared" si="12"/>
        <v>0</v>
      </c>
      <c r="P47" s="77">
        <f t="shared" si="12"/>
        <v>231.76900000000001</v>
      </c>
      <c r="Q47" s="77">
        <f t="shared" si="10"/>
        <v>277.58750000000003</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19</v>
      </c>
      <c r="B48" s="15">
        <v>53</v>
      </c>
      <c r="C48" s="77">
        <f t="shared" si="6"/>
        <v>116.60000000000001</v>
      </c>
      <c r="D48" s="77">
        <f t="shared" si="7"/>
        <v>63.868497999999995</v>
      </c>
      <c r="E48" s="77">
        <f t="shared" si="8"/>
        <v>13.667110000000001</v>
      </c>
      <c r="F48" s="77">
        <f t="shared" si="9"/>
        <v>8.0844079999999998</v>
      </c>
      <c r="G48" s="77">
        <f t="shared" si="12"/>
        <v>5.194E-2</v>
      </c>
      <c r="H48" s="77">
        <f t="shared" si="12"/>
        <v>0.58830000000000005</v>
      </c>
      <c r="I48" s="77">
        <f t="shared" si="12"/>
        <v>2.6499999999999999E-2</v>
      </c>
      <c r="J48" s="77">
        <f t="shared" si="12"/>
        <v>5.3E-3</v>
      </c>
      <c r="K48" s="77">
        <f t="shared" si="12"/>
        <v>2.65E-3</v>
      </c>
      <c r="L48" s="77">
        <f t="shared" si="12"/>
        <v>3.4609000000000001E-2</v>
      </c>
      <c r="M48" s="77">
        <f t="shared" si="12"/>
        <v>0.27083000000000007</v>
      </c>
      <c r="N48" s="77">
        <f t="shared" si="12"/>
        <v>0</v>
      </c>
      <c r="O48" s="77">
        <f t="shared" si="12"/>
        <v>0</v>
      </c>
      <c r="P48" s="77">
        <f t="shared" si="12"/>
        <v>231.76900000000001</v>
      </c>
      <c r="Q48" s="77">
        <f t="shared" si="10"/>
        <v>277.58750000000003</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x14ac:dyDescent="0.2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str">
        <f>S16&amp;" I "&amp;(VLOOKUP(S14,Table245[],6,FALSE))</f>
        <v>Medium/Clay I Grass</v>
      </c>
      <c r="S58" s="13" t="str">
        <f>T16&amp;" I "&amp;(VLOOKUP(T14,Table245[],6,FALSE))</f>
        <v>Medium/Clay I Grass</v>
      </c>
      <c r="T58" s="13" t="e">
        <f>U16&amp;" I "&amp;(VLOOKUP(U14,Table245[],6,FALSE))</f>
        <v>#N/A</v>
      </c>
      <c r="U58" s="13" t="e">
        <f>V16&amp;" I "&amp;(VLOOKUP(V14,Table245[],6,FALSE))</f>
        <v>#N/A</v>
      </c>
    </row>
    <row r="59" spans="1:35" s="19" customFormat="1" x14ac:dyDescent="0.2">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f>VLOOKUP(R$14,Table245[],5,FALSE)</f>
        <v>6.2</v>
      </c>
      <c r="R59" s="76">
        <f>VLOOKUP(S$14,Table245[],5,FALSE)</f>
        <v>6.2</v>
      </c>
      <c r="S59" s="76">
        <f>VLOOKUP(T$14,Table245[],5,FALSE)</f>
        <v>6.2</v>
      </c>
      <c r="T59" s="76" t="e">
        <f>VLOOKUP(U$14,Table245[],5,FALSE)</f>
        <v>#N/A</v>
      </c>
      <c r="U59" s="76" t="e">
        <f>VLOOKUP(V$14,Table245[],5,FALSE)</f>
        <v>#N/A</v>
      </c>
    </row>
    <row r="60" spans="1:35" s="19" customFormat="1" x14ac:dyDescent="0.2">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t="e">
        <f t="shared" si="15"/>
        <v>#N/A</v>
      </c>
      <c r="U61" s="76" t="e">
        <f t="shared" si="15"/>
        <v>#N/A</v>
      </c>
    </row>
    <row r="62" spans="1:35" s="19" customFormat="1" x14ac:dyDescent="0.2">
      <c r="A62" s="111" t="s">
        <v>134</v>
      </c>
      <c r="B62" s="77">
        <f>B31</f>
        <v>53</v>
      </c>
      <c r="C62" s="77">
        <f>B32</f>
        <v>53</v>
      </c>
      <c r="D62" s="77">
        <f>B33</f>
        <v>53</v>
      </c>
      <c r="E62" s="77">
        <f>B34</f>
        <v>53</v>
      </c>
      <c r="F62" s="77">
        <f>B35</f>
        <v>53</v>
      </c>
      <c r="G62" s="77">
        <f>B36</f>
        <v>53</v>
      </c>
      <c r="H62" s="77">
        <f>B37</f>
        <v>53</v>
      </c>
      <c r="I62" s="77">
        <f>B38</f>
        <v>53</v>
      </c>
      <c r="J62" s="77">
        <f>B39</f>
        <v>53</v>
      </c>
      <c r="K62" s="77">
        <f>B40</f>
        <v>53</v>
      </c>
      <c r="L62" s="77">
        <f>B41</f>
        <v>53</v>
      </c>
      <c r="M62" s="77">
        <f>B42</f>
        <v>53</v>
      </c>
      <c r="N62" s="77">
        <f>B43</f>
        <v>53</v>
      </c>
      <c r="O62" s="77">
        <f>B44</f>
        <v>53</v>
      </c>
      <c r="P62" s="77">
        <f>B45</f>
        <v>53</v>
      </c>
      <c r="Q62" s="77">
        <f>B46</f>
        <v>53</v>
      </c>
      <c r="R62" s="77">
        <f>B47</f>
        <v>53</v>
      </c>
      <c r="S62" s="77">
        <f>B48</f>
        <v>53</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-1.7999999999999989</v>
      </c>
      <c r="D64" s="77">
        <f t="shared" si="17"/>
        <v>0.6000000000000032</v>
      </c>
      <c r="E64" s="77">
        <f t="shared" si="17"/>
        <v>0</v>
      </c>
      <c r="F64" s="77">
        <f t="shared" si="17"/>
        <v>1.2000000000000011</v>
      </c>
      <c r="G64" s="77">
        <f t="shared" si="17"/>
        <v>0.6000000000000032</v>
      </c>
      <c r="H64" s="77">
        <f t="shared" si="17"/>
        <v>-3</v>
      </c>
      <c r="I64" s="77">
        <f t="shared" si="17"/>
        <v>0.6000000000000032</v>
      </c>
      <c r="J64" s="77">
        <f t="shared" si="17"/>
        <v>1.2000000000000011</v>
      </c>
      <c r="K64" s="77">
        <f t="shared" si="17"/>
        <v>1.7999999999999989</v>
      </c>
      <c r="L64" s="77">
        <f t="shared" si="17"/>
        <v>1.7999999999999989</v>
      </c>
      <c r="M64" s="77">
        <f t="shared" si="17"/>
        <v>2.4000000000000021</v>
      </c>
      <c r="N64" s="77">
        <f t="shared" si="17"/>
        <v>2.4000000000000021</v>
      </c>
      <c r="O64" s="77">
        <f t="shared" si="17"/>
        <v>-1.2000000000000011</v>
      </c>
      <c r="P64" s="77">
        <f t="shared" si="17"/>
        <v>-2.3999999999999968</v>
      </c>
      <c r="Q64" s="77">
        <f t="shared" si="17"/>
        <v>-1.7999999999999989</v>
      </c>
      <c r="R64" s="77">
        <f t="shared" si="17"/>
        <v>-6.5999999999999979</v>
      </c>
      <c r="S64" s="77">
        <f t="shared" si="17"/>
        <v>-5.3999999999999968</v>
      </c>
      <c r="T64" s="77" t="e">
        <f t="shared" si="17"/>
        <v>#N/A</v>
      </c>
      <c r="U64" s="77" t="e">
        <f t="shared" si="17"/>
        <v>#N/A</v>
      </c>
    </row>
    <row r="65" spans="1:21" s="19" customFormat="1" ht="51" x14ac:dyDescent="0.2">
      <c r="A65" s="112" t="s">
        <v>157</v>
      </c>
      <c r="B65" s="77">
        <f>B63-B64</f>
        <v>0</v>
      </c>
      <c r="C65" s="77">
        <f t="shared" ref="C65:U65" si="18">C63-C64</f>
        <v>1.7999999999999989</v>
      </c>
      <c r="D65" s="77">
        <f t="shared" si="18"/>
        <v>-0.6000000000000032</v>
      </c>
      <c r="E65" s="77">
        <f t="shared" si="18"/>
        <v>0</v>
      </c>
      <c r="F65" s="77">
        <f t="shared" si="18"/>
        <v>-1.2000000000000011</v>
      </c>
      <c r="G65" s="77">
        <f t="shared" si="18"/>
        <v>-0.6000000000000032</v>
      </c>
      <c r="H65" s="77">
        <f t="shared" si="18"/>
        <v>3</v>
      </c>
      <c r="I65" s="77">
        <f t="shared" si="18"/>
        <v>-0.6000000000000032</v>
      </c>
      <c r="J65" s="77">
        <f t="shared" si="18"/>
        <v>-1.2000000000000011</v>
      </c>
      <c r="K65" s="77">
        <f t="shared" si="18"/>
        <v>-1.7999999999999989</v>
      </c>
      <c r="L65" s="77">
        <f t="shared" si="18"/>
        <v>-1.7999999999999989</v>
      </c>
      <c r="M65" s="77">
        <f t="shared" si="18"/>
        <v>-2.4000000000000021</v>
      </c>
      <c r="N65" s="77">
        <f t="shared" si="18"/>
        <v>-2.4000000000000021</v>
      </c>
      <c r="O65" s="77">
        <f t="shared" si="18"/>
        <v>1.2000000000000011</v>
      </c>
      <c r="P65" s="77">
        <f t="shared" si="18"/>
        <v>2.3999999999999968</v>
      </c>
      <c r="Q65" s="77">
        <f t="shared" si="18"/>
        <v>1.7999999999999989</v>
      </c>
      <c r="R65" s="77">
        <f t="shared" si="18"/>
        <v>6.5999999999999979</v>
      </c>
      <c r="S65" s="77">
        <f t="shared" si="18"/>
        <v>5.3999999999999968</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28" sqref="A2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PAN-018528</v>
      </c>
      <c r="D1" s="141"/>
      <c r="E1" s="93" t="s">
        <v>45</v>
      </c>
      <c r="F1" s="39">
        <f>Secanim!F1</f>
        <v>39.5</v>
      </c>
      <c r="G1" s="123" t="s">
        <v>43</v>
      </c>
      <c r="H1" s="124"/>
      <c r="I1" s="118">
        <v>7.04</v>
      </c>
      <c r="J1" s="127" t="s">
        <v>153</v>
      </c>
      <c r="K1" s="127"/>
      <c r="L1" s="97">
        <v>140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EPR-KP3594VE</v>
      </c>
      <c r="D2" s="143"/>
      <c r="E2" s="93" t="s">
        <v>109</v>
      </c>
      <c r="F2" s="96" t="s">
        <v>178</v>
      </c>
      <c r="G2" s="125" t="s">
        <v>110</v>
      </c>
      <c r="H2" s="126"/>
      <c r="I2" s="118">
        <v>613</v>
      </c>
      <c r="J2" s="127" t="s">
        <v>158</v>
      </c>
      <c r="K2" s="127"/>
      <c r="L2" s="97">
        <v>0.36</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7" t="s">
        <v>159</v>
      </c>
      <c r="H3" s="127"/>
      <c r="I3" s="118"/>
      <c r="J3" s="123" t="s">
        <v>154</v>
      </c>
      <c r="K3" s="124"/>
      <c r="L3" s="97">
        <f>(L1/(L2*10000))*100</f>
        <v>3.8888888888888888</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Fron Farm, Moel y Crio, CH7 5QW</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8</v>
      </c>
      <c r="K8" s="60">
        <f>Secanim!K8</f>
        <v>9</v>
      </c>
      <c r="L8" s="60">
        <f>Secanim!L8</f>
        <v>10</v>
      </c>
      <c r="M8" s="60">
        <f>Secanim!M8</f>
        <v>11</v>
      </c>
      <c r="N8" s="60">
        <f>Secanim!N8</f>
        <v>12</v>
      </c>
      <c r="O8" s="60">
        <f>Secanim!O8</f>
        <v>13</v>
      </c>
      <c r="P8" s="60">
        <f>Secanim!P8</f>
        <v>14</v>
      </c>
      <c r="Q8" s="60">
        <f>Secanim!Q8</f>
        <v>16</v>
      </c>
      <c r="R8" s="60">
        <f>Secanim!R8</f>
        <v>17</v>
      </c>
      <c r="S8" s="60">
        <f>Secanim!S8</f>
        <v>18</v>
      </c>
      <c r="T8" s="60">
        <f>Secanim!T8</f>
        <v>19</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6.2</v>
      </c>
      <c r="D10" s="60">
        <f>Secanim!D10</f>
        <v>6.5</v>
      </c>
      <c r="E10" s="60">
        <f>Secanim!E10</f>
        <v>6.1</v>
      </c>
      <c r="F10" s="60">
        <f>Secanim!F10</f>
        <v>6.2</v>
      </c>
      <c r="G10" s="60">
        <f>Secanim!G10</f>
        <v>6</v>
      </c>
      <c r="H10" s="60">
        <f>Secanim!H10</f>
        <v>6.1</v>
      </c>
      <c r="I10" s="60">
        <f>Secanim!I10</f>
        <v>6.7</v>
      </c>
      <c r="J10" s="60">
        <f>Secanim!J10</f>
        <v>6.1</v>
      </c>
      <c r="K10" s="60">
        <f>Secanim!K10</f>
        <v>6</v>
      </c>
      <c r="L10" s="60">
        <f>Secanim!L10</f>
        <v>5.9</v>
      </c>
      <c r="M10" s="60">
        <f>Secanim!M10</f>
        <v>5.9</v>
      </c>
      <c r="N10" s="60">
        <f>Secanim!N10</f>
        <v>5.8</v>
      </c>
      <c r="O10" s="60">
        <f>Secanim!O10</f>
        <v>5.8</v>
      </c>
      <c r="P10" s="60">
        <f>Secanim!P10</f>
        <v>6.4</v>
      </c>
      <c r="Q10" s="60">
        <f>Secanim!Q10</f>
        <v>6.6</v>
      </c>
      <c r="R10" s="60">
        <f>Secanim!R10</f>
        <v>6.5</v>
      </c>
      <c r="S10" s="60">
        <f>Secanim!S10</f>
        <v>7.3</v>
      </c>
      <c r="T10" s="60">
        <f>Secanim!T10</f>
        <v>7.1</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2</v>
      </c>
      <c r="D11" s="60">
        <f>Secanim!D11</f>
        <v>3</v>
      </c>
      <c r="E11" s="60">
        <f>Secanim!E11</f>
        <v>2</v>
      </c>
      <c r="F11" s="60">
        <f>Secanim!F11</f>
        <v>1</v>
      </c>
      <c r="G11" s="60">
        <f>Secanim!G11</f>
        <v>1</v>
      </c>
      <c r="H11" s="60">
        <f>Secanim!H11</f>
        <v>1</v>
      </c>
      <c r="I11" s="60">
        <f>Secanim!I11</f>
        <v>1</v>
      </c>
      <c r="J11" s="60">
        <f>Secanim!J11</f>
        <v>1</v>
      </c>
      <c r="K11" s="60">
        <f>Secanim!K11</f>
        <v>1</v>
      </c>
      <c r="L11" s="60">
        <f>Secanim!L11</f>
        <v>1</v>
      </c>
      <c r="M11" s="60">
        <f>Secanim!M11</f>
        <v>1</v>
      </c>
      <c r="N11" s="60">
        <f>Secanim!N11</f>
        <v>0</v>
      </c>
      <c r="O11" s="60">
        <f>Secanim!O11</f>
        <v>0</v>
      </c>
      <c r="P11" s="60">
        <f>Secanim!P11</f>
        <v>1</v>
      </c>
      <c r="Q11" s="60">
        <f>Secanim!Q11</f>
        <v>3</v>
      </c>
      <c r="R11" s="60">
        <f>Secanim!R11</f>
        <v>2</v>
      </c>
      <c r="S11" s="60">
        <f>Secanim!S11</f>
        <v>3</v>
      </c>
      <c r="T11" s="60">
        <f>Secanim!T11</f>
        <v>1</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t="str">
        <f>Secanim!D12</f>
        <v>2-</v>
      </c>
      <c r="E12" s="60">
        <f>Secanim!E12</f>
        <v>1</v>
      </c>
      <c r="F12" s="60">
        <f>Secanim!F12</f>
        <v>0</v>
      </c>
      <c r="G12" s="60">
        <f>Secanim!G12</f>
        <v>1</v>
      </c>
      <c r="H12" s="60">
        <f>Secanim!H12</f>
        <v>1</v>
      </c>
      <c r="I12" s="60">
        <f>Secanim!I12</f>
        <v>1</v>
      </c>
      <c r="J12" s="60">
        <f>Secanim!J12</f>
        <v>1</v>
      </c>
      <c r="K12" s="60">
        <f>Secanim!K12</f>
        <v>0</v>
      </c>
      <c r="L12" s="60">
        <f>Secanim!L12</f>
        <v>0</v>
      </c>
      <c r="M12" s="60" t="str">
        <f>Secanim!M12</f>
        <v>2-</v>
      </c>
      <c r="N12" s="60">
        <f>Secanim!N12</f>
        <v>0</v>
      </c>
      <c r="O12" s="60">
        <f>Secanim!O12</f>
        <v>0</v>
      </c>
      <c r="P12" s="60">
        <f>Secanim!P12</f>
        <v>1</v>
      </c>
      <c r="Q12" s="60">
        <f>Secanim!Q12</f>
        <v>1</v>
      </c>
      <c r="R12" s="60">
        <f>Secanim!R12</f>
        <v>1</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2</v>
      </c>
      <c r="R13" s="60">
        <f>Secanim!R13</f>
        <v>2</v>
      </c>
      <c r="S13" s="60">
        <f>Secanim!S13</f>
        <v>1</v>
      </c>
      <c r="T13" s="60">
        <f>Secanim!T13</f>
        <v>1</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63.967011000000007</v>
      </c>
      <c r="D18" s="16">
        <f>$D32</f>
        <v>63.967011000000007</v>
      </c>
      <c r="E18" s="16">
        <f>$D33</f>
        <v>63.967011000000007</v>
      </c>
      <c r="F18" s="16">
        <f>$D34</f>
        <v>63.967011000000007</v>
      </c>
      <c r="G18" s="16">
        <f>$D35</f>
        <v>63.967011000000007</v>
      </c>
      <c r="H18" s="16">
        <f>$D36</f>
        <v>63.967011000000007</v>
      </c>
      <c r="I18" s="16">
        <f>$D37</f>
        <v>63.967011000000007</v>
      </c>
      <c r="J18" s="16">
        <f>$D38</f>
        <v>63.967011000000007</v>
      </c>
      <c r="K18" s="16">
        <f>$D39</f>
        <v>63.967011000000007</v>
      </c>
      <c r="L18" s="16">
        <f>$D40</f>
        <v>63.967011000000007</v>
      </c>
      <c r="M18" s="16">
        <f>$D41</f>
        <v>63.967011000000007</v>
      </c>
      <c r="N18" s="16">
        <f>$D42</f>
        <v>63.967011000000007</v>
      </c>
      <c r="O18" s="16">
        <f>$D43</f>
        <v>63.967011000000007</v>
      </c>
      <c r="P18" s="16">
        <f>$D44</f>
        <v>63.967011000000007</v>
      </c>
      <c r="Q18" s="16">
        <f>$D45</f>
        <v>63.967011000000007</v>
      </c>
      <c r="R18" s="16">
        <f>$D46</f>
        <v>63.967011000000007</v>
      </c>
      <c r="S18" s="16">
        <f>$D47</f>
        <v>63.967011000000007</v>
      </c>
      <c r="T18" s="16">
        <f>$D48</f>
        <v>63.967011000000007</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-0.63298899999998781</v>
      </c>
      <c r="D19" s="16">
        <f t="shared" ref="D19:V19" si="1">D18-D17</f>
        <v>-0.63298899999998781</v>
      </c>
      <c r="E19" s="16">
        <f t="shared" si="1"/>
        <v>-0.63298899999998781</v>
      </c>
      <c r="F19" s="16">
        <f t="shared" si="1"/>
        <v>-0.63298899999998781</v>
      </c>
      <c r="G19" s="16">
        <f t="shared" si="1"/>
        <v>-0.63298899999998781</v>
      </c>
      <c r="H19" s="16">
        <f t="shared" si="1"/>
        <v>-0.63298899999998781</v>
      </c>
      <c r="I19" s="16">
        <f t="shared" si="1"/>
        <v>-0.63298899999998781</v>
      </c>
      <c r="J19" s="16">
        <f t="shared" si="1"/>
        <v>-0.63298899999998781</v>
      </c>
      <c r="K19" s="16">
        <f t="shared" si="1"/>
        <v>-0.63298899999998781</v>
      </c>
      <c r="L19" s="16">
        <f t="shared" si="1"/>
        <v>-0.63298899999998781</v>
      </c>
      <c r="M19" s="16">
        <f t="shared" si="1"/>
        <v>-0.63298899999998781</v>
      </c>
      <c r="N19" s="16">
        <f t="shared" si="1"/>
        <v>-0.63298899999998781</v>
      </c>
      <c r="O19" s="16">
        <f t="shared" si="1"/>
        <v>-0.63298899999998781</v>
      </c>
      <c r="P19" s="16">
        <f t="shared" si="1"/>
        <v>-0.63298899999998781</v>
      </c>
      <c r="Q19" s="16">
        <f t="shared" si="1"/>
        <v>-0.63298899999998781</v>
      </c>
      <c r="R19" s="16">
        <f t="shared" si="1"/>
        <v>-0.63298899999998781</v>
      </c>
      <c r="S19" s="16">
        <f t="shared" si="1"/>
        <v>-0.63298899999998781</v>
      </c>
      <c r="T19" s="16">
        <f t="shared" si="1"/>
        <v>-0.63298899999998781</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13.586375000000002</v>
      </c>
      <c r="D22" s="16">
        <f>$E32</f>
        <v>13.586375000000002</v>
      </c>
      <c r="E22" s="16">
        <f>$E33</f>
        <v>13.586375000000002</v>
      </c>
      <c r="F22" s="16">
        <f>$E34</f>
        <v>13.586375000000002</v>
      </c>
      <c r="G22" s="16">
        <f>$E35</f>
        <v>13.586375000000002</v>
      </c>
      <c r="H22" s="16">
        <f>$E36</f>
        <v>13.586375000000002</v>
      </c>
      <c r="I22" s="16">
        <f>$E37</f>
        <v>13.586375000000002</v>
      </c>
      <c r="J22" s="16">
        <f>$E38</f>
        <v>13.586375000000002</v>
      </c>
      <c r="K22" s="16">
        <f>$E39</f>
        <v>13.586375000000002</v>
      </c>
      <c r="L22" s="16">
        <f>$E40</f>
        <v>13.586375000000002</v>
      </c>
      <c r="M22" s="16">
        <f>$E41</f>
        <v>13.586375000000002</v>
      </c>
      <c r="N22" s="16">
        <f>$E42</f>
        <v>13.586375000000002</v>
      </c>
      <c r="O22" s="16">
        <f>$E43</f>
        <v>13.586375000000002</v>
      </c>
      <c r="P22" s="16">
        <f>$E44</f>
        <v>13.586375000000002</v>
      </c>
      <c r="Q22" s="16">
        <f>$E45</f>
        <v>13.586375000000002</v>
      </c>
      <c r="R22" s="16">
        <f>$E46</f>
        <v>13.586375000000002</v>
      </c>
      <c r="S22" s="16">
        <f>$E47</f>
        <v>13.586375000000002</v>
      </c>
      <c r="T22" s="16">
        <f>$E48</f>
        <v>13.586375000000002</v>
      </c>
      <c r="U22" s="16">
        <f>$E49</f>
        <v>0</v>
      </c>
      <c r="V22" s="16">
        <f>$E50</f>
        <v>0</v>
      </c>
      <c r="AI22" s="63" t="s">
        <v>102</v>
      </c>
      <c r="AJ22" s="64">
        <v>1.2</v>
      </c>
      <c r="AK22" s="65">
        <v>5</v>
      </c>
      <c r="AL22" s="29">
        <v>20</v>
      </c>
      <c r="AM22" s="11">
        <v>6.7</v>
      </c>
      <c r="AN22" s="11" t="s">
        <v>135</v>
      </c>
    </row>
    <row r="23" spans="1:40" x14ac:dyDescent="0.2">
      <c r="A23" s="131" t="s">
        <v>92</v>
      </c>
      <c r="B23" s="132"/>
      <c r="C23" s="16">
        <f>C22-C21</f>
        <v>-214.413625</v>
      </c>
      <c r="D23" s="16">
        <f t="shared" ref="D23:V23" si="3">D22-D21</f>
        <v>-214.413625</v>
      </c>
      <c r="E23" s="16">
        <f t="shared" si="3"/>
        <v>-214.413625</v>
      </c>
      <c r="F23" s="16">
        <f t="shared" si="3"/>
        <v>-214.413625</v>
      </c>
      <c r="G23" s="16">
        <f t="shared" si="3"/>
        <v>-214.413625</v>
      </c>
      <c r="H23" s="16">
        <f t="shared" si="3"/>
        <v>-214.413625</v>
      </c>
      <c r="I23" s="16">
        <f t="shared" si="3"/>
        <v>-214.413625</v>
      </c>
      <c r="J23" s="16">
        <f t="shared" si="3"/>
        <v>-214.413625</v>
      </c>
      <c r="K23" s="16">
        <f t="shared" si="3"/>
        <v>-214.413625</v>
      </c>
      <c r="L23" s="16">
        <f t="shared" si="3"/>
        <v>-214.413625</v>
      </c>
      <c r="M23" s="16">
        <f t="shared" si="3"/>
        <v>-214.413625</v>
      </c>
      <c r="N23" s="16">
        <f t="shared" si="3"/>
        <v>-214.413625</v>
      </c>
      <c r="O23" s="16">
        <f t="shared" si="3"/>
        <v>-214.413625</v>
      </c>
      <c r="P23" s="16">
        <f t="shared" si="3"/>
        <v>-214.413625</v>
      </c>
      <c r="Q23" s="16">
        <f t="shared" si="3"/>
        <v>-214.413625</v>
      </c>
      <c r="R23" s="16">
        <f t="shared" si="3"/>
        <v>-214.413625</v>
      </c>
      <c r="S23" s="16">
        <f t="shared" si="3"/>
        <v>-214.413625</v>
      </c>
      <c r="T23" s="16">
        <f t="shared" si="3"/>
        <v>-214.413625</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5.33</v>
      </c>
      <c r="C28" s="15">
        <v>0.36</v>
      </c>
      <c r="D28" s="15">
        <v>681</v>
      </c>
      <c r="E28" s="15">
        <v>275</v>
      </c>
      <c r="F28" s="15">
        <v>212</v>
      </c>
      <c r="G28" s="15">
        <v>1.48</v>
      </c>
      <c r="H28" s="15">
        <v>11.2</v>
      </c>
      <c r="I28" s="15">
        <v>0.5</v>
      </c>
      <c r="J28" s="15">
        <v>1.6E-2</v>
      </c>
      <c r="K28" s="23">
        <v>0.5</v>
      </c>
      <c r="L28" s="15">
        <v>0.318</v>
      </c>
      <c r="M28" s="15">
        <v>0.53300000000000003</v>
      </c>
      <c r="N28" s="15"/>
      <c r="O28" s="15"/>
      <c r="P28" s="15">
        <v>415</v>
      </c>
      <c r="Q28" s="15">
        <v>711</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41</v>
      </c>
      <c r="C31" s="77">
        <f>IF(C$27="%w/w SAR",((C$28*10)*$B31),IF(C$27="%w/w DM",(((C$28*10)*($B$28/100))*$B31),IF(C$27="kg/t SAR",(C$28*$B31),IF(C$27="kg/t DM",((C$28*($B$28/100))*$B31),IF(C$27="mg/kg SAR",((C$28*0.001)*$B31),IF(C$27="mg/kg DM",(((C$28*0.001)*($B$28/100))*$B31),0))))))</f>
        <v>147.6</v>
      </c>
      <c r="D31" s="77">
        <f>(IF(D$27="%w/w SAR",((D$28*10)*$B31),IF(D$27="%w/w DM",(((D$28*10)*($B$28/100))*$B31),IF(D$27="kg/t SAR",(D$28*$B31),IF(D$27="kg/t DM",((D$28*($B$28/100))*$B31),IF(D$27="mg/kg SAR",((D$28*0.001)*$B31),IF(D$27="mg/kg DM",(((D$28*0.001)*($B$28/100))*$B31),"0")))))))*2.291</f>
        <v>63.967011000000007</v>
      </c>
      <c r="E31" s="77">
        <f>(IF(E$27="%w/w SAR",((E$28*10)*$B31),IF(E$27="%w/w DM",(((E$28*10)*($B$28/100))*$B31),IF(E$27="kg/t SAR",(E$28*$B31),IF(E$27="kg/t DM",((E$28*($B$28/100))*$B31),IF(E$27="mg/kg SAR",((E$28*0.001)*$B31),IF(E$27="mg/kg DM",(((E$28*0.001)*($B$28/100))*$B31),"0")))))))*1.205</f>
        <v>13.586375000000002</v>
      </c>
      <c r="F31" s="77">
        <f>(IF(F$27="%w/w SAR",((F$28*10)*$B31),IF(F$27="%w/w DM",(((F$28*10)*($B$28/100))*$B31),IF(F$27="kg/t SAR",(F$28*$B31),IF(F$27="kg/t DM",((F$28*($B$28/100))*$B31),IF(F$27="mg/kg SAR",((F$28*0.001)*$B31),IF(F$27="mg/kg DM",(((F$28*0.001)*($B$28/100))*$B31),"0")))))))*1.658</f>
        <v>14.411336</v>
      </c>
      <c r="G31" s="77">
        <f t="shared" ref="G31:P46" si="5">IF(G$27="%w/w SAR",((G$28*10)*$B31),IF(G$27="%w/w DM",(((G$28*10)*($B$28/100))*$B31),IF(G$27="kg/t SAR",(G$28*$B31),IF(G$27="kg/t DM",((G$28*($B$28/100))*$B31),IF(G$27="mg/kg SAR",((G$28*0.001)*$B31),IF(G$27="mg/kg DM",(((G$28*0.001)*($B$28/100))*$B31),0))))))</f>
        <v>6.0679999999999998E-2</v>
      </c>
      <c r="H31" s="77">
        <f t="shared" si="5"/>
        <v>0.4592</v>
      </c>
      <c r="I31" s="77">
        <f t="shared" si="5"/>
        <v>2.0500000000000001E-2</v>
      </c>
      <c r="J31" s="77">
        <f t="shared" si="5"/>
        <v>6.5600000000000001E-4</v>
      </c>
      <c r="K31" s="77">
        <f t="shared" si="5"/>
        <v>2.0500000000000001E-2</v>
      </c>
      <c r="L31" s="77">
        <f t="shared" si="5"/>
        <v>1.3038000000000001E-2</v>
      </c>
      <c r="M31" s="77">
        <f t="shared" si="5"/>
        <v>2.1853000000000001E-2</v>
      </c>
      <c r="N31" s="77">
        <f t="shared" si="5"/>
        <v>0</v>
      </c>
      <c r="O31" s="77">
        <f t="shared" si="5"/>
        <v>0</v>
      </c>
      <c r="P31" s="77">
        <f t="shared" si="5"/>
        <v>17.015000000000001</v>
      </c>
      <c r="Q31" s="77">
        <f>(IF(Q$27="%w/w SAR",((Q$28*10)*$B31),IF(Q$27="%w/w DM",(((Q$28*10)*($B$28/100))*$B31),IF(Q$27="kg/t SAR",(Q$28*$B31),IF(Q$27="kg/t DM",((Q$28*($B$28/100))*$B31),IF(Q$27="mg/kg SAR",((Q$28*0.001)*$B31),IF(Q$27="mg/kg DM",(((Q$28*0.001)*($B$28/100))*$B31),0)))))))*2.5</f>
        <v>72.877499999999998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41</v>
      </c>
      <c r="C32" s="77">
        <f t="shared" ref="C32:C50" si="6">IF(C$27="%w/w SAR",((C$28*10)*$B32),IF(C$27="%w/w DM",(((C$28*10)*($B$28/100))*$B32),IF(C$27="kg/t SAR",(C$28*$B32),IF(C$27="kg/t DM",((C$28*($B$28/100))*$B32),IF(C$27="mg/kg SAR",((C$28*0.001)*$B32),IF(C$27="mg/kg DM",(((C$28*0.001)*($B$28/100))*$B32),0))))))</f>
        <v>147.6</v>
      </c>
      <c r="D32" s="77">
        <f t="shared" ref="D32:D50" si="7">(IF(D$27="%w/w SAR",((D$28*10)*$B32),IF(D$27="%w/w DM",(((D$28*10)*($B$28/100))*$B32),IF(D$27="kg/t SAR",(D$28*$B32),IF(D$27="kg/t DM",((D$28*($B$28/100))*$B32),IF(D$27="mg/kg SAR",((D$28*0.001)*$B32),IF(D$27="mg/kg DM",(((D$28*0.001)*($B$28/100))*$B32),"0")))))))*2.291</f>
        <v>63.967011000000007</v>
      </c>
      <c r="E32" s="77">
        <f t="shared" ref="E32:E50" si="8">(IF(E$27="%w/w SAR",((E$28*10)*$B32),IF(E$27="%w/w DM",(((E$28*10)*($B$28/100))*$B32),IF(E$27="kg/t SAR",(E$28*$B32),IF(E$27="kg/t DM",((E$28*($B$28/100))*$B32),IF(E$27="mg/kg SAR",((E$28*0.001)*$B32),IF(E$27="mg/kg DM",(((E$28*0.001)*($B$28/100))*$B32),"0")))))))*1.205</f>
        <v>13.586375000000002</v>
      </c>
      <c r="F32" s="77">
        <f t="shared" ref="F32:F50" si="9">(IF(F$27="%w/w SAR",((F$28*10)*$B32),IF(F$27="%w/w DM",(((F$28*10)*($B$28/100))*$B32),IF(F$27="kg/t SAR",(F$28*$B32),IF(F$27="kg/t DM",((F$28*($B$28/100))*$B32),IF(F$27="mg/kg SAR",((F$28*0.001)*$B32),IF(F$27="mg/kg DM",(((F$28*0.001)*($B$28/100))*$B32),"0")))))))*1.658</f>
        <v>14.411336</v>
      </c>
      <c r="G32" s="77">
        <f t="shared" si="5"/>
        <v>6.0679999999999998E-2</v>
      </c>
      <c r="H32" s="77">
        <f t="shared" si="5"/>
        <v>0.4592</v>
      </c>
      <c r="I32" s="77">
        <f t="shared" si="5"/>
        <v>2.0500000000000001E-2</v>
      </c>
      <c r="J32" s="77">
        <f t="shared" si="5"/>
        <v>6.5600000000000001E-4</v>
      </c>
      <c r="K32" s="77">
        <f t="shared" si="5"/>
        <v>2.0500000000000001E-2</v>
      </c>
      <c r="L32" s="77">
        <f t="shared" si="5"/>
        <v>1.3038000000000001E-2</v>
      </c>
      <c r="M32" s="77">
        <f t="shared" si="5"/>
        <v>2.1853000000000001E-2</v>
      </c>
      <c r="N32" s="77">
        <f t="shared" si="5"/>
        <v>0</v>
      </c>
      <c r="O32" s="77">
        <f t="shared" si="5"/>
        <v>0</v>
      </c>
      <c r="P32" s="77">
        <f t="shared" si="5"/>
        <v>17.015000000000001</v>
      </c>
      <c r="Q32" s="77">
        <f t="shared" ref="Q32:Q50" si="10">(IF(Q$27="%w/w SAR",((Q$28*10)*$B32),IF(Q$27="%w/w DM",(((Q$28*10)*($B$28/100))*$B32),IF(Q$27="kg/t SAR",(Q$28*$B32),IF(Q$27="kg/t DM",((Q$28*($B$28/100))*$B32),IF(Q$27="mg/kg SAR",((Q$28*0.001)*$B32),IF(Q$27="mg/kg DM",(((Q$28*0.001)*($B$28/100))*$B32),0)))))))*2.5</f>
        <v>72.877499999999998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41</v>
      </c>
      <c r="C33" s="77">
        <f t="shared" si="6"/>
        <v>147.6</v>
      </c>
      <c r="D33" s="77">
        <f t="shared" si="7"/>
        <v>63.967011000000007</v>
      </c>
      <c r="E33" s="77">
        <f t="shared" si="8"/>
        <v>13.586375000000002</v>
      </c>
      <c r="F33" s="77">
        <f t="shared" si="9"/>
        <v>14.411336</v>
      </c>
      <c r="G33" s="77">
        <f t="shared" si="5"/>
        <v>6.0679999999999998E-2</v>
      </c>
      <c r="H33" s="77">
        <f t="shared" si="5"/>
        <v>0.4592</v>
      </c>
      <c r="I33" s="77">
        <f t="shared" si="5"/>
        <v>2.0500000000000001E-2</v>
      </c>
      <c r="J33" s="77">
        <f t="shared" si="5"/>
        <v>6.5600000000000001E-4</v>
      </c>
      <c r="K33" s="77">
        <f t="shared" si="5"/>
        <v>2.0500000000000001E-2</v>
      </c>
      <c r="L33" s="77">
        <f t="shared" si="5"/>
        <v>1.3038000000000001E-2</v>
      </c>
      <c r="M33" s="77">
        <f t="shared" si="5"/>
        <v>2.1853000000000001E-2</v>
      </c>
      <c r="N33" s="77">
        <f t="shared" si="5"/>
        <v>0</v>
      </c>
      <c r="O33" s="77">
        <f t="shared" si="5"/>
        <v>0</v>
      </c>
      <c r="P33" s="77">
        <f t="shared" si="5"/>
        <v>17.015000000000001</v>
      </c>
      <c r="Q33" s="77">
        <f t="shared" si="10"/>
        <v>72.877499999999998</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41</v>
      </c>
      <c r="C34" s="77">
        <f t="shared" si="6"/>
        <v>147.6</v>
      </c>
      <c r="D34" s="77">
        <f t="shared" si="7"/>
        <v>63.967011000000007</v>
      </c>
      <c r="E34" s="77">
        <f t="shared" si="8"/>
        <v>13.586375000000002</v>
      </c>
      <c r="F34" s="77">
        <f t="shared" si="9"/>
        <v>14.411336</v>
      </c>
      <c r="G34" s="77">
        <f t="shared" si="5"/>
        <v>6.0679999999999998E-2</v>
      </c>
      <c r="H34" s="77">
        <f t="shared" si="5"/>
        <v>0.4592</v>
      </c>
      <c r="I34" s="77">
        <f t="shared" si="5"/>
        <v>2.0500000000000001E-2</v>
      </c>
      <c r="J34" s="77">
        <f t="shared" si="5"/>
        <v>6.5600000000000001E-4</v>
      </c>
      <c r="K34" s="77">
        <f t="shared" si="5"/>
        <v>2.0500000000000001E-2</v>
      </c>
      <c r="L34" s="77">
        <f t="shared" si="5"/>
        <v>1.3038000000000001E-2</v>
      </c>
      <c r="M34" s="77">
        <f t="shared" si="5"/>
        <v>2.1853000000000001E-2</v>
      </c>
      <c r="N34" s="77">
        <f t="shared" si="5"/>
        <v>0</v>
      </c>
      <c r="O34" s="77">
        <f t="shared" si="5"/>
        <v>0</v>
      </c>
      <c r="P34" s="77">
        <f t="shared" si="5"/>
        <v>17.015000000000001</v>
      </c>
      <c r="Q34" s="77">
        <f t="shared" si="10"/>
        <v>72.877499999999998</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41</v>
      </c>
      <c r="C35" s="77">
        <f t="shared" si="6"/>
        <v>147.6</v>
      </c>
      <c r="D35" s="77">
        <f t="shared" si="7"/>
        <v>63.967011000000007</v>
      </c>
      <c r="E35" s="77">
        <f t="shared" si="8"/>
        <v>13.586375000000002</v>
      </c>
      <c r="F35" s="77">
        <f t="shared" si="9"/>
        <v>14.411336</v>
      </c>
      <c r="G35" s="77">
        <f t="shared" si="5"/>
        <v>6.0679999999999998E-2</v>
      </c>
      <c r="H35" s="77">
        <f t="shared" si="5"/>
        <v>0.4592</v>
      </c>
      <c r="I35" s="77">
        <f t="shared" si="5"/>
        <v>2.0500000000000001E-2</v>
      </c>
      <c r="J35" s="77">
        <f t="shared" si="5"/>
        <v>6.5600000000000001E-4</v>
      </c>
      <c r="K35" s="77">
        <f t="shared" si="5"/>
        <v>2.0500000000000001E-2</v>
      </c>
      <c r="L35" s="77">
        <f t="shared" si="5"/>
        <v>1.3038000000000001E-2</v>
      </c>
      <c r="M35" s="77">
        <f t="shared" si="5"/>
        <v>2.1853000000000001E-2</v>
      </c>
      <c r="N35" s="77">
        <f t="shared" si="5"/>
        <v>0</v>
      </c>
      <c r="O35" s="77">
        <f t="shared" si="5"/>
        <v>0</v>
      </c>
      <c r="P35" s="77">
        <f t="shared" si="5"/>
        <v>17.015000000000001</v>
      </c>
      <c r="Q35" s="77">
        <f t="shared" si="10"/>
        <v>72.877499999999998</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41</v>
      </c>
      <c r="C36" s="77">
        <f t="shared" si="6"/>
        <v>147.6</v>
      </c>
      <c r="D36" s="77">
        <f t="shared" si="7"/>
        <v>63.967011000000007</v>
      </c>
      <c r="E36" s="77">
        <f t="shared" si="8"/>
        <v>13.586375000000002</v>
      </c>
      <c r="F36" s="77">
        <f t="shared" si="9"/>
        <v>14.411336</v>
      </c>
      <c r="G36" s="77">
        <f t="shared" si="5"/>
        <v>6.0679999999999998E-2</v>
      </c>
      <c r="H36" s="77">
        <f t="shared" si="5"/>
        <v>0.4592</v>
      </c>
      <c r="I36" s="77">
        <f t="shared" si="5"/>
        <v>2.0500000000000001E-2</v>
      </c>
      <c r="J36" s="77">
        <f t="shared" si="5"/>
        <v>6.5600000000000001E-4</v>
      </c>
      <c r="K36" s="77">
        <f t="shared" si="5"/>
        <v>2.0500000000000001E-2</v>
      </c>
      <c r="L36" s="77">
        <f t="shared" si="5"/>
        <v>1.3038000000000001E-2</v>
      </c>
      <c r="M36" s="77">
        <f t="shared" si="5"/>
        <v>2.1853000000000001E-2</v>
      </c>
      <c r="N36" s="77">
        <f t="shared" si="5"/>
        <v>0</v>
      </c>
      <c r="O36" s="77">
        <f t="shared" si="5"/>
        <v>0</v>
      </c>
      <c r="P36" s="77">
        <f t="shared" si="5"/>
        <v>17.015000000000001</v>
      </c>
      <c r="Q36" s="77">
        <f t="shared" si="10"/>
        <v>72.877499999999998</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41</v>
      </c>
      <c r="C37" s="77">
        <f t="shared" si="6"/>
        <v>147.6</v>
      </c>
      <c r="D37" s="77">
        <f t="shared" si="7"/>
        <v>63.967011000000007</v>
      </c>
      <c r="E37" s="77">
        <f t="shared" si="8"/>
        <v>13.586375000000002</v>
      </c>
      <c r="F37" s="77">
        <f t="shared" si="9"/>
        <v>14.411336</v>
      </c>
      <c r="G37" s="77">
        <f t="shared" si="5"/>
        <v>6.0679999999999998E-2</v>
      </c>
      <c r="H37" s="77">
        <f t="shared" si="5"/>
        <v>0.4592</v>
      </c>
      <c r="I37" s="77">
        <f t="shared" si="5"/>
        <v>2.0500000000000001E-2</v>
      </c>
      <c r="J37" s="77">
        <f t="shared" si="5"/>
        <v>6.5600000000000001E-4</v>
      </c>
      <c r="K37" s="77">
        <f t="shared" si="5"/>
        <v>2.0500000000000001E-2</v>
      </c>
      <c r="L37" s="77">
        <f t="shared" si="5"/>
        <v>1.3038000000000001E-2</v>
      </c>
      <c r="M37" s="77">
        <f t="shared" si="5"/>
        <v>2.1853000000000001E-2</v>
      </c>
      <c r="N37" s="77">
        <f t="shared" si="5"/>
        <v>0</v>
      </c>
      <c r="O37" s="77">
        <f t="shared" si="5"/>
        <v>0</v>
      </c>
      <c r="P37" s="77">
        <f t="shared" si="5"/>
        <v>17.015000000000001</v>
      </c>
      <c r="Q37" s="77">
        <f t="shared" si="10"/>
        <v>72.877499999999998</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41</v>
      </c>
      <c r="C38" s="77">
        <f t="shared" si="6"/>
        <v>147.6</v>
      </c>
      <c r="D38" s="77">
        <f t="shared" si="7"/>
        <v>63.967011000000007</v>
      </c>
      <c r="E38" s="77">
        <f t="shared" si="8"/>
        <v>13.586375000000002</v>
      </c>
      <c r="F38" s="77">
        <f t="shared" si="9"/>
        <v>14.411336</v>
      </c>
      <c r="G38" s="77">
        <f t="shared" si="5"/>
        <v>6.0679999999999998E-2</v>
      </c>
      <c r="H38" s="77">
        <f t="shared" si="5"/>
        <v>0.4592</v>
      </c>
      <c r="I38" s="77">
        <f t="shared" si="5"/>
        <v>2.0500000000000001E-2</v>
      </c>
      <c r="J38" s="77">
        <f t="shared" si="5"/>
        <v>6.5600000000000001E-4</v>
      </c>
      <c r="K38" s="77">
        <f t="shared" si="5"/>
        <v>2.0500000000000001E-2</v>
      </c>
      <c r="L38" s="77">
        <f t="shared" si="5"/>
        <v>1.3038000000000001E-2</v>
      </c>
      <c r="M38" s="77">
        <f t="shared" si="5"/>
        <v>2.1853000000000001E-2</v>
      </c>
      <c r="N38" s="77">
        <f t="shared" si="5"/>
        <v>0</v>
      </c>
      <c r="O38" s="77">
        <f t="shared" si="5"/>
        <v>0</v>
      </c>
      <c r="P38" s="77">
        <f t="shared" si="5"/>
        <v>17.015000000000001</v>
      </c>
      <c r="Q38" s="77">
        <f t="shared" si="10"/>
        <v>72.877499999999998</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41</v>
      </c>
      <c r="C39" s="77">
        <f t="shared" si="6"/>
        <v>147.6</v>
      </c>
      <c r="D39" s="77">
        <f t="shared" si="7"/>
        <v>63.967011000000007</v>
      </c>
      <c r="E39" s="77">
        <f t="shared" si="8"/>
        <v>13.586375000000002</v>
      </c>
      <c r="F39" s="77">
        <f t="shared" si="9"/>
        <v>14.411336</v>
      </c>
      <c r="G39" s="77">
        <f t="shared" si="5"/>
        <v>6.0679999999999998E-2</v>
      </c>
      <c r="H39" s="77">
        <f t="shared" si="5"/>
        <v>0.4592</v>
      </c>
      <c r="I39" s="77">
        <f t="shared" si="5"/>
        <v>2.0500000000000001E-2</v>
      </c>
      <c r="J39" s="77">
        <f t="shared" si="5"/>
        <v>6.5600000000000001E-4</v>
      </c>
      <c r="K39" s="77">
        <f t="shared" si="5"/>
        <v>2.0500000000000001E-2</v>
      </c>
      <c r="L39" s="77">
        <f t="shared" si="5"/>
        <v>1.3038000000000001E-2</v>
      </c>
      <c r="M39" s="77">
        <f t="shared" si="5"/>
        <v>2.1853000000000001E-2</v>
      </c>
      <c r="N39" s="77">
        <f t="shared" si="5"/>
        <v>0</v>
      </c>
      <c r="O39" s="77">
        <f t="shared" si="5"/>
        <v>0</v>
      </c>
      <c r="P39" s="77">
        <f t="shared" si="5"/>
        <v>17.015000000000001</v>
      </c>
      <c r="Q39" s="77">
        <f t="shared" si="10"/>
        <v>72.877499999999998</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41</v>
      </c>
      <c r="C40" s="77">
        <f t="shared" si="6"/>
        <v>147.6</v>
      </c>
      <c r="D40" s="77">
        <f t="shared" si="7"/>
        <v>63.967011000000007</v>
      </c>
      <c r="E40" s="77">
        <f t="shared" si="8"/>
        <v>13.586375000000002</v>
      </c>
      <c r="F40" s="77">
        <f t="shared" si="9"/>
        <v>14.411336</v>
      </c>
      <c r="G40" s="77">
        <f t="shared" si="5"/>
        <v>6.0679999999999998E-2</v>
      </c>
      <c r="H40" s="77">
        <f t="shared" si="5"/>
        <v>0.4592</v>
      </c>
      <c r="I40" s="77">
        <f t="shared" si="5"/>
        <v>2.0500000000000001E-2</v>
      </c>
      <c r="J40" s="77">
        <f t="shared" si="5"/>
        <v>6.5600000000000001E-4</v>
      </c>
      <c r="K40" s="77">
        <f t="shared" si="5"/>
        <v>2.0500000000000001E-2</v>
      </c>
      <c r="L40" s="77">
        <f t="shared" si="5"/>
        <v>1.3038000000000001E-2</v>
      </c>
      <c r="M40" s="77">
        <f t="shared" si="5"/>
        <v>2.1853000000000001E-2</v>
      </c>
      <c r="N40" s="77">
        <f t="shared" si="5"/>
        <v>0</v>
      </c>
      <c r="O40" s="77">
        <f t="shared" si="5"/>
        <v>0</v>
      </c>
      <c r="P40" s="77">
        <f t="shared" si="5"/>
        <v>17.015000000000001</v>
      </c>
      <c r="Q40" s="77">
        <f t="shared" si="10"/>
        <v>72.877499999999998</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41</v>
      </c>
      <c r="C41" s="77">
        <f t="shared" si="6"/>
        <v>147.6</v>
      </c>
      <c r="D41" s="77">
        <f t="shared" si="7"/>
        <v>63.967011000000007</v>
      </c>
      <c r="E41" s="77">
        <f t="shared" si="8"/>
        <v>13.586375000000002</v>
      </c>
      <c r="F41" s="77">
        <f t="shared" si="9"/>
        <v>14.411336</v>
      </c>
      <c r="G41" s="77">
        <f t="shared" si="5"/>
        <v>6.0679999999999998E-2</v>
      </c>
      <c r="H41" s="77">
        <f t="shared" si="5"/>
        <v>0.4592</v>
      </c>
      <c r="I41" s="77">
        <f t="shared" si="5"/>
        <v>2.0500000000000001E-2</v>
      </c>
      <c r="J41" s="77">
        <f t="shared" si="5"/>
        <v>6.5600000000000001E-4</v>
      </c>
      <c r="K41" s="77">
        <f t="shared" si="5"/>
        <v>2.0500000000000001E-2</v>
      </c>
      <c r="L41" s="77">
        <f t="shared" si="5"/>
        <v>1.3038000000000001E-2</v>
      </c>
      <c r="M41" s="77">
        <f t="shared" si="5"/>
        <v>2.1853000000000001E-2</v>
      </c>
      <c r="N41" s="77">
        <f t="shared" si="5"/>
        <v>0</v>
      </c>
      <c r="O41" s="77">
        <f t="shared" si="5"/>
        <v>0</v>
      </c>
      <c r="P41" s="77">
        <f t="shared" si="5"/>
        <v>17.015000000000001</v>
      </c>
      <c r="Q41" s="77">
        <f t="shared" si="10"/>
        <v>72.877499999999998</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41</v>
      </c>
      <c r="C42" s="77">
        <f t="shared" si="6"/>
        <v>147.6</v>
      </c>
      <c r="D42" s="77">
        <f t="shared" si="7"/>
        <v>63.967011000000007</v>
      </c>
      <c r="E42" s="77">
        <f t="shared" si="8"/>
        <v>13.586375000000002</v>
      </c>
      <c r="F42" s="77">
        <f t="shared" si="9"/>
        <v>14.411336</v>
      </c>
      <c r="G42" s="77">
        <f t="shared" si="5"/>
        <v>6.0679999999999998E-2</v>
      </c>
      <c r="H42" s="77">
        <f t="shared" si="5"/>
        <v>0.4592</v>
      </c>
      <c r="I42" s="77">
        <f t="shared" si="5"/>
        <v>2.0500000000000001E-2</v>
      </c>
      <c r="J42" s="77">
        <f t="shared" si="5"/>
        <v>6.5600000000000001E-4</v>
      </c>
      <c r="K42" s="77">
        <f t="shared" si="5"/>
        <v>2.0500000000000001E-2</v>
      </c>
      <c r="L42" s="77">
        <f t="shared" si="5"/>
        <v>1.3038000000000001E-2</v>
      </c>
      <c r="M42" s="77">
        <f t="shared" si="5"/>
        <v>2.1853000000000001E-2</v>
      </c>
      <c r="N42" s="77">
        <f t="shared" si="5"/>
        <v>0</v>
      </c>
      <c r="O42" s="77">
        <f t="shared" si="5"/>
        <v>0</v>
      </c>
      <c r="P42" s="77">
        <f t="shared" si="5"/>
        <v>17.015000000000001</v>
      </c>
      <c r="Q42" s="77">
        <f t="shared" si="10"/>
        <v>72.877499999999998</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41</v>
      </c>
      <c r="C43" s="77">
        <f t="shared" si="6"/>
        <v>147.6</v>
      </c>
      <c r="D43" s="77">
        <f t="shared" si="7"/>
        <v>63.967011000000007</v>
      </c>
      <c r="E43" s="77">
        <f t="shared" si="8"/>
        <v>13.586375000000002</v>
      </c>
      <c r="F43" s="77">
        <f t="shared" si="9"/>
        <v>14.411336</v>
      </c>
      <c r="G43" s="77">
        <f t="shared" si="5"/>
        <v>6.0679999999999998E-2</v>
      </c>
      <c r="H43" s="77">
        <f t="shared" si="5"/>
        <v>0.4592</v>
      </c>
      <c r="I43" s="77">
        <f t="shared" si="5"/>
        <v>2.0500000000000001E-2</v>
      </c>
      <c r="J43" s="77">
        <f t="shared" si="5"/>
        <v>6.5600000000000001E-4</v>
      </c>
      <c r="K43" s="77">
        <f t="shared" si="5"/>
        <v>2.0500000000000001E-2</v>
      </c>
      <c r="L43" s="77">
        <f t="shared" si="5"/>
        <v>1.3038000000000001E-2</v>
      </c>
      <c r="M43" s="77">
        <f t="shared" si="5"/>
        <v>2.1853000000000001E-2</v>
      </c>
      <c r="N43" s="77">
        <f t="shared" si="5"/>
        <v>0</v>
      </c>
      <c r="O43" s="77">
        <f t="shared" si="5"/>
        <v>0</v>
      </c>
      <c r="P43" s="77">
        <f t="shared" si="5"/>
        <v>17.015000000000001</v>
      </c>
      <c r="Q43" s="77">
        <f t="shared" si="10"/>
        <v>72.877499999999998</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41</v>
      </c>
      <c r="C44" s="77">
        <f t="shared" si="6"/>
        <v>147.6</v>
      </c>
      <c r="D44" s="77">
        <f t="shared" si="7"/>
        <v>63.967011000000007</v>
      </c>
      <c r="E44" s="77">
        <f t="shared" si="8"/>
        <v>13.586375000000002</v>
      </c>
      <c r="F44" s="77">
        <f t="shared" si="9"/>
        <v>14.411336</v>
      </c>
      <c r="G44" s="77">
        <f t="shared" si="5"/>
        <v>6.0679999999999998E-2</v>
      </c>
      <c r="H44" s="77">
        <f t="shared" si="5"/>
        <v>0.4592</v>
      </c>
      <c r="I44" s="77">
        <f t="shared" si="5"/>
        <v>2.0500000000000001E-2</v>
      </c>
      <c r="J44" s="77">
        <f t="shared" si="5"/>
        <v>6.5600000000000001E-4</v>
      </c>
      <c r="K44" s="77">
        <f t="shared" si="5"/>
        <v>2.0500000000000001E-2</v>
      </c>
      <c r="L44" s="77">
        <f t="shared" si="5"/>
        <v>1.3038000000000001E-2</v>
      </c>
      <c r="M44" s="77">
        <f t="shared" si="5"/>
        <v>2.1853000000000001E-2</v>
      </c>
      <c r="N44" s="77">
        <f t="shared" si="5"/>
        <v>0</v>
      </c>
      <c r="O44" s="77">
        <f t="shared" si="5"/>
        <v>0</v>
      </c>
      <c r="P44" s="77">
        <f t="shared" si="5"/>
        <v>17.015000000000001</v>
      </c>
      <c r="Q44" s="77">
        <f t="shared" si="10"/>
        <v>72.877499999999998</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16</v>
      </c>
      <c r="B45" s="15">
        <v>41</v>
      </c>
      <c r="C45" s="77">
        <f t="shared" si="6"/>
        <v>147.6</v>
      </c>
      <c r="D45" s="77">
        <f t="shared" si="7"/>
        <v>63.967011000000007</v>
      </c>
      <c r="E45" s="77">
        <f t="shared" si="8"/>
        <v>13.586375000000002</v>
      </c>
      <c r="F45" s="77">
        <f t="shared" si="9"/>
        <v>14.411336</v>
      </c>
      <c r="G45" s="77">
        <f t="shared" si="5"/>
        <v>6.0679999999999998E-2</v>
      </c>
      <c r="H45" s="77">
        <f t="shared" si="5"/>
        <v>0.4592</v>
      </c>
      <c r="I45" s="77">
        <f t="shared" si="5"/>
        <v>2.0500000000000001E-2</v>
      </c>
      <c r="J45" s="77">
        <f t="shared" si="5"/>
        <v>6.5600000000000001E-4</v>
      </c>
      <c r="K45" s="77">
        <f t="shared" si="5"/>
        <v>2.0500000000000001E-2</v>
      </c>
      <c r="L45" s="77">
        <f t="shared" si="5"/>
        <v>1.3038000000000001E-2</v>
      </c>
      <c r="M45" s="77">
        <f t="shared" si="5"/>
        <v>2.1853000000000001E-2</v>
      </c>
      <c r="N45" s="77">
        <f t="shared" si="5"/>
        <v>0</v>
      </c>
      <c r="O45" s="77">
        <f t="shared" si="5"/>
        <v>0</v>
      </c>
      <c r="P45" s="77">
        <f t="shared" si="5"/>
        <v>17.015000000000001</v>
      </c>
      <c r="Q45" s="77">
        <f t="shared" si="10"/>
        <v>72.877499999999998</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17</v>
      </c>
      <c r="B46" s="15">
        <v>41</v>
      </c>
      <c r="C46" s="77">
        <f t="shared" si="6"/>
        <v>147.6</v>
      </c>
      <c r="D46" s="77">
        <f t="shared" si="7"/>
        <v>63.967011000000007</v>
      </c>
      <c r="E46" s="77">
        <f t="shared" si="8"/>
        <v>13.586375000000002</v>
      </c>
      <c r="F46" s="77">
        <f t="shared" si="9"/>
        <v>14.411336</v>
      </c>
      <c r="G46" s="77">
        <f t="shared" si="5"/>
        <v>6.0679999999999998E-2</v>
      </c>
      <c r="H46" s="77">
        <f t="shared" si="5"/>
        <v>0.4592</v>
      </c>
      <c r="I46" s="77">
        <f t="shared" si="5"/>
        <v>2.0500000000000001E-2</v>
      </c>
      <c r="J46" s="77">
        <f t="shared" si="5"/>
        <v>6.5600000000000001E-4</v>
      </c>
      <c r="K46" s="77">
        <f t="shared" si="5"/>
        <v>2.0500000000000001E-2</v>
      </c>
      <c r="L46" s="77">
        <f t="shared" si="5"/>
        <v>1.3038000000000001E-2</v>
      </c>
      <c r="M46" s="77">
        <f t="shared" si="5"/>
        <v>2.1853000000000001E-2</v>
      </c>
      <c r="N46" s="77">
        <f t="shared" si="5"/>
        <v>0</v>
      </c>
      <c r="O46" s="77">
        <f t="shared" si="5"/>
        <v>0</v>
      </c>
      <c r="P46" s="77">
        <f t="shared" si="5"/>
        <v>17.015000000000001</v>
      </c>
      <c r="Q46" s="77">
        <f t="shared" si="10"/>
        <v>72.877499999999998</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18</v>
      </c>
      <c r="B47" s="15">
        <v>41</v>
      </c>
      <c r="C47" s="77">
        <f t="shared" si="6"/>
        <v>147.6</v>
      </c>
      <c r="D47" s="77">
        <f t="shared" si="7"/>
        <v>63.967011000000007</v>
      </c>
      <c r="E47" s="77">
        <f t="shared" si="8"/>
        <v>13.586375000000002</v>
      </c>
      <c r="F47" s="77">
        <f t="shared" si="9"/>
        <v>14.411336</v>
      </c>
      <c r="G47" s="77">
        <f t="shared" ref="G47:P50" si="12">IF(G$27="%w/w SAR",((G$28*10)*$B47),IF(G$27="%w/w DM",(((G$28*10)*($B$28/100))*$B47),IF(G$27="kg/t SAR",(G$28*$B47),IF(G$27="kg/t DM",((G$28*($B$28/100))*$B47),IF(G$27="mg/kg SAR",((G$28*0.001)*$B47),IF(G$27="mg/kg DM",(((G$28*0.001)*($B$28/100))*$B47),0))))))</f>
        <v>6.0679999999999998E-2</v>
      </c>
      <c r="H47" s="77">
        <f t="shared" si="12"/>
        <v>0.4592</v>
      </c>
      <c r="I47" s="77">
        <f t="shared" si="12"/>
        <v>2.0500000000000001E-2</v>
      </c>
      <c r="J47" s="77">
        <f t="shared" si="12"/>
        <v>6.5600000000000001E-4</v>
      </c>
      <c r="K47" s="77">
        <f t="shared" si="12"/>
        <v>2.0500000000000001E-2</v>
      </c>
      <c r="L47" s="77">
        <f t="shared" si="12"/>
        <v>1.3038000000000001E-2</v>
      </c>
      <c r="M47" s="77">
        <f t="shared" si="12"/>
        <v>2.1853000000000001E-2</v>
      </c>
      <c r="N47" s="77">
        <f t="shared" si="12"/>
        <v>0</v>
      </c>
      <c r="O47" s="77">
        <f t="shared" si="12"/>
        <v>0</v>
      </c>
      <c r="P47" s="77">
        <f t="shared" si="12"/>
        <v>17.015000000000001</v>
      </c>
      <c r="Q47" s="77">
        <f t="shared" si="10"/>
        <v>72.877499999999998</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19</v>
      </c>
      <c r="B48" s="15">
        <v>41</v>
      </c>
      <c r="C48" s="77">
        <f t="shared" si="6"/>
        <v>147.6</v>
      </c>
      <c r="D48" s="77">
        <f t="shared" si="7"/>
        <v>63.967011000000007</v>
      </c>
      <c r="E48" s="77">
        <f t="shared" si="8"/>
        <v>13.586375000000002</v>
      </c>
      <c r="F48" s="77">
        <f t="shared" si="9"/>
        <v>14.411336</v>
      </c>
      <c r="G48" s="77">
        <f t="shared" si="12"/>
        <v>6.0679999999999998E-2</v>
      </c>
      <c r="H48" s="77">
        <f t="shared" si="12"/>
        <v>0.4592</v>
      </c>
      <c r="I48" s="77">
        <f t="shared" si="12"/>
        <v>2.0500000000000001E-2</v>
      </c>
      <c r="J48" s="77">
        <f t="shared" si="12"/>
        <v>6.5600000000000001E-4</v>
      </c>
      <c r="K48" s="77">
        <f t="shared" si="12"/>
        <v>2.0500000000000001E-2</v>
      </c>
      <c r="L48" s="77">
        <f t="shared" si="12"/>
        <v>1.3038000000000001E-2</v>
      </c>
      <c r="M48" s="77">
        <f t="shared" si="12"/>
        <v>2.1853000000000001E-2</v>
      </c>
      <c r="N48" s="77">
        <f t="shared" si="12"/>
        <v>0</v>
      </c>
      <c r="O48" s="77">
        <f t="shared" si="12"/>
        <v>0</v>
      </c>
      <c r="P48" s="77">
        <f t="shared" si="12"/>
        <v>17.015000000000001</v>
      </c>
      <c r="Q48" s="77">
        <f t="shared" si="10"/>
        <v>72.877499999999998</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x14ac:dyDescent="0.2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str">
        <f>S16&amp;" I "&amp;(VLOOKUP(S14,Table245811[],6,FALSE))</f>
        <v>Medium/Clay I Grass</v>
      </c>
      <c r="S58" s="13" t="str">
        <f>T16&amp;" I "&amp;(VLOOKUP(T14,Table245811[],6,FALSE))</f>
        <v>Medium/Clay I Grass</v>
      </c>
      <c r="T58" s="13" t="e">
        <f>U16&amp;" I "&amp;(VLOOKUP(U14,Table245811[],6,FALSE))</f>
        <v>#N/A</v>
      </c>
      <c r="U58" s="13" t="e">
        <f>V16&amp;" I "&amp;(VLOOKUP(V14,Table245811[],6,FALSE))</f>
        <v>#N/A</v>
      </c>
    </row>
    <row r="59" spans="1:35" s="19" customFormat="1" x14ac:dyDescent="0.2">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f>VLOOKUP(R$14,Table245811[],5,FALSE)</f>
        <v>6.2</v>
      </c>
      <c r="R59" s="76">
        <f>VLOOKUP(S$14,Table245811[],5,FALSE)</f>
        <v>6.2</v>
      </c>
      <c r="S59" s="76">
        <f>VLOOKUP(T$14,Table245811[],5,FALSE)</f>
        <v>6.2</v>
      </c>
      <c r="T59" s="76" t="e">
        <f>VLOOKUP(U$14,Table245811[],5,FALSE)</f>
        <v>#N/A</v>
      </c>
      <c r="U59" s="76" t="e">
        <f>VLOOKUP(V$14,Table245811[],5,FALSE)</f>
        <v>#N/A</v>
      </c>
    </row>
    <row r="60" spans="1:35" s="19" customFormat="1" x14ac:dyDescent="0.2">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t="e">
        <f t="shared" si="15"/>
        <v>#N/A</v>
      </c>
      <c r="U61" s="76" t="e">
        <f t="shared" si="15"/>
        <v>#N/A</v>
      </c>
    </row>
    <row r="62" spans="1:35" s="19" customFormat="1" x14ac:dyDescent="0.2">
      <c r="A62" s="111" t="s">
        <v>134</v>
      </c>
      <c r="B62" s="77">
        <f>B31</f>
        <v>41</v>
      </c>
      <c r="C62" s="77">
        <f>B32</f>
        <v>41</v>
      </c>
      <c r="D62" s="77">
        <f>B33</f>
        <v>41</v>
      </c>
      <c r="E62" s="77">
        <f>B34</f>
        <v>41</v>
      </c>
      <c r="F62" s="77">
        <f>B35</f>
        <v>41</v>
      </c>
      <c r="G62" s="77">
        <f>B36</f>
        <v>41</v>
      </c>
      <c r="H62" s="77">
        <f>B37</f>
        <v>41</v>
      </c>
      <c r="I62" s="77">
        <f>B38</f>
        <v>41</v>
      </c>
      <c r="J62" s="77">
        <f>B39</f>
        <v>41</v>
      </c>
      <c r="K62" s="77">
        <f>B40</f>
        <v>41</v>
      </c>
      <c r="L62" s="77">
        <f>B41</f>
        <v>41</v>
      </c>
      <c r="M62" s="77">
        <f>B42</f>
        <v>41</v>
      </c>
      <c r="N62" s="77">
        <f>B43</f>
        <v>41</v>
      </c>
      <c r="O62" s="77">
        <f>B44</f>
        <v>41</v>
      </c>
      <c r="P62" s="77">
        <f>B45</f>
        <v>41</v>
      </c>
      <c r="Q62" s="77">
        <f>B46</f>
        <v>41</v>
      </c>
      <c r="R62" s="77">
        <f>B47</f>
        <v>41</v>
      </c>
      <c r="S62" s="77">
        <f>B48</f>
        <v>41</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-1.7999999999999989</v>
      </c>
      <c r="D64" s="77">
        <f t="shared" si="17"/>
        <v>0.6000000000000032</v>
      </c>
      <c r="E64" s="77">
        <f t="shared" si="17"/>
        <v>0</v>
      </c>
      <c r="F64" s="77">
        <f t="shared" si="17"/>
        <v>1.2000000000000011</v>
      </c>
      <c r="G64" s="77">
        <f t="shared" si="17"/>
        <v>0.6000000000000032</v>
      </c>
      <c r="H64" s="77">
        <f t="shared" si="17"/>
        <v>-3</v>
      </c>
      <c r="I64" s="77">
        <f t="shared" si="17"/>
        <v>0.6000000000000032</v>
      </c>
      <c r="J64" s="77">
        <f t="shared" si="17"/>
        <v>1.2000000000000011</v>
      </c>
      <c r="K64" s="77">
        <f t="shared" si="17"/>
        <v>1.7999999999999989</v>
      </c>
      <c r="L64" s="77">
        <f t="shared" si="17"/>
        <v>1.7999999999999989</v>
      </c>
      <c r="M64" s="77">
        <f t="shared" si="17"/>
        <v>2.4000000000000021</v>
      </c>
      <c r="N64" s="77">
        <f t="shared" si="17"/>
        <v>2.4000000000000021</v>
      </c>
      <c r="O64" s="77">
        <f t="shared" si="17"/>
        <v>-1.2000000000000011</v>
      </c>
      <c r="P64" s="77">
        <f t="shared" si="17"/>
        <v>-2.3999999999999968</v>
      </c>
      <c r="Q64" s="77">
        <f t="shared" si="17"/>
        <v>-1.7999999999999989</v>
      </c>
      <c r="R64" s="77">
        <f t="shared" si="17"/>
        <v>-6.5999999999999979</v>
      </c>
      <c r="S64" s="77">
        <f t="shared" si="17"/>
        <v>-5.3999999999999968</v>
      </c>
      <c r="T64" s="77" t="e">
        <f t="shared" si="17"/>
        <v>#N/A</v>
      </c>
      <c r="U64" s="77" t="e">
        <f t="shared" si="17"/>
        <v>#N/A</v>
      </c>
    </row>
    <row r="65" spans="1:21" s="19" customFormat="1" ht="51" x14ac:dyDescent="0.2">
      <c r="A65" s="112" t="s">
        <v>157</v>
      </c>
      <c r="B65" s="77">
        <f>B63-B64</f>
        <v>0</v>
      </c>
      <c r="C65" s="77">
        <f t="shared" ref="C65:U65" si="18">C63-C64</f>
        <v>1.7999999999999989</v>
      </c>
      <c r="D65" s="77">
        <f t="shared" si="18"/>
        <v>-0.6000000000000032</v>
      </c>
      <c r="E65" s="77">
        <f t="shared" si="18"/>
        <v>0</v>
      </c>
      <c r="F65" s="77">
        <f t="shared" si="18"/>
        <v>-1.2000000000000011</v>
      </c>
      <c r="G65" s="77">
        <f t="shared" si="18"/>
        <v>-0.6000000000000032</v>
      </c>
      <c r="H65" s="77">
        <f t="shared" si="18"/>
        <v>3</v>
      </c>
      <c r="I65" s="77">
        <f t="shared" si="18"/>
        <v>-0.6000000000000032</v>
      </c>
      <c r="J65" s="77">
        <f t="shared" si="18"/>
        <v>-1.2000000000000011</v>
      </c>
      <c r="K65" s="77">
        <f t="shared" si="18"/>
        <v>-1.7999999999999989</v>
      </c>
      <c r="L65" s="77">
        <f t="shared" si="18"/>
        <v>-1.7999999999999989</v>
      </c>
      <c r="M65" s="77">
        <f t="shared" si="18"/>
        <v>-2.4000000000000021</v>
      </c>
      <c r="N65" s="77">
        <f t="shared" si="18"/>
        <v>-2.4000000000000021</v>
      </c>
      <c r="O65" s="77">
        <f t="shared" si="18"/>
        <v>1.2000000000000011</v>
      </c>
      <c r="P65" s="77">
        <f t="shared" si="18"/>
        <v>2.3999999999999968</v>
      </c>
      <c r="Q65" s="77">
        <f t="shared" si="18"/>
        <v>1.7999999999999989</v>
      </c>
      <c r="R65" s="77">
        <f t="shared" si="18"/>
        <v>6.5999999999999979</v>
      </c>
      <c r="S65" s="77">
        <f t="shared" si="18"/>
        <v>5.3999999999999968</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8" sqref="A2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PAN-018528</v>
      </c>
      <c r="D1" s="141"/>
      <c r="E1" s="93" t="s">
        <v>45</v>
      </c>
      <c r="F1" s="39">
        <f>Secanim!F1</f>
        <v>39.5</v>
      </c>
      <c r="G1" s="123" t="s">
        <v>43</v>
      </c>
      <c r="H1" s="124"/>
      <c r="I1" s="118">
        <v>7.05</v>
      </c>
      <c r="J1" s="127" t="s">
        <v>153</v>
      </c>
      <c r="K1" s="127"/>
      <c r="L1" s="97">
        <v>931</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EPR-KP3594VE</v>
      </c>
      <c r="D2" s="143"/>
      <c r="E2" s="93" t="s">
        <v>109</v>
      </c>
      <c r="F2" s="96" t="s">
        <v>177</v>
      </c>
      <c r="G2" s="125" t="s">
        <v>110</v>
      </c>
      <c r="H2" s="126"/>
      <c r="I2" s="118">
        <v>1784</v>
      </c>
      <c r="J2" s="127" t="s">
        <v>158</v>
      </c>
      <c r="K2" s="127"/>
      <c r="L2" s="97">
        <v>0.37</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7" t="s">
        <v>159</v>
      </c>
      <c r="H3" s="127"/>
      <c r="I3" s="118"/>
      <c r="J3" s="123" t="s">
        <v>154</v>
      </c>
      <c r="K3" s="124"/>
      <c r="L3" s="97">
        <f>(L1/(L2*10000))*100</f>
        <v>25.162162162162161</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Fron Farm, Moel y Crio, CH7 5QW</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8</v>
      </c>
      <c r="K8" s="60">
        <f>Secanim!K8</f>
        <v>9</v>
      </c>
      <c r="L8" s="60">
        <f>Secanim!L8</f>
        <v>10</v>
      </c>
      <c r="M8" s="60">
        <f>Secanim!M8</f>
        <v>11</v>
      </c>
      <c r="N8" s="60">
        <f>Secanim!N8</f>
        <v>12</v>
      </c>
      <c r="O8" s="60">
        <f>Secanim!O8</f>
        <v>13</v>
      </c>
      <c r="P8" s="60">
        <f>Secanim!P8</f>
        <v>14</v>
      </c>
      <c r="Q8" s="60">
        <f>Secanim!Q8</f>
        <v>16</v>
      </c>
      <c r="R8" s="60">
        <f>Secanim!R8</f>
        <v>17</v>
      </c>
      <c r="S8" s="60">
        <f>Secanim!S8</f>
        <v>18</v>
      </c>
      <c r="T8" s="60">
        <f>Secanim!T8</f>
        <v>19</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6.2</v>
      </c>
      <c r="D10" s="60">
        <f>Secanim!D10</f>
        <v>6.5</v>
      </c>
      <c r="E10" s="60">
        <f>Secanim!E10</f>
        <v>6.1</v>
      </c>
      <c r="F10" s="60">
        <f>Secanim!F10</f>
        <v>6.2</v>
      </c>
      <c r="G10" s="60">
        <f>Secanim!G10</f>
        <v>6</v>
      </c>
      <c r="H10" s="60">
        <f>Secanim!H10</f>
        <v>6.1</v>
      </c>
      <c r="I10" s="60">
        <f>Secanim!I10</f>
        <v>6.7</v>
      </c>
      <c r="J10" s="60">
        <f>Secanim!J10</f>
        <v>6.1</v>
      </c>
      <c r="K10" s="60">
        <f>Secanim!K10</f>
        <v>6</v>
      </c>
      <c r="L10" s="60">
        <f>Secanim!L10</f>
        <v>5.9</v>
      </c>
      <c r="M10" s="60">
        <f>Secanim!M10</f>
        <v>5.9</v>
      </c>
      <c r="N10" s="60">
        <f>Secanim!N10</f>
        <v>5.8</v>
      </c>
      <c r="O10" s="60">
        <f>Secanim!O10</f>
        <v>5.8</v>
      </c>
      <c r="P10" s="60">
        <f>Secanim!P10</f>
        <v>6.4</v>
      </c>
      <c r="Q10" s="60">
        <f>Secanim!Q10</f>
        <v>6.6</v>
      </c>
      <c r="R10" s="60">
        <f>Secanim!R10</f>
        <v>6.5</v>
      </c>
      <c r="S10" s="60">
        <f>Secanim!S10</f>
        <v>7.3</v>
      </c>
      <c r="T10" s="60">
        <f>Secanim!T10</f>
        <v>7.1</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2</v>
      </c>
      <c r="D11" s="60">
        <f>Secanim!D11</f>
        <v>3</v>
      </c>
      <c r="E11" s="60">
        <f>Secanim!E11</f>
        <v>2</v>
      </c>
      <c r="F11" s="60">
        <f>Secanim!F11</f>
        <v>1</v>
      </c>
      <c r="G11" s="60">
        <f>Secanim!G11</f>
        <v>1</v>
      </c>
      <c r="H11" s="60">
        <f>Secanim!H11</f>
        <v>1</v>
      </c>
      <c r="I11" s="60">
        <f>Secanim!I11</f>
        <v>1</v>
      </c>
      <c r="J11" s="60">
        <f>Secanim!J11</f>
        <v>1</v>
      </c>
      <c r="K11" s="60">
        <f>Secanim!K11</f>
        <v>1</v>
      </c>
      <c r="L11" s="60">
        <f>Secanim!L11</f>
        <v>1</v>
      </c>
      <c r="M11" s="60">
        <f>Secanim!M11</f>
        <v>1</v>
      </c>
      <c r="N11" s="60">
        <f>Secanim!N11</f>
        <v>0</v>
      </c>
      <c r="O11" s="60">
        <f>Secanim!O11</f>
        <v>0</v>
      </c>
      <c r="P11" s="60">
        <f>Secanim!P11</f>
        <v>1</v>
      </c>
      <c r="Q11" s="60">
        <f>Secanim!Q11</f>
        <v>3</v>
      </c>
      <c r="R11" s="60">
        <f>Secanim!R11</f>
        <v>2</v>
      </c>
      <c r="S11" s="60">
        <f>Secanim!S11</f>
        <v>3</v>
      </c>
      <c r="T11" s="60">
        <f>Secanim!T11</f>
        <v>1</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t="str">
        <f>Secanim!D12</f>
        <v>2-</v>
      </c>
      <c r="E12" s="60">
        <f>Secanim!E12</f>
        <v>1</v>
      </c>
      <c r="F12" s="60">
        <f>Secanim!F12</f>
        <v>0</v>
      </c>
      <c r="G12" s="60">
        <f>Secanim!G12</f>
        <v>1</v>
      </c>
      <c r="H12" s="60">
        <f>Secanim!H12</f>
        <v>1</v>
      </c>
      <c r="I12" s="60">
        <f>Secanim!I12</f>
        <v>1</v>
      </c>
      <c r="J12" s="60">
        <f>Secanim!J12</f>
        <v>1</v>
      </c>
      <c r="K12" s="60">
        <f>Secanim!K12</f>
        <v>0</v>
      </c>
      <c r="L12" s="60">
        <f>Secanim!L12</f>
        <v>0</v>
      </c>
      <c r="M12" s="60" t="str">
        <f>Secanim!M12</f>
        <v>2-</v>
      </c>
      <c r="N12" s="60">
        <f>Secanim!N12</f>
        <v>0</v>
      </c>
      <c r="O12" s="60">
        <f>Secanim!O12</f>
        <v>0</v>
      </c>
      <c r="P12" s="60">
        <f>Secanim!P12</f>
        <v>1</v>
      </c>
      <c r="Q12" s="60">
        <f>Secanim!Q12</f>
        <v>1</v>
      </c>
      <c r="R12" s="60">
        <f>Secanim!R12</f>
        <v>1</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2</v>
      </c>
      <c r="R13" s="60">
        <f>Secanim!R13</f>
        <v>2</v>
      </c>
      <c r="S13" s="60">
        <f>Secanim!S13</f>
        <v>1</v>
      </c>
      <c r="T13" s="60">
        <f>Secanim!T13</f>
        <v>1</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62.642812999999997</v>
      </c>
      <c r="D18" s="16">
        <f>$D32</f>
        <v>62.642812999999997</v>
      </c>
      <c r="E18" s="16">
        <f>$D33</f>
        <v>62.642812999999997</v>
      </c>
      <c r="F18" s="16">
        <f>$D34</f>
        <v>62.642812999999997</v>
      </c>
      <c r="G18" s="16">
        <f>$D35</f>
        <v>62.642812999999997</v>
      </c>
      <c r="H18" s="16">
        <f>$D36</f>
        <v>62.642812999999997</v>
      </c>
      <c r="I18" s="16">
        <f>$D37</f>
        <v>62.642812999999997</v>
      </c>
      <c r="J18" s="16">
        <f>$D38</f>
        <v>62.642812999999997</v>
      </c>
      <c r="K18" s="16">
        <f>$D39</f>
        <v>62.642812999999997</v>
      </c>
      <c r="L18" s="16">
        <f>$D40</f>
        <v>62.642812999999997</v>
      </c>
      <c r="M18" s="16">
        <f>$D41</f>
        <v>62.642812999999997</v>
      </c>
      <c r="N18" s="16">
        <f>$D42</f>
        <v>62.642812999999997</v>
      </c>
      <c r="O18" s="16">
        <f>$D43</f>
        <v>62.642812999999997</v>
      </c>
      <c r="P18" s="16">
        <f>$D44</f>
        <v>62.642812999999997</v>
      </c>
      <c r="Q18" s="16">
        <f>$D45</f>
        <v>62.642812999999997</v>
      </c>
      <c r="R18" s="16">
        <f>$D46</f>
        <v>62.642812999999997</v>
      </c>
      <c r="S18" s="16">
        <f>$D47</f>
        <v>62.642812999999997</v>
      </c>
      <c r="T18" s="16">
        <f>$D48</f>
        <v>62.642812999999997</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-1.9571869999999976</v>
      </c>
      <c r="D19" s="16">
        <f t="shared" ref="D19:V19" si="1">D18-D17</f>
        <v>-1.9571869999999976</v>
      </c>
      <c r="E19" s="16">
        <f t="shared" si="1"/>
        <v>-1.9571869999999976</v>
      </c>
      <c r="F19" s="16">
        <f t="shared" si="1"/>
        <v>-1.9571869999999976</v>
      </c>
      <c r="G19" s="16">
        <f t="shared" si="1"/>
        <v>-1.9571869999999976</v>
      </c>
      <c r="H19" s="16">
        <f t="shared" si="1"/>
        <v>-1.9571869999999976</v>
      </c>
      <c r="I19" s="16">
        <f t="shared" si="1"/>
        <v>-1.9571869999999976</v>
      </c>
      <c r="J19" s="16">
        <f t="shared" si="1"/>
        <v>-1.9571869999999976</v>
      </c>
      <c r="K19" s="16">
        <f t="shared" si="1"/>
        <v>-1.9571869999999976</v>
      </c>
      <c r="L19" s="16">
        <f t="shared" si="1"/>
        <v>-1.9571869999999976</v>
      </c>
      <c r="M19" s="16">
        <f t="shared" si="1"/>
        <v>-1.9571869999999976</v>
      </c>
      <c r="N19" s="16">
        <f t="shared" si="1"/>
        <v>-1.9571869999999976</v>
      </c>
      <c r="O19" s="16">
        <f t="shared" si="1"/>
        <v>-1.9571869999999976</v>
      </c>
      <c r="P19" s="16">
        <f t="shared" si="1"/>
        <v>-1.9571869999999976</v>
      </c>
      <c r="Q19" s="16">
        <f t="shared" si="1"/>
        <v>-1.9571869999999976</v>
      </c>
      <c r="R19" s="16">
        <f t="shared" si="1"/>
        <v>-1.9571869999999976</v>
      </c>
      <c r="S19" s="16">
        <f t="shared" si="1"/>
        <v>-1.9571869999999976</v>
      </c>
      <c r="T19" s="16">
        <f t="shared" si="1"/>
        <v>-1.9571869999999976</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7.7132050000000012</v>
      </c>
      <c r="D22" s="16">
        <f>$E32</f>
        <v>7.7132050000000012</v>
      </c>
      <c r="E22" s="16">
        <f>$E33</f>
        <v>7.7132050000000012</v>
      </c>
      <c r="F22" s="16">
        <f>$E34</f>
        <v>7.7132050000000012</v>
      </c>
      <c r="G22" s="16">
        <f>$E35</f>
        <v>7.7132050000000012</v>
      </c>
      <c r="H22" s="16">
        <f>$E36</f>
        <v>7.7132050000000012</v>
      </c>
      <c r="I22" s="16">
        <f>$E37</f>
        <v>7.7132050000000012</v>
      </c>
      <c r="J22" s="16">
        <f>$E38</f>
        <v>7.7132050000000012</v>
      </c>
      <c r="K22" s="16">
        <f>$E39</f>
        <v>7.7132050000000012</v>
      </c>
      <c r="L22" s="16">
        <f>$E40</f>
        <v>7.7132050000000012</v>
      </c>
      <c r="M22" s="16">
        <f>$E41</f>
        <v>7.7132050000000012</v>
      </c>
      <c r="N22" s="16">
        <f>$E42</f>
        <v>7.7132050000000012</v>
      </c>
      <c r="O22" s="16">
        <f>$E43</f>
        <v>7.7132050000000012</v>
      </c>
      <c r="P22" s="16">
        <f>$E44</f>
        <v>7.7132050000000012</v>
      </c>
      <c r="Q22" s="16">
        <f>$E45</f>
        <v>7.7132050000000012</v>
      </c>
      <c r="R22" s="16">
        <f>$E46</f>
        <v>7.7132050000000012</v>
      </c>
      <c r="S22" s="16">
        <f>$E47</f>
        <v>7.7132050000000012</v>
      </c>
      <c r="T22" s="16">
        <f>$E48</f>
        <v>7.7132050000000012</v>
      </c>
      <c r="U22" s="16">
        <f>$E49</f>
        <v>0</v>
      </c>
      <c r="V22" s="16">
        <f>$E50</f>
        <v>0</v>
      </c>
      <c r="AI22" s="63" t="s">
        <v>102</v>
      </c>
      <c r="AJ22" s="64">
        <v>1.2</v>
      </c>
      <c r="AK22" s="65">
        <v>5</v>
      </c>
      <c r="AL22" s="29">
        <v>20</v>
      </c>
      <c r="AM22" s="11">
        <v>6.7</v>
      </c>
      <c r="AN22" s="11" t="s">
        <v>135</v>
      </c>
    </row>
    <row r="23" spans="1:40" x14ac:dyDescent="0.2">
      <c r="A23" s="131" t="s">
        <v>92</v>
      </c>
      <c r="B23" s="132"/>
      <c r="C23" s="16">
        <f>C22-C21</f>
        <v>-220.28679500000001</v>
      </c>
      <c r="D23" s="16">
        <f t="shared" ref="D23:V23" si="3">D22-D21</f>
        <v>-220.28679500000001</v>
      </c>
      <c r="E23" s="16">
        <f t="shared" si="3"/>
        <v>-220.28679500000001</v>
      </c>
      <c r="F23" s="16">
        <f t="shared" si="3"/>
        <v>-220.28679500000001</v>
      </c>
      <c r="G23" s="16">
        <f t="shared" si="3"/>
        <v>-220.28679500000001</v>
      </c>
      <c r="H23" s="16">
        <f t="shared" si="3"/>
        <v>-220.28679500000001</v>
      </c>
      <c r="I23" s="16">
        <f t="shared" si="3"/>
        <v>-220.28679500000001</v>
      </c>
      <c r="J23" s="16">
        <f t="shared" si="3"/>
        <v>-220.28679500000001</v>
      </c>
      <c r="K23" s="16">
        <f t="shared" si="3"/>
        <v>-220.28679500000001</v>
      </c>
      <c r="L23" s="16">
        <f t="shared" si="3"/>
        <v>-220.28679500000001</v>
      </c>
      <c r="M23" s="16">
        <f t="shared" si="3"/>
        <v>-220.28679500000001</v>
      </c>
      <c r="N23" s="16">
        <f t="shared" si="3"/>
        <v>-220.28679500000001</v>
      </c>
      <c r="O23" s="16">
        <f t="shared" si="3"/>
        <v>-220.28679500000001</v>
      </c>
      <c r="P23" s="16">
        <f t="shared" si="3"/>
        <v>-220.28679500000001</v>
      </c>
      <c r="Q23" s="16">
        <f t="shared" si="3"/>
        <v>-220.28679500000001</v>
      </c>
      <c r="R23" s="16">
        <f t="shared" si="3"/>
        <v>-220.28679500000001</v>
      </c>
      <c r="S23" s="16">
        <f t="shared" si="3"/>
        <v>-220.28679500000001</v>
      </c>
      <c r="T23" s="16">
        <f t="shared" si="3"/>
        <v>-220.28679500000001</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4.2699999999999996</v>
      </c>
      <c r="C28" s="15">
        <v>0.37</v>
      </c>
      <c r="D28" s="15">
        <v>739</v>
      </c>
      <c r="E28" s="15">
        <v>173</v>
      </c>
      <c r="F28" s="15">
        <v>230</v>
      </c>
      <c r="G28" s="15">
        <v>3.24</v>
      </c>
      <c r="H28" s="15">
        <v>16.3</v>
      </c>
      <c r="I28" s="15">
        <v>0.5</v>
      </c>
      <c r="J28" s="15">
        <v>0.04</v>
      </c>
      <c r="K28" s="23">
        <v>0.05</v>
      </c>
      <c r="L28" s="15">
        <v>0.879</v>
      </c>
      <c r="M28" s="15">
        <v>0.92700000000000005</v>
      </c>
      <c r="N28" s="15"/>
      <c r="O28" s="15"/>
      <c r="P28" s="15">
        <v>735</v>
      </c>
      <c r="Q28" s="15">
        <v>582</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37</v>
      </c>
      <c r="C31" s="77">
        <f>IF(C$27="%w/w SAR",((C$28*10)*$B31),IF(C$27="%w/w DM",(((C$28*10)*($B$28/100))*$B31),IF(C$27="kg/t SAR",(C$28*$B31),IF(C$27="kg/t DM",((C$28*($B$28/100))*$B31),IF(C$27="mg/kg SAR",((C$28*0.001)*$B31),IF(C$27="mg/kg DM",(((C$28*0.001)*($B$28/100))*$B31),0))))))</f>
        <v>136.9</v>
      </c>
      <c r="D31" s="77">
        <f>(IF(D$27="%w/w SAR",((D$28*10)*$B31),IF(D$27="%w/w DM",(((D$28*10)*($B$28/100))*$B31),IF(D$27="kg/t SAR",(D$28*$B31),IF(D$27="kg/t DM",((D$28*($B$28/100))*$B31),IF(D$27="mg/kg SAR",((D$28*0.001)*$B31),IF(D$27="mg/kg DM",(((D$28*0.001)*($B$28/100))*$B31),"0")))))))*2.291</f>
        <v>62.642812999999997</v>
      </c>
      <c r="E31" s="77">
        <f>(IF(E$27="%w/w SAR",((E$28*10)*$B31),IF(E$27="%w/w DM",(((E$28*10)*($B$28/100))*$B31),IF(E$27="kg/t SAR",(E$28*$B31),IF(E$27="kg/t DM",((E$28*($B$28/100))*$B31),IF(E$27="mg/kg SAR",((E$28*0.001)*$B31),IF(E$27="mg/kg DM",(((E$28*0.001)*($B$28/100))*$B31),"0")))))))*1.205</f>
        <v>7.7132050000000012</v>
      </c>
      <c r="F31" s="77">
        <f>(IF(F$27="%w/w SAR",((F$28*10)*$B31),IF(F$27="%w/w DM",(((F$28*10)*($B$28/100))*$B31),IF(F$27="kg/t SAR",(F$28*$B31),IF(F$27="kg/t DM",((F$28*($B$28/100))*$B31),IF(F$27="mg/kg SAR",((F$28*0.001)*$B31),IF(F$27="mg/kg DM",(((F$28*0.001)*($B$28/100))*$B31),"0")))))))*1.658</f>
        <v>14.109579999999999</v>
      </c>
      <c r="G31" s="77">
        <f t="shared" ref="G31:P46" si="5">IF(G$27="%w/w SAR",((G$28*10)*$B31),IF(G$27="%w/w DM",(((G$28*10)*($B$28/100))*$B31),IF(G$27="kg/t SAR",(G$28*$B31),IF(G$27="kg/t DM",((G$28*($B$28/100))*$B31),IF(G$27="mg/kg SAR",((G$28*0.001)*$B31),IF(G$27="mg/kg DM",(((G$28*0.001)*($B$28/100))*$B31),0))))))</f>
        <v>0.11988000000000001</v>
      </c>
      <c r="H31" s="77">
        <f t="shared" si="5"/>
        <v>0.60310000000000008</v>
      </c>
      <c r="I31" s="77">
        <f t="shared" si="5"/>
        <v>1.8499999999999999E-2</v>
      </c>
      <c r="J31" s="77">
        <f t="shared" si="5"/>
        <v>1.4800000000000002E-3</v>
      </c>
      <c r="K31" s="77">
        <f t="shared" si="5"/>
        <v>1.8500000000000001E-3</v>
      </c>
      <c r="L31" s="77">
        <f t="shared" si="5"/>
        <v>3.2523000000000003E-2</v>
      </c>
      <c r="M31" s="77">
        <f t="shared" si="5"/>
        <v>3.4299000000000003E-2</v>
      </c>
      <c r="N31" s="77">
        <f t="shared" si="5"/>
        <v>0</v>
      </c>
      <c r="O31" s="77">
        <f t="shared" si="5"/>
        <v>0</v>
      </c>
      <c r="P31" s="77">
        <f t="shared" si="5"/>
        <v>27.195</v>
      </c>
      <c r="Q31" s="77">
        <f>(IF(Q$27="%w/w SAR",((Q$28*10)*$B31),IF(Q$27="%w/w DM",(((Q$28*10)*($B$28/100))*$B31),IF(Q$27="kg/t SAR",(Q$28*$B31),IF(Q$27="kg/t DM",((Q$28*($B$28/100))*$B31),IF(Q$27="mg/kg SAR",((Q$28*0.001)*$B31),IF(Q$27="mg/kg DM",(((Q$28*0.001)*($B$28/100))*$B31),0)))))))*2.5</f>
        <v>53.834999999999994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37</v>
      </c>
      <c r="C32" s="77">
        <f t="shared" ref="C32:C50" si="6">IF(C$27="%w/w SAR",((C$28*10)*$B32),IF(C$27="%w/w DM",(((C$28*10)*($B$28/100))*$B32),IF(C$27="kg/t SAR",(C$28*$B32),IF(C$27="kg/t DM",((C$28*($B$28/100))*$B32),IF(C$27="mg/kg SAR",((C$28*0.001)*$B32),IF(C$27="mg/kg DM",(((C$28*0.001)*($B$28/100))*$B32),0))))))</f>
        <v>136.9</v>
      </c>
      <c r="D32" s="77">
        <f t="shared" ref="D32:D50" si="7">(IF(D$27="%w/w SAR",((D$28*10)*$B32),IF(D$27="%w/w DM",(((D$28*10)*($B$28/100))*$B32),IF(D$27="kg/t SAR",(D$28*$B32),IF(D$27="kg/t DM",((D$28*($B$28/100))*$B32),IF(D$27="mg/kg SAR",((D$28*0.001)*$B32),IF(D$27="mg/kg DM",(((D$28*0.001)*($B$28/100))*$B32),"0")))))))*2.291</f>
        <v>62.642812999999997</v>
      </c>
      <c r="E32" s="77">
        <f t="shared" ref="E32:E50" si="8">(IF(E$27="%w/w SAR",((E$28*10)*$B32),IF(E$27="%w/w DM",(((E$28*10)*($B$28/100))*$B32),IF(E$27="kg/t SAR",(E$28*$B32),IF(E$27="kg/t DM",((E$28*($B$28/100))*$B32),IF(E$27="mg/kg SAR",((E$28*0.001)*$B32),IF(E$27="mg/kg DM",(((E$28*0.001)*($B$28/100))*$B32),"0")))))))*1.205</f>
        <v>7.7132050000000012</v>
      </c>
      <c r="F32" s="77">
        <f t="shared" ref="F32:F50" si="9">(IF(F$27="%w/w SAR",((F$28*10)*$B32),IF(F$27="%w/w DM",(((F$28*10)*($B$28/100))*$B32),IF(F$27="kg/t SAR",(F$28*$B32),IF(F$27="kg/t DM",((F$28*($B$28/100))*$B32),IF(F$27="mg/kg SAR",((F$28*0.001)*$B32),IF(F$27="mg/kg DM",(((F$28*0.001)*($B$28/100))*$B32),"0")))))))*1.658</f>
        <v>14.109579999999999</v>
      </c>
      <c r="G32" s="77">
        <f t="shared" si="5"/>
        <v>0.11988000000000001</v>
      </c>
      <c r="H32" s="77">
        <f t="shared" si="5"/>
        <v>0.60310000000000008</v>
      </c>
      <c r="I32" s="77">
        <f t="shared" si="5"/>
        <v>1.8499999999999999E-2</v>
      </c>
      <c r="J32" s="77">
        <f t="shared" si="5"/>
        <v>1.4800000000000002E-3</v>
      </c>
      <c r="K32" s="77">
        <f t="shared" si="5"/>
        <v>1.8500000000000001E-3</v>
      </c>
      <c r="L32" s="77">
        <f t="shared" si="5"/>
        <v>3.2523000000000003E-2</v>
      </c>
      <c r="M32" s="77">
        <f t="shared" si="5"/>
        <v>3.4299000000000003E-2</v>
      </c>
      <c r="N32" s="77">
        <f t="shared" si="5"/>
        <v>0</v>
      </c>
      <c r="O32" s="77">
        <f t="shared" si="5"/>
        <v>0</v>
      </c>
      <c r="P32" s="77">
        <f t="shared" si="5"/>
        <v>27.195</v>
      </c>
      <c r="Q32" s="77">
        <f t="shared" ref="Q32:Q50" si="10">(IF(Q$27="%w/w SAR",((Q$28*10)*$B32),IF(Q$27="%w/w DM",(((Q$28*10)*($B$28/100))*$B32),IF(Q$27="kg/t SAR",(Q$28*$B32),IF(Q$27="kg/t DM",((Q$28*($B$28/100))*$B32),IF(Q$27="mg/kg SAR",((Q$28*0.001)*$B32),IF(Q$27="mg/kg DM",(((Q$28*0.001)*($B$28/100))*$B32),0)))))))*2.5</f>
        <v>53.834999999999994</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37</v>
      </c>
      <c r="C33" s="77">
        <f t="shared" si="6"/>
        <v>136.9</v>
      </c>
      <c r="D33" s="77">
        <f t="shared" si="7"/>
        <v>62.642812999999997</v>
      </c>
      <c r="E33" s="77">
        <f t="shared" si="8"/>
        <v>7.7132050000000012</v>
      </c>
      <c r="F33" s="77">
        <f t="shared" si="9"/>
        <v>14.109579999999999</v>
      </c>
      <c r="G33" s="77">
        <f t="shared" si="5"/>
        <v>0.11988000000000001</v>
      </c>
      <c r="H33" s="77">
        <f t="shared" si="5"/>
        <v>0.60310000000000008</v>
      </c>
      <c r="I33" s="77">
        <f t="shared" si="5"/>
        <v>1.8499999999999999E-2</v>
      </c>
      <c r="J33" s="77">
        <f t="shared" si="5"/>
        <v>1.4800000000000002E-3</v>
      </c>
      <c r="K33" s="77">
        <f t="shared" si="5"/>
        <v>1.8500000000000001E-3</v>
      </c>
      <c r="L33" s="77">
        <f t="shared" si="5"/>
        <v>3.2523000000000003E-2</v>
      </c>
      <c r="M33" s="77">
        <f t="shared" si="5"/>
        <v>3.4299000000000003E-2</v>
      </c>
      <c r="N33" s="77">
        <f t="shared" si="5"/>
        <v>0</v>
      </c>
      <c r="O33" s="77">
        <f t="shared" si="5"/>
        <v>0</v>
      </c>
      <c r="P33" s="77">
        <f t="shared" si="5"/>
        <v>27.195</v>
      </c>
      <c r="Q33" s="77">
        <f t="shared" si="10"/>
        <v>53.834999999999994</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37</v>
      </c>
      <c r="C34" s="77">
        <f t="shared" si="6"/>
        <v>136.9</v>
      </c>
      <c r="D34" s="77">
        <f t="shared" si="7"/>
        <v>62.642812999999997</v>
      </c>
      <c r="E34" s="77">
        <f t="shared" si="8"/>
        <v>7.7132050000000012</v>
      </c>
      <c r="F34" s="77">
        <f t="shared" si="9"/>
        <v>14.109579999999999</v>
      </c>
      <c r="G34" s="77">
        <f t="shared" si="5"/>
        <v>0.11988000000000001</v>
      </c>
      <c r="H34" s="77">
        <f t="shared" si="5"/>
        <v>0.60310000000000008</v>
      </c>
      <c r="I34" s="77">
        <f t="shared" si="5"/>
        <v>1.8499999999999999E-2</v>
      </c>
      <c r="J34" s="77">
        <f t="shared" si="5"/>
        <v>1.4800000000000002E-3</v>
      </c>
      <c r="K34" s="77">
        <f t="shared" si="5"/>
        <v>1.8500000000000001E-3</v>
      </c>
      <c r="L34" s="77">
        <f t="shared" si="5"/>
        <v>3.2523000000000003E-2</v>
      </c>
      <c r="M34" s="77">
        <f t="shared" si="5"/>
        <v>3.4299000000000003E-2</v>
      </c>
      <c r="N34" s="77">
        <f t="shared" si="5"/>
        <v>0</v>
      </c>
      <c r="O34" s="77">
        <f t="shared" si="5"/>
        <v>0</v>
      </c>
      <c r="P34" s="77">
        <f t="shared" si="5"/>
        <v>27.195</v>
      </c>
      <c r="Q34" s="77">
        <f t="shared" si="10"/>
        <v>53.834999999999994</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37</v>
      </c>
      <c r="C35" s="77">
        <f t="shared" si="6"/>
        <v>136.9</v>
      </c>
      <c r="D35" s="77">
        <f t="shared" si="7"/>
        <v>62.642812999999997</v>
      </c>
      <c r="E35" s="77">
        <f t="shared" si="8"/>
        <v>7.7132050000000012</v>
      </c>
      <c r="F35" s="77">
        <f t="shared" si="9"/>
        <v>14.109579999999999</v>
      </c>
      <c r="G35" s="77">
        <f t="shared" si="5"/>
        <v>0.11988000000000001</v>
      </c>
      <c r="H35" s="77">
        <f t="shared" si="5"/>
        <v>0.60310000000000008</v>
      </c>
      <c r="I35" s="77">
        <f t="shared" si="5"/>
        <v>1.8499999999999999E-2</v>
      </c>
      <c r="J35" s="77">
        <f t="shared" si="5"/>
        <v>1.4800000000000002E-3</v>
      </c>
      <c r="K35" s="77">
        <f t="shared" si="5"/>
        <v>1.8500000000000001E-3</v>
      </c>
      <c r="L35" s="77">
        <f t="shared" si="5"/>
        <v>3.2523000000000003E-2</v>
      </c>
      <c r="M35" s="77">
        <f t="shared" si="5"/>
        <v>3.4299000000000003E-2</v>
      </c>
      <c r="N35" s="77">
        <f t="shared" si="5"/>
        <v>0</v>
      </c>
      <c r="O35" s="77">
        <f t="shared" si="5"/>
        <v>0</v>
      </c>
      <c r="P35" s="77">
        <f t="shared" si="5"/>
        <v>27.195</v>
      </c>
      <c r="Q35" s="77">
        <f t="shared" si="10"/>
        <v>53.834999999999994</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37</v>
      </c>
      <c r="C36" s="77">
        <f t="shared" si="6"/>
        <v>136.9</v>
      </c>
      <c r="D36" s="77">
        <f t="shared" si="7"/>
        <v>62.642812999999997</v>
      </c>
      <c r="E36" s="77">
        <f t="shared" si="8"/>
        <v>7.7132050000000012</v>
      </c>
      <c r="F36" s="77">
        <f t="shared" si="9"/>
        <v>14.109579999999999</v>
      </c>
      <c r="G36" s="77">
        <f t="shared" si="5"/>
        <v>0.11988000000000001</v>
      </c>
      <c r="H36" s="77">
        <f t="shared" si="5"/>
        <v>0.60310000000000008</v>
      </c>
      <c r="I36" s="77">
        <f t="shared" si="5"/>
        <v>1.8499999999999999E-2</v>
      </c>
      <c r="J36" s="77">
        <f t="shared" si="5"/>
        <v>1.4800000000000002E-3</v>
      </c>
      <c r="K36" s="77">
        <f t="shared" si="5"/>
        <v>1.8500000000000001E-3</v>
      </c>
      <c r="L36" s="77">
        <f t="shared" si="5"/>
        <v>3.2523000000000003E-2</v>
      </c>
      <c r="M36" s="77">
        <f t="shared" si="5"/>
        <v>3.4299000000000003E-2</v>
      </c>
      <c r="N36" s="77">
        <f t="shared" si="5"/>
        <v>0</v>
      </c>
      <c r="O36" s="77">
        <f t="shared" si="5"/>
        <v>0</v>
      </c>
      <c r="P36" s="77">
        <f t="shared" si="5"/>
        <v>27.195</v>
      </c>
      <c r="Q36" s="77">
        <f t="shared" si="10"/>
        <v>53.834999999999994</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37</v>
      </c>
      <c r="C37" s="77">
        <f t="shared" si="6"/>
        <v>136.9</v>
      </c>
      <c r="D37" s="77">
        <f t="shared" si="7"/>
        <v>62.642812999999997</v>
      </c>
      <c r="E37" s="77">
        <f t="shared" si="8"/>
        <v>7.7132050000000012</v>
      </c>
      <c r="F37" s="77">
        <f t="shared" si="9"/>
        <v>14.109579999999999</v>
      </c>
      <c r="G37" s="77">
        <f t="shared" si="5"/>
        <v>0.11988000000000001</v>
      </c>
      <c r="H37" s="77">
        <f t="shared" si="5"/>
        <v>0.60310000000000008</v>
      </c>
      <c r="I37" s="77">
        <f t="shared" si="5"/>
        <v>1.8499999999999999E-2</v>
      </c>
      <c r="J37" s="77">
        <f t="shared" si="5"/>
        <v>1.4800000000000002E-3</v>
      </c>
      <c r="K37" s="77">
        <f t="shared" si="5"/>
        <v>1.8500000000000001E-3</v>
      </c>
      <c r="L37" s="77">
        <f t="shared" si="5"/>
        <v>3.2523000000000003E-2</v>
      </c>
      <c r="M37" s="77">
        <f t="shared" si="5"/>
        <v>3.4299000000000003E-2</v>
      </c>
      <c r="N37" s="77">
        <f t="shared" si="5"/>
        <v>0</v>
      </c>
      <c r="O37" s="77">
        <f t="shared" si="5"/>
        <v>0</v>
      </c>
      <c r="P37" s="77">
        <f t="shared" si="5"/>
        <v>27.195</v>
      </c>
      <c r="Q37" s="77">
        <f t="shared" si="10"/>
        <v>53.834999999999994</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37</v>
      </c>
      <c r="C38" s="77">
        <f t="shared" si="6"/>
        <v>136.9</v>
      </c>
      <c r="D38" s="77">
        <f t="shared" si="7"/>
        <v>62.642812999999997</v>
      </c>
      <c r="E38" s="77">
        <f t="shared" si="8"/>
        <v>7.7132050000000012</v>
      </c>
      <c r="F38" s="77">
        <f t="shared" si="9"/>
        <v>14.109579999999999</v>
      </c>
      <c r="G38" s="77">
        <f t="shared" si="5"/>
        <v>0.11988000000000001</v>
      </c>
      <c r="H38" s="77">
        <f t="shared" si="5"/>
        <v>0.60310000000000008</v>
      </c>
      <c r="I38" s="77">
        <f t="shared" si="5"/>
        <v>1.8499999999999999E-2</v>
      </c>
      <c r="J38" s="77">
        <f t="shared" si="5"/>
        <v>1.4800000000000002E-3</v>
      </c>
      <c r="K38" s="77">
        <f t="shared" si="5"/>
        <v>1.8500000000000001E-3</v>
      </c>
      <c r="L38" s="77">
        <f t="shared" si="5"/>
        <v>3.2523000000000003E-2</v>
      </c>
      <c r="M38" s="77">
        <f t="shared" si="5"/>
        <v>3.4299000000000003E-2</v>
      </c>
      <c r="N38" s="77">
        <f t="shared" si="5"/>
        <v>0</v>
      </c>
      <c r="O38" s="77">
        <f t="shared" si="5"/>
        <v>0</v>
      </c>
      <c r="P38" s="77">
        <f t="shared" si="5"/>
        <v>27.195</v>
      </c>
      <c r="Q38" s="77">
        <f t="shared" si="10"/>
        <v>53.834999999999994</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37</v>
      </c>
      <c r="C39" s="77">
        <f t="shared" si="6"/>
        <v>136.9</v>
      </c>
      <c r="D39" s="77">
        <f t="shared" si="7"/>
        <v>62.642812999999997</v>
      </c>
      <c r="E39" s="77">
        <f t="shared" si="8"/>
        <v>7.7132050000000012</v>
      </c>
      <c r="F39" s="77">
        <f t="shared" si="9"/>
        <v>14.109579999999999</v>
      </c>
      <c r="G39" s="77">
        <f t="shared" si="5"/>
        <v>0.11988000000000001</v>
      </c>
      <c r="H39" s="77">
        <f t="shared" si="5"/>
        <v>0.60310000000000008</v>
      </c>
      <c r="I39" s="77">
        <f t="shared" si="5"/>
        <v>1.8499999999999999E-2</v>
      </c>
      <c r="J39" s="77">
        <f t="shared" si="5"/>
        <v>1.4800000000000002E-3</v>
      </c>
      <c r="K39" s="77">
        <f t="shared" si="5"/>
        <v>1.8500000000000001E-3</v>
      </c>
      <c r="L39" s="77">
        <f t="shared" si="5"/>
        <v>3.2523000000000003E-2</v>
      </c>
      <c r="M39" s="77">
        <f t="shared" si="5"/>
        <v>3.4299000000000003E-2</v>
      </c>
      <c r="N39" s="77">
        <f t="shared" si="5"/>
        <v>0</v>
      </c>
      <c r="O39" s="77">
        <f t="shared" si="5"/>
        <v>0</v>
      </c>
      <c r="P39" s="77">
        <f t="shared" si="5"/>
        <v>27.195</v>
      </c>
      <c r="Q39" s="77">
        <f t="shared" si="10"/>
        <v>53.834999999999994</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37</v>
      </c>
      <c r="C40" s="77">
        <f t="shared" si="6"/>
        <v>136.9</v>
      </c>
      <c r="D40" s="77">
        <f t="shared" si="7"/>
        <v>62.642812999999997</v>
      </c>
      <c r="E40" s="77">
        <f t="shared" si="8"/>
        <v>7.7132050000000012</v>
      </c>
      <c r="F40" s="77">
        <f t="shared" si="9"/>
        <v>14.109579999999999</v>
      </c>
      <c r="G40" s="77">
        <f t="shared" si="5"/>
        <v>0.11988000000000001</v>
      </c>
      <c r="H40" s="77">
        <f t="shared" si="5"/>
        <v>0.60310000000000008</v>
      </c>
      <c r="I40" s="77">
        <f t="shared" si="5"/>
        <v>1.8499999999999999E-2</v>
      </c>
      <c r="J40" s="77">
        <f t="shared" si="5"/>
        <v>1.4800000000000002E-3</v>
      </c>
      <c r="K40" s="77">
        <f t="shared" si="5"/>
        <v>1.8500000000000001E-3</v>
      </c>
      <c r="L40" s="77">
        <f t="shared" si="5"/>
        <v>3.2523000000000003E-2</v>
      </c>
      <c r="M40" s="77">
        <f t="shared" si="5"/>
        <v>3.4299000000000003E-2</v>
      </c>
      <c r="N40" s="77">
        <f t="shared" si="5"/>
        <v>0</v>
      </c>
      <c r="O40" s="77">
        <f t="shared" si="5"/>
        <v>0</v>
      </c>
      <c r="P40" s="77">
        <f t="shared" si="5"/>
        <v>27.195</v>
      </c>
      <c r="Q40" s="77">
        <f t="shared" si="10"/>
        <v>53.834999999999994</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37</v>
      </c>
      <c r="C41" s="77">
        <f t="shared" si="6"/>
        <v>136.9</v>
      </c>
      <c r="D41" s="77">
        <f t="shared" si="7"/>
        <v>62.642812999999997</v>
      </c>
      <c r="E41" s="77">
        <f t="shared" si="8"/>
        <v>7.7132050000000012</v>
      </c>
      <c r="F41" s="77">
        <f t="shared" si="9"/>
        <v>14.109579999999999</v>
      </c>
      <c r="G41" s="77">
        <f t="shared" si="5"/>
        <v>0.11988000000000001</v>
      </c>
      <c r="H41" s="77">
        <f t="shared" si="5"/>
        <v>0.60310000000000008</v>
      </c>
      <c r="I41" s="77">
        <f t="shared" si="5"/>
        <v>1.8499999999999999E-2</v>
      </c>
      <c r="J41" s="77">
        <f t="shared" si="5"/>
        <v>1.4800000000000002E-3</v>
      </c>
      <c r="K41" s="77">
        <f t="shared" si="5"/>
        <v>1.8500000000000001E-3</v>
      </c>
      <c r="L41" s="77">
        <f t="shared" si="5"/>
        <v>3.2523000000000003E-2</v>
      </c>
      <c r="M41" s="77">
        <f t="shared" si="5"/>
        <v>3.4299000000000003E-2</v>
      </c>
      <c r="N41" s="77">
        <f t="shared" si="5"/>
        <v>0</v>
      </c>
      <c r="O41" s="77">
        <f t="shared" si="5"/>
        <v>0</v>
      </c>
      <c r="P41" s="77">
        <f t="shared" si="5"/>
        <v>27.195</v>
      </c>
      <c r="Q41" s="77">
        <f t="shared" si="10"/>
        <v>53.834999999999994</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37</v>
      </c>
      <c r="C42" s="77">
        <f t="shared" si="6"/>
        <v>136.9</v>
      </c>
      <c r="D42" s="77">
        <f t="shared" si="7"/>
        <v>62.642812999999997</v>
      </c>
      <c r="E42" s="77">
        <f t="shared" si="8"/>
        <v>7.7132050000000012</v>
      </c>
      <c r="F42" s="77">
        <f t="shared" si="9"/>
        <v>14.109579999999999</v>
      </c>
      <c r="G42" s="77">
        <f t="shared" si="5"/>
        <v>0.11988000000000001</v>
      </c>
      <c r="H42" s="77">
        <f t="shared" si="5"/>
        <v>0.60310000000000008</v>
      </c>
      <c r="I42" s="77">
        <f t="shared" si="5"/>
        <v>1.8499999999999999E-2</v>
      </c>
      <c r="J42" s="77">
        <f t="shared" si="5"/>
        <v>1.4800000000000002E-3</v>
      </c>
      <c r="K42" s="77">
        <f t="shared" si="5"/>
        <v>1.8500000000000001E-3</v>
      </c>
      <c r="L42" s="77">
        <f t="shared" si="5"/>
        <v>3.2523000000000003E-2</v>
      </c>
      <c r="M42" s="77">
        <f t="shared" si="5"/>
        <v>3.4299000000000003E-2</v>
      </c>
      <c r="N42" s="77">
        <f t="shared" si="5"/>
        <v>0</v>
      </c>
      <c r="O42" s="77">
        <f t="shared" si="5"/>
        <v>0</v>
      </c>
      <c r="P42" s="77">
        <f t="shared" si="5"/>
        <v>27.195</v>
      </c>
      <c r="Q42" s="77">
        <f t="shared" si="10"/>
        <v>53.834999999999994</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37</v>
      </c>
      <c r="C43" s="77">
        <f t="shared" si="6"/>
        <v>136.9</v>
      </c>
      <c r="D43" s="77">
        <f t="shared" si="7"/>
        <v>62.642812999999997</v>
      </c>
      <c r="E43" s="77">
        <f t="shared" si="8"/>
        <v>7.7132050000000012</v>
      </c>
      <c r="F43" s="77">
        <f t="shared" si="9"/>
        <v>14.109579999999999</v>
      </c>
      <c r="G43" s="77">
        <f t="shared" si="5"/>
        <v>0.11988000000000001</v>
      </c>
      <c r="H43" s="77">
        <f t="shared" si="5"/>
        <v>0.60310000000000008</v>
      </c>
      <c r="I43" s="77">
        <f t="shared" si="5"/>
        <v>1.8499999999999999E-2</v>
      </c>
      <c r="J43" s="77">
        <f t="shared" si="5"/>
        <v>1.4800000000000002E-3</v>
      </c>
      <c r="K43" s="77">
        <f t="shared" si="5"/>
        <v>1.8500000000000001E-3</v>
      </c>
      <c r="L43" s="77">
        <f t="shared" si="5"/>
        <v>3.2523000000000003E-2</v>
      </c>
      <c r="M43" s="77">
        <f t="shared" si="5"/>
        <v>3.4299000000000003E-2</v>
      </c>
      <c r="N43" s="77">
        <f t="shared" si="5"/>
        <v>0</v>
      </c>
      <c r="O43" s="77">
        <f t="shared" si="5"/>
        <v>0</v>
      </c>
      <c r="P43" s="77">
        <f t="shared" si="5"/>
        <v>27.195</v>
      </c>
      <c r="Q43" s="77">
        <f t="shared" si="10"/>
        <v>53.834999999999994</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37</v>
      </c>
      <c r="C44" s="77">
        <f t="shared" si="6"/>
        <v>136.9</v>
      </c>
      <c r="D44" s="77">
        <f t="shared" si="7"/>
        <v>62.642812999999997</v>
      </c>
      <c r="E44" s="77">
        <f t="shared" si="8"/>
        <v>7.7132050000000012</v>
      </c>
      <c r="F44" s="77">
        <f t="shared" si="9"/>
        <v>14.109579999999999</v>
      </c>
      <c r="G44" s="77">
        <f t="shared" si="5"/>
        <v>0.11988000000000001</v>
      </c>
      <c r="H44" s="77">
        <f t="shared" si="5"/>
        <v>0.60310000000000008</v>
      </c>
      <c r="I44" s="77">
        <f t="shared" si="5"/>
        <v>1.8499999999999999E-2</v>
      </c>
      <c r="J44" s="77">
        <f t="shared" si="5"/>
        <v>1.4800000000000002E-3</v>
      </c>
      <c r="K44" s="77">
        <f t="shared" si="5"/>
        <v>1.8500000000000001E-3</v>
      </c>
      <c r="L44" s="77">
        <f t="shared" si="5"/>
        <v>3.2523000000000003E-2</v>
      </c>
      <c r="M44" s="77">
        <f t="shared" si="5"/>
        <v>3.4299000000000003E-2</v>
      </c>
      <c r="N44" s="77">
        <f t="shared" si="5"/>
        <v>0</v>
      </c>
      <c r="O44" s="77">
        <f t="shared" si="5"/>
        <v>0</v>
      </c>
      <c r="P44" s="77">
        <f t="shared" si="5"/>
        <v>27.195</v>
      </c>
      <c r="Q44" s="77">
        <f t="shared" si="10"/>
        <v>53.834999999999994</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16</v>
      </c>
      <c r="B45" s="15">
        <v>37</v>
      </c>
      <c r="C45" s="77">
        <f t="shared" si="6"/>
        <v>136.9</v>
      </c>
      <c r="D45" s="77">
        <f t="shared" si="7"/>
        <v>62.642812999999997</v>
      </c>
      <c r="E45" s="77">
        <f t="shared" si="8"/>
        <v>7.7132050000000012</v>
      </c>
      <c r="F45" s="77">
        <f t="shared" si="9"/>
        <v>14.109579999999999</v>
      </c>
      <c r="G45" s="77">
        <f t="shared" si="5"/>
        <v>0.11988000000000001</v>
      </c>
      <c r="H45" s="77">
        <f t="shared" si="5"/>
        <v>0.60310000000000008</v>
      </c>
      <c r="I45" s="77">
        <f t="shared" si="5"/>
        <v>1.8499999999999999E-2</v>
      </c>
      <c r="J45" s="77">
        <f t="shared" si="5"/>
        <v>1.4800000000000002E-3</v>
      </c>
      <c r="K45" s="77">
        <f t="shared" si="5"/>
        <v>1.8500000000000001E-3</v>
      </c>
      <c r="L45" s="77">
        <f t="shared" si="5"/>
        <v>3.2523000000000003E-2</v>
      </c>
      <c r="M45" s="77">
        <f t="shared" si="5"/>
        <v>3.4299000000000003E-2</v>
      </c>
      <c r="N45" s="77">
        <f t="shared" si="5"/>
        <v>0</v>
      </c>
      <c r="O45" s="77">
        <f t="shared" si="5"/>
        <v>0</v>
      </c>
      <c r="P45" s="77">
        <f t="shared" si="5"/>
        <v>27.195</v>
      </c>
      <c r="Q45" s="77">
        <f t="shared" si="10"/>
        <v>53.834999999999994</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17</v>
      </c>
      <c r="B46" s="15">
        <v>37</v>
      </c>
      <c r="C46" s="77">
        <f t="shared" si="6"/>
        <v>136.9</v>
      </c>
      <c r="D46" s="77">
        <f t="shared" si="7"/>
        <v>62.642812999999997</v>
      </c>
      <c r="E46" s="77">
        <f t="shared" si="8"/>
        <v>7.7132050000000012</v>
      </c>
      <c r="F46" s="77">
        <f t="shared" si="9"/>
        <v>14.109579999999999</v>
      </c>
      <c r="G46" s="77">
        <f t="shared" si="5"/>
        <v>0.11988000000000001</v>
      </c>
      <c r="H46" s="77">
        <f t="shared" si="5"/>
        <v>0.60310000000000008</v>
      </c>
      <c r="I46" s="77">
        <f t="shared" si="5"/>
        <v>1.8499999999999999E-2</v>
      </c>
      <c r="J46" s="77">
        <f t="shared" si="5"/>
        <v>1.4800000000000002E-3</v>
      </c>
      <c r="K46" s="77">
        <f t="shared" si="5"/>
        <v>1.8500000000000001E-3</v>
      </c>
      <c r="L46" s="77">
        <f t="shared" si="5"/>
        <v>3.2523000000000003E-2</v>
      </c>
      <c r="M46" s="77">
        <f t="shared" si="5"/>
        <v>3.4299000000000003E-2</v>
      </c>
      <c r="N46" s="77">
        <f t="shared" si="5"/>
        <v>0</v>
      </c>
      <c r="O46" s="77">
        <f t="shared" si="5"/>
        <v>0</v>
      </c>
      <c r="P46" s="77">
        <f t="shared" si="5"/>
        <v>27.195</v>
      </c>
      <c r="Q46" s="77">
        <f t="shared" si="10"/>
        <v>53.834999999999994</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18</v>
      </c>
      <c r="B47" s="15">
        <v>37</v>
      </c>
      <c r="C47" s="77">
        <f t="shared" si="6"/>
        <v>136.9</v>
      </c>
      <c r="D47" s="77">
        <f t="shared" si="7"/>
        <v>62.642812999999997</v>
      </c>
      <c r="E47" s="77">
        <f t="shared" si="8"/>
        <v>7.7132050000000012</v>
      </c>
      <c r="F47" s="77">
        <f t="shared" si="9"/>
        <v>14.109579999999999</v>
      </c>
      <c r="G47" s="77">
        <f t="shared" ref="G47:P50" si="12">IF(G$27="%w/w SAR",((G$28*10)*$B47),IF(G$27="%w/w DM",(((G$28*10)*($B$28/100))*$B47),IF(G$27="kg/t SAR",(G$28*$B47),IF(G$27="kg/t DM",((G$28*($B$28/100))*$B47),IF(G$27="mg/kg SAR",((G$28*0.001)*$B47),IF(G$27="mg/kg DM",(((G$28*0.001)*($B$28/100))*$B47),0))))))</f>
        <v>0.11988000000000001</v>
      </c>
      <c r="H47" s="77">
        <f t="shared" si="12"/>
        <v>0.60310000000000008</v>
      </c>
      <c r="I47" s="77">
        <f t="shared" si="12"/>
        <v>1.8499999999999999E-2</v>
      </c>
      <c r="J47" s="77">
        <f t="shared" si="12"/>
        <v>1.4800000000000002E-3</v>
      </c>
      <c r="K47" s="77">
        <f t="shared" si="12"/>
        <v>1.8500000000000001E-3</v>
      </c>
      <c r="L47" s="77">
        <f t="shared" si="12"/>
        <v>3.2523000000000003E-2</v>
      </c>
      <c r="M47" s="77">
        <f t="shared" si="12"/>
        <v>3.4299000000000003E-2</v>
      </c>
      <c r="N47" s="77">
        <f t="shared" si="12"/>
        <v>0</v>
      </c>
      <c r="O47" s="77">
        <f t="shared" si="12"/>
        <v>0</v>
      </c>
      <c r="P47" s="77">
        <f t="shared" si="12"/>
        <v>27.195</v>
      </c>
      <c r="Q47" s="77">
        <f t="shared" si="10"/>
        <v>53.834999999999994</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19</v>
      </c>
      <c r="B48" s="15">
        <v>37</v>
      </c>
      <c r="C48" s="77">
        <f t="shared" si="6"/>
        <v>136.9</v>
      </c>
      <c r="D48" s="77">
        <f t="shared" si="7"/>
        <v>62.642812999999997</v>
      </c>
      <c r="E48" s="77">
        <f t="shared" si="8"/>
        <v>7.7132050000000012</v>
      </c>
      <c r="F48" s="77">
        <f t="shared" si="9"/>
        <v>14.109579999999999</v>
      </c>
      <c r="G48" s="77">
        <f t="shared" si="12"/>
        <v>0.11988000000000001</v>
      </c>
      <c r="H48" s="77">
        <f t="shared" si="12"/>
        <v>0.60310000000000008</v>
      </c>
      <c r="I48" s="77">
        <f t="shared" si="12"/>
        <v>1.8499999999999999E-2</v>
      </c>
      <c r="J48" s="77">
        <f t="shared" si="12"/>
        <v>1.4800000000000002E-3</v>
      </c>
      <c r="K48" s="77">
        <f t="shared" si="12"/>
        <v>1.8500000000000001E-3</v>
      </c>
      <c r="L48" s="77">
        <f t="shared" si="12"/>
        <v>3.2523000000000003E-2</v>
      </c>
      <c r="M48" s="77">
        <f t="shared" si="12"/>
        <v>3.4299000000000003E-2</v>
      </c>
      <c r="N48" s="77">
        <f t="shared" si="12"/>
        <v>0</v>
      </c>
      <c r="O48" s="77">
        <f t="shared" si="12"/>
        <v>0</v>
      </c>
      <c r="P48" s="77">
        <f t="shared" si="12"/>
        <v>27.195</v>
      </c>
      <c r="Q48" s="77">
        <f t="shared" si="10"/>
        <v>53.834999999999994</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x14ac:dyDescent="0.2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str">
        <f>S16&amp;" I "&amp;(VLOOKUP(S14,Table24581112[],6,FALSE))</f>
        <v>Medium/Clay I Grass</v>
      </c>
      <c r="S58" s="13" t="str">
        <f>T16&amp;" I "&amp;(VLOOKUP(T14,Table24581112[],6,FALSE))</f>
        <v>Medium/Clay I Grass</v>
      </c>
      <c r="T58" s="13" t="e">
        <f>U16&amp;" I "&amp;(VLOOKUP(U14,Table24581112[],6,FALSE))</f>
        <v>#N/A</v>
      </c>
      <c r="U58" s="13" t="e">
        <f>V16&amp;" I "&amp;(VLOOKUP(V14,Table24581112[],6,FALSE))</f>
        <v>#N/A</v>
      </c>
    </row>
    <row r="59" spans="1:35" s="19" customFormat="1" x14ac:dyDescent="0.2">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f>VLOOKUP(R$14,Table24581112[],5,FALSE)</f>
        <v>6.2</v>
      </c>
      <c r="R59" s="76">
        <f>VLOOKUP(S$14,Table24581112[],5,FALSE)</f>
        <v>6.2</v>
      </c>
      <c r="S59" s="76">
        <f>VLOOKUP(T$14,Table24581112[],5,FALSE)</f>
        <v>6.2</v>
      </c>
      <c r="T59" s="76" t="e">
        <f>VLOOKUP(U$14,Table24581112[],5,FALSE)</f>
        <v>#N/A</v>
      </c>
      <c r="U59" s="76" t="e">
        <f>VLOOKUP(V$14,Table24581112[],5,FALSE)</f>
        <v>#N/A</v>
      </c>
    </row>
    <row r="60" spans="1:35" s="19" customFormat="1" x14ac:dyDescent="0.2">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t="e">
        <f t="shared" si="15"/>
        <v>#N/A</v>
      </c>
      <c r="U61" s="76" t="e">
        <f t="shared" si="15"/>
        <v>#N/A</v>
      </c>
    </row>
    <row r="62" spans="1:35" s="19" customFormat="1" x14ac:dyDescent="0.2">
      <c r="A62" s="111" t="s">
        <v>134</v>
      </c>
      <c r="B62" s="77">
        <f>B31</f>
        <v>37</v>
      </c>
      <c r="C62" s="77">
        <f>B32</f>
        <v>37</v>
      </c>
      <c r="D62" s="77">
        <f>B33</f>
        <v>37</v>
      </c>
      <c r="E62" s="77">
        <f>B34</f>
        <v>37</v>
      </c>
      <c r="F62" s="77">
        <f>B35</f>
        <v>37</v>
      </c>
      <c r="G62" s="77">
        <f>B36</f>
        <v>37</v>
      </c>
      <c r="H62" s="77">
        <f>B37</f>
        <v>37</v>
      </c>
      <c r="I62" s="77">
        <f>B38</f>
        <v>37</v>
      </c>
      <c r="J62" s="77">
        <f>B39</f>
        <v>37</v>
      </c>
      <c r="K62" s="77">
        <f>B40</f>
        <v>37</v>
      </c>
      <c r="L62" s="77">
        <f>B41</f>
        <v>37</v>
      </c>
      <c r="M62" s="77">
        <f>B42</f>
        <v>37</v>
      </c>
      <c r="N62" s="77">
        <f>B43</f>
        <v>37</v>
      </c>
      <c r="O62" s="77">
        <f>B44</f>
        <v>37</v>
      </c>
      <c r="P62" s="77">
        <f>B45</f>
        <v>37</v>
      </c>
      <c r="Q62" s="77">
        <f>B46</f>
        <v>37</v>
      </c>
      <c r="R62" s="77">
        <f>B47</f>
        <v>37</v>
      </c>
      <c r="S62" s="77">
        <f>B48</f>
        <v>37</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-1.7999999999999989</v>
      </c>
      <c r="D64" s="77">
        <f t="shared" si="17"/>
        <v>0.6000000000000032</v>
      </c>
      <c r="E64" s="77">
        <f t="shared" si="17"/>
        <v>0</v>
      </c>
      <c r="F64" s="77">
        <f t="shared" si="17"/>
        <v>1.2000000000000011</v>
      </c>
      <c r="G64" s="77">
        <f t="shared" si="17"/>
        <v>0.6000000000000032</v>
      </c>
      <c r="H64" s="77">
        <f t="shared" si="17"/>
        <v>-3</v>
      </c>
      <c r="I64" s="77">
        <f t="shared" si="17"/>
        <v>0.6000000000000032</v>
      </c>
      <c r="J64" s="77">
        <f t="shared" si="17"/>
        <v>1.2000000000000011</v>
      </c>
      <c r="K64" s="77">
        <f t="shared" si="17"/>
        <v>1.7999999999999989</v>
      </c>
      <c r="L64" s="77">
        <f t="shared" si="17"/>
        <v>1.7999999999999989</v>
      </c>
      <c r="M64" s="77">
        <f t="shared" si="17"/>
        <v>2.4000000000000021</v>
      </c>
      <c r="N64" s="77">
        <f t="shared" si="17"/>
        <v>2.4000000000000021</v>
      </c>
      <c r="O64" s="77">
        <f t="shared" si="17"/>
        <v>-1.2000000000000011</v>
      </c>
      <c r="P64" s="77">
        <f t="shared" si="17"/>
        <v>-2.3999999999999968</v>
      </c>
      <c r="Q64" s="77">
        <f t="shared" si="17"/>
        <v>-1.7999999999999989</v>
      </c>
      <c r="R64" s="77">
        <f t="shared" si="17"/>
        <v>-6.5999999999999979</v>
      </c>
      <c r="S64" s="77">
        <f t="shared" si="17"/>
        <v>-5.3999999999999968</v>
      </c>
      <c r="T64" s="77" t="e">
        <f t="shared" si="17"/>
        <v>#N/A</v>
      </c>
      <c r="U64" s="77" t="e">
        <f t="shared" si="17"/>
        <v>#N/A</v>
      </c>
    </row>
    <row r="65" spans="1:21" s="19" customFormat="1" ht="51" x14ac:dyDescent="0.2">
      <c r="A65" s="112" t="s">
        <v>157</v>
      </c>
      <c r="B65" s="77">
        <f>B63-B64</f>
        <v>0</v>
      </c>
      <c r="C65" s="77">
        <f t="shared" ref="C65:U65" si="18">C63-C64</f>
        <v>1.7999999999999989</v>
      </c>
      <c r="D65" s="77">
        <f t="shared" si="18"/>
        <v>-0.6000000000000032</v>
      </c>
      <c r="E65" s="77">
        <f t="shared" si="18"/>
        <v>0</v>
      </c>
      <c r="F65" s="77">
        <f t="shared" si="18"/>
        <v>-1.2000000000000011</v>
      </c>
      <c r="G65" s="77">
        <f t="shared" si="18"/>
        <v>-0.6000000000000032</v>
      </c>
      <c r="H65" s="77">
        <f t="shared" si="18"/>
        <v>3</v>
      </c>
      <c r="I65" s="77">
        <f t="shared" si="18"/>
        <v>-0.6000000000000032</v>
      </c>
      <c r="J65" s="77">
        <f t="shared" si="18"/>
        <v>-1.2000000000000011</v>
      </c>
      <c r="K65" s="77">
        <f t="shared" si="18"/>
        <v>-1.7999999999999989</v>
      </c>
      <c r="L65" s="77">
        <f t="shared" si="18"/>
        <v>-1.7999999999999989</v>
      </c>
      <c r="M65" s="77">
        <f t="shared" si="18"/>
        <v>-2.4000000000000021</v>
      </c>
      <c r="N65" s="77">
        <f t="shared" si="18"/>
        <v>-2.4000000000000021</v>
      </c>
      <c r="O65" s="77">
        <f t="shared" si="18"/>
        <v>1.2000000000000011</v>
      </c>
      <c r="P65" s="77">
        <f t="shared" si="18"/>
        <v>2.3999999999999968</v>
      </c>
      <c r="Q65" s="77">
        <f t="shared" si="18"/>
        <v>1.7999999999999989</v>
      </c>
      <c r="R65" s="77">
        <f t="shared" si="18"/>
        <v>6.5999999999999979</v>
      </c>
      <c r="S65" s="77">
        <f t="shared" si="18"/>
        <v>5.3999999999999968</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28" sqref="A2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7" t="s">
        <v>41</v>
      </c>
      <c r="B1" s="127"/>
      <c r="C1" s="140" t="str">
        <f>Secanim!C1:D1</f>
        <v>PAN-018528</v>
      </c>
      <c r="D1" s="141"/>
      <c r="E1" s="93" t="s">
        <v>45</v>
      </c>
      <c r="F1" s="39">
        <f>Secanim!F1</f>
        <v>39.5</v>
      </c>
      <c r="G1" s="123" t="s">
        <v>43</v>
      </c>
      <c r="H1" s="124"/>
      <c r="I1" s="118">
        <v>6.84</v>
      </c>
      <c r="J1" s="127" t="s">
        <v>153</v>
      </c>
      <c r="K1" s="127"/>
      <c r="L1" s="97">
        <v>6581</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EPR-KP3594VE</v>
      </c>
      <c r="D2" s="143"/>
      <c r="E2" s="93" t="s">
        <v>109</v>
      </c>
      <c r="F2" s="96" t="s">
        <v>179</v>
      </c>
      <c r="G2" s="125" t="s">
        <v>110</v>
      </c>
      <c r="H2" s="126"/>
      <c r="I2" s="118">
        <v>466</v>
      </c>
      <c r="J2" s="127" t="s">
        <v>158</v>
      </c>
      <c r="K2" s="127"/>
      <c r="L2" s="97">
        <v>8.11</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t="s">
        <v>104</v>
      </c>
      <c r="G3" s="127" t="s">
        <v>159</v>
      </c>
      <c r="H3" s="127"/>
      <c r="I3" s="118"/>
      <c r="J3" s="123" t="s">
        <v>154</v>
      </c>
      <c r="K3" s="124"/>
      <c r="L3" s="97">
        <f>(L1/(L2*10000))*100</f>
        <v>8.1146732429099888</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Fron Farm, Moel y Crio, CH7 5QW</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8</v>
      </c>
      <c r="K8" s="60">
        <f>Secanim!K8</f>
        <v>9</v>
      </c>
      <c r="L8" s="60">
        <f>Secanim!L8</f>
        <v>10</v>
      </c>
      <c r="M8" s="60">
        <f>Secanim!M8</f>
        <v>11</v>
      </c>
      <c r="N8" s="60">
        <f>Secanim!N8</f>
        <v>12</v>
      </c>
      <c r="O8" s="60">
        <f>Secanim!O8</f>
        <v>13</v>
      </c>
      <c r="P8" s="60">
        <f>Secanim!P8</f>
        <v>14</v>
      </c>
      <c r="Q8" s="60">
        <f>Secanim!Q8</f>
        <v>16</v>
      </c>
      <c r="R8" s="60">
        <f>Secanim!R8</f>
        <v>17</v>
      </c>
      <c r="S8" s="60">
        <f>Secanim!S8</f>
        <v>18</v>
      </c>
      <c r="T8" s="60">
        <f>Secanim!T8</f>
        <v>19</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6.2</v>
      </c>
      <c r="D10" s="60">
        <f>Secanim!D10</f>
        <v>6.5</v>
      </c>
      <c r="E10" s="60">
        <f>Secanim!E10</f>
        <v>6.1</v>
      </c>
      <c r="F10" s="60">
        <f>Secanim!F10</f>
        <v>6.2</v>
      </c>
      <c r="G10" s="60">
        <f>Secanim!G10</f>
        <v>6</v>
      </c>
      <c r="H10" s="60">
        <f>Secanim!H10</f>
        <v>6.1</v>
      </c>
      <c r="I10" s="60">
        <f>Secanim!I10</f>
        <v>6.7</v>
      </c>
      <c r="J10" s="60">
        <f>Secanim!J10</f>
        <v>6.1</v>
      </c>
      <c r="K10" s="60">
        <f>Secanim!K10</f>
        <v>6</v>
      </c>
      <c r="L10" s="60">
        <f>Secanim!L10</f>
        <v>5.9</v>
      </c>
      <c r="M10" s="60">
        <f>Secanim!M10</f>
        <v>5.9</v>
      </c>
      <c r="N10" s="60">
        <f>Secanim!N10</f>
        <v>5.8</v>
      </c>
      <c r="O10" s="60">
        <f>Secanim!O10</f>
        <v>5.8</v>
      </c>
      <c r="P10" s="60">
        <f>Secanim!P10</f>
        <v>6.4</v>
      </c>
      <c r="Q10" s="60">
        <f>Secanim!Q10</f>
        <v>6.6</v>
      </c>
      <c r="R10" s="60">
        <f>Secanim!R10</f>
        <v>6.5</v>
      </c>
      <c r="S10" s="60">
        <f>Secanim!S10</f>
        <v>7.3</v>
      </c>
      <c r="T10" s="60">
        <f>Secanim!T10</f>
        <v>7.1</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2</v>
      </c>
      <c r="D11" s="60">
        <f>Secanim!D11</f>
        <v>3</v>
      </c>
      <c r="E11" s="60">
        <f>Secanim!E11</f>
        <v>2</v>
      </c>
      <c r="F11" s="60">
        <f>Secanim!F11</f>
        <v>1</v>
      </c>
      <c r="G11" s="60">
        <f>Secanim!G11</f>
        <v>1</v>
      </c>
      <c r="H11" s="60">
        <f>Secanim!H11</f>
        <v>1</v>
      </c>
      <c r="I11" s="60">
        <f>Secanim!I11</f>
        <v>1</v>
      </c>
      <c r="J11" s="60">
        <f>Secanim!J11</f>
        <v>1</v>
      </c>
      <c r="K11" s="60">
        <f>Secanim!K11</f>
        <v>1</v>
      </c>
      <c r="L11" s="60">
        <f>Secanim!L11</f>
        <v>1</v>
      </c>
      <c r="M11" s="60">
        <f>Secanim!M11</f>
        <v>1</v>
      </c>
      <c r="N11" s="60">
        <f>Secanim!N11</f>
        <v>0</v>
      </c>
      <c r="O11" s="60">
        <f>Secanim!O11</f>
        <v>0</v>
      </c>
      <c r="P11" s="60">
        <f>Secanim!P11</f>
        <v>1</v>
      </c>
      <c r="Q11" s="60">
        <f>Secanim!Q11</f>
        <v>3</v>
      </c>
      <c r="R11" s="60">
        <f>Secanim!R11</f>
        <v>2</v>
      </c>
      <c r="S11" s="60">
        <f>Secanim!S11</f>
        <v>3</v>
      </c>
      <c r="T11" s="60">
        <f>Secanim!T11</f>
        <v>1</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t="str">
        <f>Secanim!D12</f>
        <v>2-</v>
      </c>
      <c r="E12" s="60">
        <f>Secanim!E12</f>
        <v>1</v>
      </c>
      <c r="F12" s="60">
        <f>Secanim!F12</f>
        <v>0</v>
      </c>
      <c r="G12" s="60">
        <f>Secanim!G12</f>
        <v>1</v>
      </c>
      <c r="H12" s="60">
        <f>Secanim!H12</f>
        <v>1</v>
      </c>
      <c r="I12" s="60">
        <f>Secanim!I12</f>
        <v>1</v>
      </c>
      <c r="J12" s="60">
        <f>Secanim!J12</f>
        <v>1</v>
      </c>
      <c r="K12" s="60">
        <f>Secanim!K12</f>
        <v>0</v>
      </c>
      <c r="L12" s="60">
        <f>Secanim!L12</f>
        <v>0</v>
      </c>
      <c r="M12" s="60" t="str">
        <f>Secanim!M12</f>
        <v>2-</v>
      </c>
      <c r="N12" s="60">
        <f>Secanim!N12</f>
        <v>0</v>
      </c>
      <c r="O12" s="60">
        <f>Secanim!O12</f>
        <v>0</v>
      </c>
      <c r="P12" s="60">
        <f>Secanim!P12</f>
        <v>1</v>
      </c>
      <c r="Q12" s="60">
        <f>Secanim!Q12</f>
        <v>1</v>
      </c>
      <c r="R12" s="60">
        <f>Secanim!R12</f>
        <v>1</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2</v>
      </c>
      <c r="R13" s="60">
        <f>Secanim!R13</f>
        <v>2</v>
      </c>
      <c r="S13" s="60">
        <f>Secanim!S13</f>
        <v>1</v>
      </c>
      <c r="T13" s="60">
        <f>Secanim!T13</f>
        <v>1</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59.743781600000005</v>
      </c>
      <c r="D18" s="16">
        <f>$D32</f>
        <v>59.743781600000005</v>
      </c>
      <c r="E18" s="16">
        <f>$D33</f>
        <v>59.743781600000005</v>
      </c>
      <c r="F18" s="16">
        <f>$D34</f>
        <v>59.743781600000005</v>
      </c>
      <c r="G18" s="16">
        <f>$D35</f>
        <v>59.743781600000005</v>
      </c>
      <c r="H18" s="16">
        <f>$D36</f>
        <v>59.743781600000005</v>
      </c>
      <c r="I18" s="16">
        <f>$D37</f>
        <v>59.743781600000005</v>
      </c>
      <c r="J18" s="16">
        <f>$D38</f>
        <v>59.743781600000005</v>
      </c>
      <c r="K18" s="16">
        <f>$D39</f>
        <v>59.743781600000005</v>
      </c>
      <c r="L18" s="16">
        <f>$D40</f>
        <v>59.743781600000005</v>
      </c>
      <c r="M18" s="16">
        <f>$D41</f>
        <v>59.743781600000005</v>
      </c>
      <c r="N18" s="16">
        <f>$D42</f>
        <v>59.743781600000005</v>
      </c>
      <c r="O18" s="16">
        <f>$D43</f>
        <v>59.743781600000005</v>
      </c>
      <c r="P18" s="16">
        <f>$D44</f>
        <v>59.743781600000005</v>
      </c>
      <c r="Q18" s="16">
        <f>$D45</f>
        <v>59.743781600000005</v>
      </c>
      <c r="R18" s="16">
        <f>$D46</f>
        <v>59.743781600000005</v>
      </c>
      <c r="S18" s="16">
        <f>$D47</f>
        <v>59.743781600000005</v>
      </c>
      <c r="T18" s="16">
        <f>$D48</f>
        <v>59.743781600000005</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-4.8562183999999888</v>
      </c>
      <c r="D19" s="16">
        <f t="shared" ref="D19:V19" si="1">D18-D17</f>
        <v>-4.8562183999999888</v>
      </c>
      <c r="E19" s="16">
        <f t="shared" si="1"/>
        <v>-4.8562183999999888</v>
      </c>
      <c r="F19" s="16">
        <f t="shared" si="1"/>
        <v>-4.8562183999999888</v>
      </c>
      <c r="G19" s="16">
        <f t="shared" si="1"/>
        <v>-4.8562183999999888</v>
      </c>
      <c r="H19" s="16">
        <f t="shared" si="1"/>
        <v>-4.8562183999999888</v>
      </c>
      <c r="I19" s="16">
        <f t="shared" si="1"/>
        <v>-4.8562183999999888</v>
      </c>
      <c r="J19" s="16">
        <f t="shared" si="1"/>
        <v>-4.8562183999999888</v>
      </c>
      <c r="K19" s="16">
        <f t="shared" si="1"/>
        <v>-4.8562183999999888</v>
      </c>
      <c r="L19" s="16">
        <f t="shared" si="1"/>
        <v>-4.8562183999999888</v>
      </c>
      <c r="M19" s="16">
        <f t="shared" si="1"/>
        <v>-4.8562183999999888</v>
      </c>
      <c r="N19" s="16">
        <f t="shared" si="1"/>
        <v>-4.8562183999999888</v>
      </c>
      <c r="O19" s="16">
        <f t="shared" si="1"/>
        <v>-4.8562183999999888</v>
      </c>
      <c r="P19" s="16">
        <f t="shared" si="1"/>
        <v>-4.8562183999999888</v>
      </c>
      <c r="Q19" s="16">
        <f t="shared" si="1"/>
        <v>-4.8562183999999888</v>
      </c>
      <c r="R19" s="16">
        <f t="shared" si="1"/>
        <v>-4.8562183999999888</v>
      </c>
      <c r="S19" s="16">
        <f t="shared" si="1"/>
        <v>-4.8562183999999888</v>
      </c>
      <c r="T19" s="16">
        <f t="shared" si="1"/>
        <v>-4.8562183999999888</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12.314618000000003</v>
      </c>
      <c r="D22" s="16">
        <f>$E32</f>
        <v>12.314618000000003</v>
      </c>
      <c r="E22" s="16">
        <f>$E33</f>
        <v>12.314618000000003</v>
      </c>
      <c r="F22" s="16">
        <f>$E34</f>
        <v>12.314618000000003</v>
      </c>
      <c r="G22" s="16">
        <f>$E35</f>
        <v>12.314618000000003</v>
      </c>
      <c r="H22" s="16">
        <f>$E36</f>
        <v>12.314618000000003</v>
      </c>
      <c r="I22" s="16">
        <f>$E37</f>
        <v>12.314618000000003</v>
      </c>
      <c r="J22" s="16">
        <f>$E38</f>
        <v>12.314618000000003</v>
      </c>
      <c r="K22" s="16">
        <f>$E39</f>
        <v>12.314618000000003</v>
      </c>
      <c r="L22" s="16">
        <f>$E40</f>
        <v>12.314618000000003</v>
      </c>
      <c r="M22" s="16">
        <f>$E41</f>
        <v>12.314618000000003</v>
      </c>
      <c r="N22" s="16">
        <f>$E42</f>
        <v>12.314618000000003</v>
      </c>
      <c r="O22" s="16">
        <f>$E43</f>
        <v>12.314618000000003</v>
      </c>
      <c r="P22" s="16">
        <f>$E44</f>
        <v>12.314618000000003</v>
      </c>
      <c r="Q22" s="16">
        <f>$E45</f>
        <v>12.314618000000003</v>
      </c>
      <c r="R22" s="16">
        <f>$E46</f>
        <v>12.314618000000003</v>
      </c>
      <c r="S22" s="16">
        <f>$E47</f>
        <v>12.314618000000003</v>
      </c>
      <c r="T22" s="16">
        <f>$E48</f>
        <v>12.314618000000003</v>
      </c>
      <c r="U22" s="16">
        <f>$E49</f>
        <v>0</v>
      </c>
      <c r="V22" s="16">
        <f>$E50</f>
        <v>0</v>
      </c>
      <c r="AI22" s="63" t="s">
        <v>102</v>
      </c>
      <c r="AJ22" s="64">
        <v>1.2</v>
      </c>
      <c r="AK22" s="65">
        <v>5</v>
      </c>
      <c r="AL22" s="29">
        <v>20</v>
      </c>
      <c r="AM22" s="11">
        <v>6.7</v>
      </c>
      <c r="AN22" s="11" t="s">
        <v>135</v>
      </c>
    </row>
    <row r="23" spans="1:40" x14ac:dyDescent="0.2">
      <c r="A23" s="131" t="s">
        <v>92</v>
      </c>
      <c r="B23" s="132"/>
      <c r="C23" s="16">
        <f>C22-C21</f>
        <v>-215.685382</v>
      </c>
      <c r="D23" s="16">
        <f t="shared" ref="D23:V23" si="3">D22-D21</f>
        <v>-215.685382</v>
      </c>
      <c r="E23" s="16">
        <f t="shared" si="3"/>
        <v>-215.685382</v>
      </c>
      <c r="F23" s="16">
        <f t="shared" si="3"/>
        <v>-215.685382</v>
      </c>
      <c r="G23" s="16">
        <f t="shared" si="3"/>
        <v>-215.685382</v>
      </c>
      <c r="H23" s="16">
        <f t="shared" si="3"/>
        <v>-215.685382</v>
      </c>
      <c r="I23" s="16">
        <f t="shared" si="3"/>
        <v>-215.685382</v>
      </c>
      <c r="J23" s="16">
        <f t="shared" si="3"/>
        <v>-215.685382</v>
      </c>
      <c r="K23" s="16">
        <f t="shared" si="3"/>
        <v>-215.685382</v>
      </c>
      <c r="L23" s="16">
        <f t="shared" si="3"/>
        <v>-215.685382</v>
      </c>
      <c r="M23" s="16">
        <f t="shared" si="3"/>
        <v>-215.685382</v>
      </c>
      <c r="N23" s="16">
        <f t="shared" si="3"/>
        <v>-215.685382</v>
      </c>
      <c r="O23" s="16">
        <f t="shared" si="3"/>
        <v>-215.685382</v>
      </c>
      <c r="P23" s="16">
        <f t="shared" si="3"/>
        <v>-215.685382</v>
      </c>
      <c r="Q23" s="16">
        <f t="shared" si="3"/>
        <v>-215.685382</v>
      </c>
      <c r="R23" s="16">
        <f t="shared" si="3"/>
        <v>-215.685382</v>
      </c>
      <c r="S23" s="16">
        <f t="shared" si="3"/>
        <v>-215.685382</v>
      </c>
      <c r="T23" s="16">
        <f t="shared" si="3"/>
        <v>-215.685382</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c r="O27" s="107"/>
      <c r="P27" s="107" t="s">
        <v>57</v>
      </c>
      <c r="Q27" s="107" t="s">
        <v>57</v>
      </c>
      <c r="R27" s="107"/>
      <c r="S27" s="107"/>
      <c r="T27" s="107"/>
      <c r="U27" s="107"/>
    </row>
    <row r="28" spans="1:40" s="57" customFormat="1" x14ac:dyDescent="0.25">
      <c r="A28" s="108"/>
      <c r="B28" s="24">
        <v>8.81</v>
      </c>
      <c r="C28" s="15">
        <v>8.11</v>
      </c>
      <c r="D28" s="15">
        <v>1.85</v>
      </c>
      <c r="E28" s="15">
        <v>0.72499999999999998</v>
      </c>
      <c r="F28" s="15">
        <v>0.25900000000000001</v>
      </c>
      <c r="G28" s="15">
        <v>29.7</v>
      </c>
      <c r="H28" s="15">
        <v>337</v>
      </c>
      <c r="I28" s="15">
        <v>4.2300000000000004</v>
      </c>
      <c r="J28" s="15">
        <v>0.1</v>
      </c>
      <c r="K28" s="23">
        <v>0.1</v>
      </c>
      <c r="L28" s="15">
        <v>21.1</v>
      </c>
      <c r="M28" s="15">
        <v>65.599999999999994</v>
      </c>
      <c r="N28" s="15"/>
      <c r="O28" s="15"/>
      <c r="P28" s="15">
        <v>1.04</v>
      </c>
      <c r="Q28" s="15">
        <v>1.69</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16</v>
      </c>
      <c r="C31" s="77">
        <f>IF(C$27="%w/w SAR",((C$28*10)*$B31),IF(C$27="%w/w DM",(((C$28*10)*($B$28/100))*$B31),IF(C$27="kg/t SAR",(C$28*$B31),IF(C$27="kg/t DM",((C$28*($B$28/100))*$B31),IF(C$27="mg/kg SAR",((C$28*0.001)*$B31),IF(C$27="mg/kg DM",(((C$28*0.001)*($B$28/100))*$B31),0))))))</f>
        <v>114.31856000000001</v>
      </c>
      <c r="D31" s="77">
        <f>(IF(D$27="%w/w SAR",((D$28*10)*$B31),IF(D$27="%w/w DM",(((D$28*10)*($B$28/100))*$B31),IF(D$27="kg/t SAR",(D$28*$B31),IF(D$27="kg/t DM",((D$28*($B$28/100))*$B31),IF(D$27="mg/kg SAR",((D$28*0.001)*$B31),IF(D$27="mg/kg DM",(((D$28*0.001)*($B$28/100))*$B31),"0")))))))*2.291</f>
        <v>59.743781600000005</v>
      </c>
      <c r="E31" s="77">
        <f>(IF(E$27="%w/w SAR",((E$28*10)*$B31),IF(E$27="%w/w DM",(((E$28*10)*($B$28/100))*$B31),IF(E$27="kg/t SAR",(E$28*$B31),IF(E$27="kg/t DM",((E$28*($B$28/100))*$B31),IF(E$27="mg/kg SAR",((E$28*0.001)*$B31),IF(E$27="mg/kg DM",(((E$28*0.001)*($B$28/100))*$B31),"0")))))))*1.205</f>
        <v>12.314618000000003</v>
      </c>
      <c r="F31" s="77">
        <f>(IF(F$27="%w/w SAR",((F$28*10)*$B31),IF(F$27="%w/w DM",(((F$28*10)*($B$28/100))*$B31),IF(F$27="kg/t SAR",(F$28*$B31),IF(F$27="kg/t DM",((F$28*($B$28/100))*$B31),IF(F$27="mg/kg SAR",((F$28*0.001)*$B31),IF(F$27="mg/kg DM",(((F$28*0.001)*($B$28/100))*$B31),"0")))))))*1.658</f>
        <v>6.0531325120000004</v>
      </c>
      <c r="G31" s="77">
        <f t="shared" ref="G31:P46" si="5">IF(G$27="%w/w SAR",((G$28*10)*$B31),IF(G$27="%w/w DM",(((G$28*10)*($B$28/100))*$B31),IF(G$27="kg/t SAR",(G$28*$B31),IF(G$27="kg/t DM",((G$28*($B$28/100))*$B31),IF(G$27="mg/kg SAR",((G$28*0.001)*$B31),IF(G$27="mg/kg DM",(((G$28*0.001)*($B$28/100))*$B31),0))))))</f>
        <v>4.1865120000000006E-2</v>
      </c>
      <c r="H31" s="77">
        <f t="shared" si="5"/>
        <v>0.4750352000000001</v>
      </c>
      <c r="I31" s="77">
        <f t="shared" si="5"/>
        <v>5.9626080000000012E-3</v>
      </c>
      <c r="J31" s="77">
        <f t="shared" si="5"/>
        <v>1.4096000000000003E-4</v>
      </c>
      <c r="K31" s="77">
        <f t="shared" si="5"/>
        <v>1.4096000000000003E-4</v>
      </c>
      <c r="L31" s="77">
        <f t="shared" si="5"/>
        <v>2.9742560000000005E-2</v>
      </c>
      <c r="M31" s="77">
        <f t="shared" si="5"/>
        <v>9.2469759999999998E-2</v>
      </c>
      <c r="N31" s="77">
        <f t="shared" si="5"/>
        <v>0</v>
      </c>
      <c r="O31" s="77">
        <f t="shared" si="5"/>
        <v>0</v>
      </c>
      <c r="P31" s="77">
        <f t="shared" si="5"/>
        <v>14.659840000000003</v>
      </c>
      <c r="Q31" s="77">
        <f>(IF(Q$27="%w/w SAR",((Q$28*10)*$B31),IF(Q$27="%w/w DM",(((Q$28*10)*($B$28/100))*$B31),IF(Q$27="kg/t SAR",(Q$28*$B31),IF(Q$27="kg/t DM",((Q$28*($B$28/100))*$B31),IF(Q$27="mg/kg SAR",((Q$28*0.001)*$B31),IF(Q$27="mg/kg DM",(((Q$28*0.001)*($B$28/100))*$B31),0)))))))*2.5</f>
        <v>59.555599999999998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16</v>
      </c>
      <c r="C32" s="77">
        <f t="shared" ref="C32:C50" si="6">IF(C$27="%w/w SAR",((C$28*10)*$B32),IF(C$27="%w/w DM",(((C$28*10)*($B$28/100))*$B32),IF(C$27="kg/t SAR",(C$28*$B32),IF(C$27="kg/t DM",((C$28*($B$28/100))*$B32),IF(C$27="mg/kg SAR",((C$28*0.001)*$B32),IF(C$27="mg/kg DM",(((C$28*0.001)*($B$28/100))*$B32),0))))))</f>
        <v>114.31856000000001</v>
      </c>
      <c r="D32" s="77">
        <f t="shared" ref="D32:D50" si="7">(IF(D$27="%w/w SAR",((D$28*10)*$B32),IF(D$27="%w/w DM",(((D$28*10)*($B$28/100))*$B32),IF(D$27="kg/t SAR",(D$28*$B32),IF(D$27="kg/t DM",((D$28*($B$28/100))*$B32),IF(D$27="mg/kg SAR",((D$28*0.001)*$B32),IF(D$27="mg/kg DM",(((D$28*0.001)*($B$28/100))*$B32),"0")))))))*2.291</f>
        <v>59.743781600000005</v>
      </c>
      <c r="E32" s="77">
        <f t="shared" ref="E32:E50" si="8">(IF(E$27="%w/w SAR",((E$28*10)*$B32),IF(E$27="%w/w DM",(((E$28*10)*($B$28/100))*$B32),IF(E$27="kg/t SAR",(E$28*$B32),IF(E$27="kg/t DM",((E$28*($B$28/100))*$B32),IF(E$27="mg/kg SAR",((E$28*0.001)*$B32),IF(E$27="mg/kg DM",(((E$28*0.001)*($B$28/100))*$B32),"0")))))))*1.205</f>
        <v>12.314618000000003</v>
      </c>
      <c r="F32" s="77">
        <f t="shared" ref="F32:F50" si="9">(IF(F$27="%w/w SAR",((F$28*10)*$B32),IF(F$27="%w/w DM",(((F$28*10)*($B$28/100))*$B32),IF(F$27="kg/t SAR",(F$28*$B32),IF(F$27="kg/t DM",((F$28*($B$28/100))*$B32),IF(F$27="mg/kg SAR",((F$28*0.001)*$B32),IF(F$27="mg/kg DM",(((F$28*0.001)*($B$28/100))*$B32),"0")))))))*1.658</f>
        <v>6.0531325120000004</v>
      </c>
      <c r="G32" s="77">
        <f t="shared" si="5"/>
        <v>4.1865120000000006E-2</v>
      </c>
      <c r="H32" s="77">
        <f t="shared" si="5"/>
        <v>0.4750352000000001</v>
      </c>
      <c r="I32" s="77">
        <f t="shared" si="5"/>
        <v>5.9626080000000012E-3</v>
      </c>
      <c r="J32" s="77">
        <f t="shared" si="5"/>
        <v>1.4096000000000003E-4</v>
      </c>
      <c r="K32" s="77">
        <f t="shared" si="5"/>
        <v>1.4096000000000003E-4</v>
      </c>
      <c r="L32" s="77">
        <f t="shared" si="5"/>
        <v>2.9742560000000005E-2</v>
      </c>
      <c r="M32" s="77">
        <f t="shared" si="5"/>
        <v>9.2469759999999998E-2</v>
      </c>
      <c r="N32" s="77">
        <f t="shared" si="5"/>
        <v>0</v>
      </c>
      <c r="O32" s="77">
        <f t="shared" si="5"/>
        <v>0</v>
      </c>
      <c r="P32" s="77">
        <f t="shared" si="5"/>
        <v>14.659840000000003</v>
      </c>
      <c r="Q32" s="77">
        <f t="shared" ref="Q32:Q50" si="10">(IF(Q$27="%w/w SAR",((Q$28*10)*$B32),IF(Q$27="%w/w DM",(((Q$28*10)*($B$28/100))*$B32),IF(Q$27="kg/t SAR",(Q$28*$B32),IF(Q$27="kg/t DM",((Q$28*($B$28/100))*$B32),IF(Q$27="mg/kg SAR",((Q$28*0.001)*$B32),IF(Q$27="mg/kg DM",(((Q$28*0.001)*($B$28/100))*$B32),0)))))))*2.5</f>
        <v>59.555599999999998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16</v>
      </c>
      <c r="C33" s="77">
        <f t="shared" si="6"/>
        <v>114.31856000000001</v>
      </c>
      <c r="D33" s="77">
        <f t="shared" si="7"/>
        <v>59.743781600000005</v>
      </c>
      <c r="E33" s="77">
        <f t="shared" si="8"/>
        <v>12.314618000000003</v>
      </c>
      <c r="F33" s="77">
        <f t="shared" si="9"/>
        <v>6.0531325120000004</v>
      </c>
      <c r="G33" s="77">
        <f t="shared" si="5"/>
        <v>4.1865120000000006E-2</v>
      </c>
      <c r="H33" s="77">
        <f t="shared" si="5"/>
        <v>0.4750352000000001</v>
      </c>
      <c r="I33" s="77">
        <f t="shared" si="5"/>
        <v>5.9626080000000012E-3</v>
      </c>
      <c r="J33" s="77">
        <f t="shared" si="5"/>
        <v>1.4096000000000003E-4</v>
      </c>
      <c r="K33" s="77">
        <f t="shared" si="5"/>
        <v>1.4096000000000003E-4</v>
      </c>
      <c r="L33" s="77">
        <f t="shared" si="5"/>
        <v>2.9742560000000005E-2</v>
      </c>
      <c r="M33" s="77">
        <f t="shared" si="5"/>
        <v>9.2469759999999998E-2</v>
      </c>
      <c r="N33" s="77">
        <f t="shared" si="5"/>
        <v>0</v>
      </c>
      <c r="O33" s="77">
        <f t="shared" si="5"/>
        <v>0</v>
      </c>
      <c r="P33" s="77">
        <f t="shared" si="5"/>
        <v>14.659840000000003</v>
      </c>
      <c r="Q33" s="77">
        <f t="shared" si="10"/>
        <v>59.555599999999998</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16</v>
      </c>
      <c r="C34" s="77">
        <f t="shared" si="6"/>
        <v>114.31856000000001</v>
      </c>
      <c r="D34" s="77">
        <f t="shared" si="7"/>
        <v>59.743781600000005</v>
      </c>
      <c r="E34" s="77">
        <f t="shared" si="8"/>
        <v>12.314618000000003</v>
      </c>
      <c r="F34" s="77">
        <f t="shared" si="9"/>
        <v>6.0531325120000004</v>
      </c>
      <c r="G34" s="77">
        <f t="shared" si="5"/>
        <v>4.1865120000000006E-2</v>
      </c>
      <c r="H34" s="77">
        <f t="shared" si="5"/>
        <v>0.4750352000000001</v>
      </c>
      <c r="I34" s="77">
        <f t="shared" si="5"/>
        <v>5.9626080000000012E-3</v>
      </c>
      <c r="J34" s="77">
        <f t="shared" si="5"/>
        <v>1.4096000000000003E-4</v>
      </c>
      <c r="K34" s="77">
        <f t="shared" si="5"/>
        <v>1.4096000000000003E-4</v>
      </c>
      <c r="L34" s="77">
        <f t="shared" si="5"/>
        <v>2.9742560000000005E-2</v>
      </c>
      <c r="M34" s="77">
        <f t="shared" si="5"/>
        <v>9.2469759999999998E-2</v>
      </c>
      <c r="N34" s="77">
        <f t="shared" si="5"/>
        <v>0</v>
      </c>
      <c r="O34" s="77">
        <f t="shared" si="5"/>
        <v>0</v>
      </c>
      <c r="P34" s="77">
        <f t="shared" si="5"/>
        <v>14.659840000000003</v>
      </c>
      <c r="Q34" s="77">
        <f t="shared" si="10"/>
        <v>59.555599999999998</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16</v>
      </c>
      <c r="C35" s="77">
        <f t="shared" si="6"/>
        <v>114.31856000000001</v>
      </c>
      <c r="D35" s="77">
        <f t="shared" si="7"/>
        <v>59.743781600000005</v>
      </c>
      <c r="E35" s="77">
        <f t="shared" si="8"/>
        <v>12.314618000000003</v>
      </c>
      <c r="F35" s="77">
        <f t="shared" si="9"/>
        <v>6.0531325120000004</v>
      </c>
      <c r="G35" s="77">
        <f t="shared" si="5"/>
        <v>4.1865120000000006E-2</v>
      </c>
      <c r="H35" s="77">
        <f t="shared" si="5"/>
        <v>0.4750352000000001</v>
      </c>
      <c r="I35" s="77">
        <f t="shared" si="5"/>
        <v>5.9626080000000012E-3</v>
      </c>
      <c r="J35" s="77">
        <f t="shared" si="5"/>
        <v>1.4096000000000003E-4</v>
      </c>
      <c r="K35" s="77">
        <f t="shared" si="5"/>
        <v>1.4096000000000003E-4</v>
      </c>
      <c r="L35" s="77">
        <f t="shared" si="5"/>
        <v>2.9742560000000005E-2</v>
      </c>
      <c r="M35" s="77">
        <f t="shared" si="5"/>
        <v>9.2469759999999998E-2</v>
      </c>
      <c r="N35" s="77">
        <f t="shared" si="5"/>
        <v>0</v>
      </c>
      <c r="O35" s="77">
        <f t="shared" si="5"/>
        <v>0</v>
      </c>
      <c r="P35" s="77">
        <f t="shared" si="5"/>
        <v>14.659840000000003</v>
      </c>
      <c r="Q35" s="77">
        <f t="shared" si="10"/>
        <v>59.555599999999998</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16</v>
      </c>
      <c r="C36" s="77">
        <f t="shared" si="6"/>
        <v>114.31856000000001</v>
      </c>
      <c r="D36" s="77">
        <f t="shared" si="7"/>
        <v>59.743781600000005</v>
      </c>
      <c r="E36" s="77">
        <f t="shared" si="8"/>
        <v>12.314618000000003</v>
      </c>
      <c r="F36" s="77">
        <f t="shared" si="9"/>
        <v>6.0531325120000004</v>
      </c>
      <c r="G36" s="77">
        <f t="shared" si="5"/>
        <v>4.1865120000000006E-2</v>
      </c>
      <c r="H36" s="77">
        <f t="shared" si="5"/>
        <v>0.4750352000000001</v>
      </c>
      <c r="I36" s="77">
        <f t="shared" si="5"/>
        <v>5.9626080000000012E-3</v>
      </c>
      <c r="J36" s="77">
        <f t="shared" si="5"/>
        <v>1.4096000000000003E-4</v>
      </c>
      <c r="K36" s="77">
        <f t="shared" si="5"/>
        <v>1.4096000000000003E-4</v>
      </c>
      <c r="L36" s="77">
        <f t="shared" si="5"/>
        <v>2.9742560000000005E-2</v>
      </c>
      <c r="M36" s="77">
        <f t="shared" si="5"/>
        <v>9.2469759999999998E-2</v>
      </c>
      <c r="N36" s="77">
        <f t="shared" si="5"/>
        <v>0</v>
      </c>
      <c r="O36" s="77">
        <f t="shared" si="5"/>
        <v>0</v>
      </c>
      <c r="P36" s="77">
        <f t="shared" si="5"/>
        <v>14.659840000000003</v>
      </c>
      <c r="Q36" s="77">
        <f t="shared" si="10"/>
        <v>59.555599999999998</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16</v>
      </c>
      <c r="C37" s="77">
        <f t="shared" si="6"/>
        <v>114.31856000000001</v>
      </c>
      <c r="D37" s="77">
        <f t="shared" si="7"/>
        <v>59.743781600000005</v>
      </c>
      <c r="E37" s="77">
        <f t="shared" si="8"/>
        <v>12.314618000000003</v>
      </c>
      <c r="F37" s="77">
        <f t="shared" si="9"/>
        <v>6.0531325120000004</v>
      </c>
      <c r="G37" s="77">
        <f t="shared" si="5"/>
        <v>4.1865120000000006E-2</v>
      </c>
      <c r="H37" s="77">
        <f t="shared" si="5"/>
        <v>0.4750352000000001</v>
      </c>
      <c r="I37" s="77">
        <f t="shared" si="5"/>
        <v>5.9626080000000012E-3</v>
      </c>
      <c r="J37" s="77">
        <f t="shared" si="5"/>
        <v>1.4096000000000003E-4</v>
      </c>
      <c r="K37" s="77">
        <f t="shared" si="5"/>
        <v>1.4096000000000003E-4</v>
      </c>
      <c r="L37" s="77">
        <f t="shared" si="5"/>
        <v>2.9742560000000005E-2</v>
      </c>
      <c r="M37" s="77">
        <f t="shared" si="5"/>
        <v>9.2469759999999998E-2</v>
      </c>
      <c r="N37" s="77">
        <f t="shared" si="5"/>
        <v>0</v>
      </c>
      <c r="O37" s="77">
        <f t="shared" si="5"/>
        <v>0</v>
      </c>
      <c r="P37" s="77">
        <f t="shared" si="5"/>
        <v>14.659840000000003</v>
      </c>
      <c r="Q37" s="77">
        <f t="shared" si="10"/>
        <v>59.555599999999998</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16</v>
      </c>
      <c r="C38" s="77">
        <f t="shared" si="6"/>
        <v>114.31856000000001</v>
      </c>
      <c r="D38" s="77">
        <f t="shared" si="7"/>
        <v>59.743781600000005</v>
      </c>
      <c r="E38" s="77">
        <f t="shared" si="8"/>
        <v>12.314618000000003</v>
      </c>
      <c r="F38" s="77">
        <f t="shared" si="9"/>
        <v>6.0531325120000004</v>
      </c>
      <c r="G38" s="77">
        <f t="shared" si="5"/>
        <v>4.1865120000000006E-2</v>
      </c>
      <c r="H38" s="77">
        <f t="shared" si="5"/>
        <v>0.4750352000000001</v>
      </c>
      <c r="I38" s="77">
        <f t="shared" si="5"/>
        <v>5.9626080000000012E-3</v>
      </c>
      <c r="J38" s="77">
        <f t="shared" si="5"/>
        <v>1.4096000000000003E-4</v>
      </c>
      <c r="K38" s="77">
        <f t="shared" si="5"/>
        <v>1.4096000000000003E-4</v>
      </c>
      <c r="L38" s="77">
        <f t="shared" si="5"/>
        <v>2.9742560000000005E-2</v>
      </c>
      <c r="M38" s="77">
        <f t="shared" si="5"/>
        <v>9.2469759999999998E-2</v>
      </c>
      <c r="N38" s="77">
        <f t="shared" si="5"/>
        <v>0</v>
      </c>
      <c r="O38" s="77">
        <f t="shared" si="5"/>
        <v>0</v>
      </c>
      <c r="P38" s="77">
        <f t="shared" si="5"/>
        <v>14.659840000000003</v>
      </c>
      <c r="Q38" s="77">
        <f t="shared" si="10"/>
        <v>59.555599999999998</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16</v>
      </c>
      <c r="C39" s="77">
        <f t="shared" si="6"/>
        <v>114.31856000000001</v>
      </c>
      <c r="D39" s="77">
        <f t="shared" si="7"/>
        <v>59.743781600000005</v>
      </c>
      <c r="E39" s="77">
        <f t="shared" si="8"/>
        <v>12.314618000000003</v>
      </c>
      <c r="F39" s="77">
        <f t="shared" si="9"/>
        <v>6.0531325120000004</v>
      </c>
      <c r="G39" s="77">
        <f t="shared" si="5"/>
        <v>4.1865120000000006E-2</v>
      </c>
      <c r="H39" s="77">
        <f t="shared" si="5"/>
        <v>0.4750352000000001</v>
      </c>
      <c r="I39" s="77">
        <f t="shared" si="5"/>
        <v>5.9626080000000012E-3</v>
      </c>
      <c r="J39" s="77">
        <f t="shared" si="5"/>
        <v>1.4096000000000003E-4</v>
      </c>
      <c r="K39" s="77">
        <f t="shared" si="5"/>
        <v>1.4096000000000003E-4</v>
      </c>
      <c r="L39" s="77">
        <f t="shared" si="5"/>
        <v>2.9742560000000005E-2</v>
      </c>
      <c r="M39" s="77">
        <f t="shared" si="5"/>
        <v>9.2469759999999998E-2</v>
      </c>
      <c r="N39" s="77">
        <f t="shared" si="5"/>
        <v>0</v>
      </c>
      <c r="O39" s="77">
        <f t="shared" si="5"/>
        <v>0</v>
      </c>
      <c r="P39" s="77">
        <f t="shared" si="5"/>
        <v>14.659840000000003</v>
      </c>
      <c r="Q39" s="77">
        <f t="shared" si="10"/>
        <v>59.555599999999998</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16</v>
      </c>
      <c r="C40" s="77">
        <f t="shared" si="6"/>
        <v>114.31856000000001</v>
      </c>
      <c r="D40" s="77">
        <f t="shared" si="7"/>
        <v>59.743781600000005</v>
      </c>
      <c r="E40" s="77">
        <f t="shared" si="8"/>
        <v>12.314618000000003</v>
      </c>
      <c r="F40" s="77">
        <f t="shared" si="9"/>
        <v>6.0531325120000004</v>
      </c>
      <c r="G40" s="77">
        <f t="shared" si="5"/>
        <v>4.1865120000000006E-2</v>
      </c>
      <c r="H40" s="77">
        <f t="shared" si="5"/>
        <v>0.4750352000000001</v>
      </c>
      <c r="I40" s="77">
        <f t="shared" si="5"/>
        <v>5.9626080000000012E-3</v>
      </c>
      <c r="J40" s="77">
        <f t="shared" si="5"/>
        <v>1.4096000000000003E-4</v>
      </c>
      <c r="K40" s="77">
        <f t="shared" si="5"/>
        <v>1.4096000000000003E-4</v>
      </c>
      <c r="L40" s="77">
        <f t="shared" si="5"/>
        <v>2.9742560000000005E-2</v>
      </c>
      <c r="M40" s="77">
        <f t="shared" si="5"/>
        <v>9.2469759999999998E-2</v>
      </c>
      <c r="N40" s="77">
        <f t="shared" si="5"/>
        <v>0</v>
      </c>
      <c r="O40" s="77">
        <f t="shared" si="5"/>
        <v>0</v>
      </c>
      <c r="P40" s="77">
        <f t="shared" si="5"/>
        <v>14.659840000000003</v>
      </c>
      <c r="Q40" s="77">
        <f t="shared" si="10"/>
        <v>59.555599999999998</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16</v>
      </c>
      <c r="C41" s="77">
        <f t="shared" si="6"/>
        <v>114.31856000000001</v>
      </c>
      <c r="D41" s="77">
        <f t="shared" si="7"/>
        <v>59.743781600000005</v>
      </c>
      <c r="E41" s="77">
        <f t="shared" si="8"/>
        <v>12.314618000000003</v>
      </c>
      <c r="F41" s="77">
        <f t="shared" si="9"/>
        <v>6.0531325120000004</v>
      </c>
      <c r="G41" s="77">
        <f t="shared" si="5"/>
        <v>4.1865120000000006E-2</v>
      </c>
      <c r="H41" s="77">
        <f t="shared" si="5"/>
        <v>0.4750352000000001</v>
      </c>
      <c r="I41" s="77">
        <f t="shared" si="5"/>
        <v>5.9626080000000012E-3</v>
      </c>
      <c r="J41" s="77">
        <f t="shared" si="5"/>
        <v>1.4096000000000003E-4</v>
      </c>
      <c r="K41" s="77">
        <f t="shared" si="5"/>
        <v>1.4096000000000003E-4</v>
      </c>
      <c r="L41" s="77">
        <f t="shared" si="5"/>
        <v>2.9742560000000005E-2</v>
      </c>
      <c r="M41" s="77">
        <f t="shared" si="5"/>
        <v>9.2469759999999998E-2</v>
      </c>
      <c r="N41" s="77">
        <f t="shared" si="5"/>
        <v>0</v>
      </c>
      <c r="O41" s="77">
        <f t="shared" si="5"/>
        <v>0</v>
      </c>
      <c r="P41" s="77">
        <f t="shared" si="5"/>
        <v>14.659840000000003</v>
      </c>
      <c r="Q41" s="77">
        <f t="shared" si="10"/>
        <v>59.555599999999998</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16</v>
      </c>
      <c r="C42" s="77">
        <f t="shared" si="6"/>
        <v>114.31856000000001</v>
      </c>
      <c r="D42" s="77">
        <f t="shared" si="7"/>
        <v>59.743781600000005</v>
      </c>
      <c r="E42" s="77">
        <f t="shared" si="8"/>
        <v>12.314618000000003</v>
      </c>
      <c r="F42" s="77">
        <f t="shared" si="9"/>
        <v>6.0531325120000004</v>
      </c>
      <c r="G42" s="77">
        <f t="shared" si="5"/>
        <v>4.1865120000000006E-2</v>
      </c>
      <c r="H42" s="77">
        <f t="shared" si="5"/>
        <v>0.4750352000000001</v>
      </c>
      <c r="I42" s="77">
        <f t="shared" si="5"/>
        <v>5.9626080000000012E-3</v>
      </c>
      <c r="J42" s="77">
        <f t="shared" si="5"/>
        <v>1.4096000000000003E-4</v>
      </c>
      <c r="K42" s="77">
        <f t="shared" si="5"/>
        <v>1.4096000000000003E-4</v>
      </c>
      <c r="L42" s="77">
        <f t="shared" si="5"/>
        <v>2.9742560000000005E-2</v>
      </c>
      <c r="M42" s="77">
        <f t="shared" si="5"/>
        <v>9.2469759999999998E-2</v>
      </c>
      <c r="N42" s="77">
        <f t="shared" si="5"/>
        <v>0</v>
      </c>
      <c r="O42" s="77">
        <f t="shared" si="5"/>
        <v>0</v>
      </c>
      <c r="P42" s="77">
        <f t="shared" si="5"/>
        <v>14.659840000000003</v>
      </c>
      <c r="Q42" s="77">
        <f t="shared" si="10"/>
        <v>59.555599999999998</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16</v>
      </c>
      <c r="C43" s="77">
        <f t="shared" si="6"/>
        <v>114.31856000000001</v>
      </c>
      <c r="D43" s="77">
        <f t="shared" si="7"/>
        <v>59.743781600000005</v>
      </c>
      <c r="E43" s="77">
        <f t="shared" si="8"/>
        <v>12.314618000000003</v>
      </c>
      <c r="F43" s="77">
        <f t="shared" si="9"/>
        <v>6.0531325120000004</v>
      </c>
      <c r="G43" s="77">
        <f t="shared" si="5"/>
        <v>4.1865120000000006E-2</v>
      </c>
      <c r="H43" s="77">
        <f t="shared" si="5"/>
        <v>0.4750352000000001</v>
      </c>
      <c r="I43" s="77">
        <f t="shared" si="5"/>
        <v>5.9626080000000012E-3</v>
      </c>
      <c r="J43" s="77">
        <f t="shared" si="5"/>
        <v>1.4096000000000003E-4</v>
      </c>
      <c r="K43" s="77">
        <f t="shared" si="5"/>
        <v>1.4096000000000003E-4</v>
      </c>
      <c r="L43" s="77">
        <f t="shared" si="5"/>
        <v>2.9742560000000005E-2</v>
      </c>
      <c r="M43" s="77">
        <f t="shared" si="5"/>
        <v>9.2469759999999998E-2</v>
      </c>
      <c r="N43" s="77">
        <f t="shared" si="5"/>
        <v>0</v>
      </c>
      <c r="O43" s="77">
        <f t="shared" si="5"/>
        <v>0</v>
      </c>
      <c r="P43" s="77">
        <f t="shared" si="5"/>
        <v>14.659840000000003</v>
      </c>
      <c r="Q43" s="77">
        <f t="shared" si="10"/>
        <v>59.555599999999998</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16</v>
      </c>
      <c r="C44" s="77">
        <f t="shared" si="6"/>
        <v>114.31856000000001</v>
      </c>
      <c r="D44" s="77">
        <f t="shared" si="7"/>
        <v>59.743781600000005</v>
      </c>
      <c r="E44" s="77">
        <f t="shared" si="8"/>
        <v>12.314618000000003</v>
      </c>
      <c r="F44" s="77">
        <f t="shared" si="9"/>
        <v>6.0531325120000004</v>
      </c>
      <c r="G44" s="77">
        <f t="shared" si="5"/>
        <v>4.1865120000000006E-2</v>
      </c>
      <c r="H44" s="77">
        <f t="shared" si="5"/>
        <v>0.4750352000000001</v>
      </c>
      <c r="I44" s="77">
        <f t="shared" si="5"/>
        <v>5.9626080000000012E-3</v>
      </c>
      <c r="J44" s="77">
        <f t="shared" si="5"/>
        <v>1.4096000000000003E-4</v>
      </c>
      <c r="K44" s="77">
        <f t="shared" si="5"/>
        <v>1.4096000000000003E-4</v>
      </c>
      <c r="L44" s="77">
        <f t="shared" si="5"/>
        <v>2.9742560000000005E-2</v>
      </c>
      <c r="M44" s="77">
        <f t="shared" si="5"/>
        <v>9.2469759999999998E-2</v>
      </c>
      <c r="N44" s="77">
        <f t="shared" si="5"/>
        <v>0</v>
      </c>
      <c r="O44" s="77">
        <f t="shared" si="5"/>
        <v>0</v>
      </c>
      <c r="P44" s="77">
        <f t="shared" si="5"/>
        <v>14.659840000000003</v>
      </c>
      <c r="Q44" s="77">
        <f t="shared" si="10"/>
        <v>59.555599999999998</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16</v>
      </c>
      <c r="B45" s="15">
        <v>16</v>
      </c>
      <c r="C45" s="77">
        <f t="shared" si="6"/>
        <v>114.31856000000001</v>
      </c>
      <c r="D45" s="77">
        <f t="shared" si="7"/>
        <v>59.743781600000005</v>
      </c>
      <c r="E45" s="77">
        <f t="shared" si="8"/>
        <v>12.314618000000003</v>
      </c>
      <c r="F45" s="77">
        <f t="shared" si="9"/>
        <v>6.0531325120000004</v>
      </c>
      <c r="G45" s="77">
        <f t="shared" si="5"/>
        <v>4.1865120000000006E-2</v>
      </c>
      <c r="H45" s="77">
        <f t="shared" si="5"/>
        <v>0.4750352000000001</v>
      </c>
      <c r="I45" s="77">
        <f t="shared" si="5"/>
        <v>5.9626080000000012E-3</v>
      </c>
      <c r="J45" s="77">
        <f t="shared" si="5"/>
        <v>1.4096000000000003E-4</v>
      </c>
      <c r="K45" s="77">
        <f t="shared" si="5"/>
        <v>1.4096000000000003E-4</v>
      </c>
      <c r="L45" s="77">
        <f t="shared" si="5"/>
        <v>2.9742560000000005E-2</v>
      </c>
      <c r="M45" s="77">
        <f t="shared" si="5"/>
        <v>9.2469759999999998E-2</v>
      </c>
      <c r="N45" s="77">
        <f t="shared" si="5"/>
        <v>0</v>
      </c>
      <c r="O45" s="77">
        <f t="shared" si="5"/>
        <v>0</v>
      </c>
      <c r="P45" s="77">
        <f t="shared" si="5"/>
        <v>14.659840000000003</v>
      </c>
      <c r="Q45" s="77">
        <f t="shared" si="10"/>
        <v>59.555599999999998</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17</v>
      </c>
      <c r="B46" s="15">
        <v>16</v>
      </c>
      <c r="C46" s="77">
        <f t="shared" si="6"/>
        <v>114.31856000000001</v>
      </c>
      <c r="D46" s="77">
        <f t="shared" si="7"/>
        <v>59.743781600000005</v>
      </c>
      <c r="E46" s="77">
        <f t="shared" si="8"/>
        <v>12.314618000000003</v>
      </c>
      <c r="F46" s="77">
        <f t="shared" si="9"/>
        <v>6.0531325120000004</v>
      </c>
      <c r="G46" s="77">
        <f t="shared" si="5"/>
        <v>4.1865120000000006E-2</v>
      </c>
      <c r="H46" s="77">
        <f t="shared" si="5"/>
        <v>0.4750352000000001</v>
      </c>
      <c r="I46" s="77">
        <f t="shared" si="5"/>
        <v>5.9626080000000012E-3</v>
      </c>
      <c r="J46" s="77">
        <f t="shared" si="5"/>
        <v>1.4096000000000003E-4</v>
      </c>
      <c r="K46" s="77">
        <f t="shared" si="5"/>
        <v>1.4096000000000003E-4</v>
      </c>
      <c r="L46" s="77">
        <f t="shared" si="5"/>
        <v>2.9742560000000005E-2</v>
      </c>
      <c r="M46" s="77">
        <f t="shared" si="5"/>
        <v>9.2469759999999998E-2</v>
      </c>
      <c r="N46" s="77">
        <f t="shared" si="5"/>
        <v>0</v>
      </c>
      <c r="O46" s="77">
        <f t="shared" si="5"/>
        <v>0</v>
      </c>
      <c r="P46" s="77">
        <f t="shared" si="5"/>
        <v>14.659840000000003</v>
      </c>
      <c r="Q46" s="77">
        <f t="shared" si="10"/>
        <v>59.555599999999998</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18</v>
      </c>
      <c r="B47" s="15">
        <v>16</v>
      </c>
      <c r="C47" s="77">
        <f t="shared" si="6"/>
        <v>114.31856000000001</v>
      </c>
      <c r="D47" s="77">
        <f t="shared" si="7"/>
        <v>59.743781600000005</v>
      </c>
      <c r="E47" s="77">
        <f t="shared" si="8"/>
        <v>12.314618000000003</v>
      </c>
      <c r="F47" s="77">
        <f t="shared" si="9"/>
        <v>6.0531325120000004</v>
      </c>
      <c r="G47" s="77">
        <f t="shared" ref="G47:P50" si="12">IF(G$27="%w/w SAR",((G$28*10)*$B47),IF(G$27="%w/w DM",(((G$28*10)*($B$28/100))*$B47),IF(G$27="kg/t SAR",(G$28*$B47),IF(G$27="kg/t DM",((G$28*($B$28/100))*$B47),IF(G$27="mg/kg SAR",((G$28*0.001)*$B47),IF(G$27="mg/kg DM",(((G$28*0.001)*($B$28/100))*$B47),0))))))</f>
        <v>4.1865120000000006E-2</v>
      </c>
      <c r="H47" s="77">
        <f t="shared" si="12"/>
        <v>0.4750352000000001</v>
      </c>
      <c r="I47" s="77">
        <f t="shared" si="12"/>
        <v>5.9626080000000012E-3</v>
      </c>
      <c r="J47" s="77">
        <f t="shared" si="12"/>
        <v>1.4096000000000003E-4</v>
      </c>
      <c r="K47" s="77">
        <f t="shared" si="12"/>
        <v>1.4096000000000003E-4</v>
      </c>
      <c r="L47" s="77">
        <f t="shared" si="12"/>
        <v>2.9742560000000005E-2</v>
      </c>
      <c r="M47" s="77">
        <f t="shared" si="12"/>
        <v>9.2469759999999998E-2</v>
      </c>
      <c r="N47" s="77">
        <f t="shared" si="12"/>
        <v>0</v>
      </c>
      <c r="O47" s="77">
        <f t="shared" si="12"/>
        <v>0</v>
      </c>
      <c r="P47" s="77">
        <f t="shared" si="12"/>
        <v>14.659840000000003</v>
      </c>
      <c r="Q47" s="77">
        <f t="shared" si="10"/>
        <v>59.555599999999998</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19</v>
      </c>
      <c r="B48" s="15">
        <v>16</v>
      </c>
      <c r="C48" s="77">
        <f t="shared" si="6"/>
        <v>114.31856000000001</v>
      </c>
      <c r="D48" s="77">
        <f t="shared" si="7"/>
        <v>59.743781600000005</v>
      </c>
      <c r="E48" s="77">
        <f t="shared" si="8"/>
        <v>12.314618000000003</v>
      </c>
      <c r="F48" s="77">
        <f t="shared" si="9"/>
        <v>6.0531325120000004</v>
      </c>
      <c r="G48" s="77">
        <f t="shared" si="12"/>
        <v>4.1865120000000006E-2</v>
      </c>
      <c r="H48" s="77">
        <f t="shared" si="12"/>
        <v>0.4750352000000001</v>
      </c>
      <c r="I48" s="77">
        <f t="shared" si="12"/>
        <v>5.9626080000000012E-3</v>
      </c>
      <c r="J48" s="77">
        <f t="shared" si="12"/>
        <v>1.4096000000000003E-4</v>
      </c>
      <c r="K48" s="77">
        <f t="shared" si="12"/>
        <v>1.4096000000000003E-4</v>
      </c>
      <c r="L48" s="77">
        <f t="shared" si="12"/>
        <v>2.9742560000000005E-2</v>
      </c>
      <c r="M48" s="77">
        <f t="shared" si="12"/>
        <v>9.2469759999999998E-2</v>
      </c>
      <c r="N48" s="77">
        <f t="shared" si="12"/>
        <v>0</v>
      </c>
      <c r="O48" s="77">
        <f t="shared" si="12"/>
        <v>0</v>
      </c>
      <c r="P48" s="77">
        <f t="shared" si="12"/>
        <v>14.659840000000003</v>
      </c>
      <c r="Q48" s="77">
        <f t="shared" si="10"/>
        <v>59.555599999999998</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x14ac:dyDescent="0.2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str">
        <f>S16&amp;" I "&amp;(VLOOKUP(S14,Table24581114[],6,FALSE))</f>
        <v>Medium/Clay I Grass</v>
      </c>
      <c r="S58" s="13" t="str">
        <f>T16&amp;" I "&amp;(VLOOKUP(T14,Table24581114[],6,FALSE))</f>
        <v>Medium/Clay I Grass</v>
      </c>
      <c r="T58" s="13" t="e">
        <f>U16&amp;" I "&amp;(VLOOKUP(U14,Table24581114[],6,FALSE))</f>
        <v>#N/A</v>
      </c>
      <c r="U58" s="13" t="e">
        <f>V16&amp;" I "&amp;(VLOOKUP(V14,Table24581114[],6,FALSE))</f>
        <v>#N/A</v>
      </c>
    </row>
    <row r="59" spans="1:35" s="19" customFormat="1" x14ac:dyDescent="0.2">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f>VLOOKUP(R$14,Table24581114[],5,FALSE)</f>
        <v>6.2</v>
      </c>
      <c r="R59" s="76">
        <f>VLOOKUP(S$14,Table24581114[],5,FALSE)</f>
        <v>6.2</v>
      </c>
      <c r="S59" s="76">
        <f>VLOOKUP(T$14,Table24581114[],5,FALSE)</f>
        <v>6.2</v>
      </c>
      <c r="T59" s="76" t="e">
        <f>VLOOKUP(U$14,Table24581114[],5,FALSE)</f>
        <v>#N/A</v>
      </c>
      <c r="U59" s="76" t="e">
        <f>VLOOKUP(V$14,Table24581114[],5,FALSE)</f>
        <v>#N/A</v>
      </c>
    </row>
    <row r="60" spans="1:35" s="19" customFormat="1" x14ac:dyDescent="0.2">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t="e">
        <f t="shared" si="15"/>
        <v>#N/A</v>
      </c>
      <c r="U61" s="76" t="e">
        <f t="shared" si="15"/>
        <v>#N/A</v>
      </c>
    </row>
    <row r="62" spans="1:35" s="19" customFormat="1" x14ac:dyDescent="0.2">
      <c r="A62" s="111" t="s">
        <v>134</v>
      </c>
      <c r="B62" s="77">
        <f>B31</f>
        <v>16</v>
      </c>
      <c r="C62" s="77">
        <f>B32</f>
        <v>16</v>
      </c>
      <c r="D62" s="77">
        <f>B33</f>
        <v>16</v>
      </c>
      <c r="E62" s="77">
        <f>B34</f>
        <v>16</v>
      </c>
      <c r="F62" s="77">
        <f>B35</f>
        <v>16</v>
      </c>
      <c r="G62" s="77">
        <f>B36</f>
        <v>16</v>
      </c>
      <c r="H62" s="77">
        <f>B37</f>
        <v>16</v>
      </c>
      <c r="I62" s="77">
        <f>B38</f>
        <v>16</v>
      </c>
      <c r="J62" s="77">
        <f>B39</f>
        <v>16</v>
      </c>
      <c r="K62" s="77">
        <f>B40</f>
        <v>16</v>
      </c>
      <c r="L62" s="77">
        <f>B41</f>
        <v>16</v>
      </c>
      <c r="M62" s="77">
        <f>B42</f>
        <v>16</v>
      </c>
      <c r="N62" s="77">
        <f>B43</f>
        <v>16</v>
      </c>
      <c r="O62" s="77">
        <f>B44</f>
        <v>16</v>
      </c>
      <c r="P62" s="77">
        <f>B45</f>
        <v>16</v>
      </c>
      <c r="Q62" s="77">
        <f>B46</f>
        <v>16</v>
      </c>
      <c r="R62" s="77">
        <f>B47</f>
        <v>16</v>
      </c>
      <c r="S62" s="77">
        <f>B48</f>
        <v>16</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-1.7999999999999989</v>
      </c>
      <c r="D64" s="77">
        <f t="shared" si="17"/>
        <v>0.6000000000000032</v>
      </c>
      <c r="E64" s="77">
        <f t="shared" si="17"/>
        <v>0</v>
      </c>
      <c r="F64" s="77">
        <f t="shared" si="17"/>
        <v>1.2000000000000011</v>
      </c>
      <c r="G64" s="77">
        <f t="shared" si="17"/>
        <v>0.6000000000000032</v>
      </c>
      <c r="H64" s="77">
        <f t="shared" si="17"/>
        <v>-3</v>
      </c>
      <c r="I64" s="77">
        <f t="shared" si="17"/>
        <v>0.6000000000000032</v>
      </c>
      <c r="J64" s="77">
        <f t="shared" si="17"/>
        <v>1.2000000000000011</v>
      </c>
      <c r="K64" s="77">
        <f t="shared" si="17"/>
        <v>1.7999999999999989</v>
      </c>
      <c r="L64" s="77">
        <f t="shared" si="17"/>
        <v>1.7999999999999989</v>
      </c>
      <c r="M64" s="77">
        <f t="shared" si="17"/>
        <v>2.4000000000000021</v>
      </c>
      <c r="N64" s="77">
        <f t="shared" si="17"/>
        <v>2.4000000000000021</v>
      </c>
      <c r="O64" s="77">
        <f t="shared" si="17"/>
        <v>-1.2000000000000011</v>
      </c>
      <c r="P64" s="77">
        <f t="shared" si="17"/>
        <v>-2.3999999999999968</v>
      </c>
      <c r="Q64" s="77">
        <f t="shared" si="17"/>
        <v>-1.7999999999999989</v>
      </c>
      <c r="R64" s="77">
        <f t="shared" si="17"/>
        <v>-6.5999999999999979</v>
      </c>
      <c r="S64" s="77">
        <f t="shared" si="17"/>
        <v>-5.3999999999999968</v>
      </c>
      <c r="T64" s="77" t="e">
        <f t="shared" si="17"/>
        <v>#N/A</v>
      </c>
      <c r="U64" s="77" t="e">
        <f t="shared" si="17"/>
        <v>#N/A</v>
      </c>
    </row>
    <row r="65" spans="1:21" s="19" customFormat="1" ht="51" x14ac:dyDescent="0.2">
      <c r="A65" s="112" t="s">
        <v>157</v>
      </c>
      <c r="B65" s="77">
        <f>B63-B64</f>
        <v>0</v>
      </c>
      <c r="C65" s="77">
        <f t="shared" ref="C65:U65" si="18">C63-C64</f>
        <v>1.7999999999999989</v>
      </c>
      <c r="D65" s="77">
        <f t="shared" si="18"/>
        <v>-0.6000000000000032</v>
      </c>
      <c r="E65" s="77">
        <f t="shared" si="18"/>
        <v>0</v>
      </c>
      <c r="F65" s="77">
        <f t="shared" si="18"/>
        <v>-1.2000000000000011</v>
      </c>
      <c r="G65" s="77">
        <f t="shared" si="18"/>
        <v>-0.6000000000000032</v>
      </c>
      <c r="H65" s="77">
        <f t="shared" si="18"/>
        <v>3</v>
      </c>
      <c r="I65" s="77">
        <f t="shared" si="18"/>
        <v>-0.6000000000000032</v>
      </c>
      <c r="J65" s="77">
        <f t="shared" si="18"/>
        <v>-1.2000000000000011</v>
      </c>
      <c r="K65" s="77">
        <f t="shared" si="18"/>
        <v>-1.7999999999999989</v>
      </c>
      <c r="L65" s="77">
        <f t="shared" si="18"/>
        <v>-1.7999999999999989</v>
      </c>
      <c r="M65" s="77">
        <f t="shared" si="18"/>
        <v>-2.4000000000000021</v>
      </c>
      <c r="N65" s="77">
        <f t="shared" si="18"/>
        <v>-2.4000000000000021</v>
      </c>
      <c r="O65" s="77">
        <f t="shared" si="18"/>
        <v>1.2000000000000011</v>
      </c>
      <c r="P65" s="77">
        <f t="shared" si="18"/>
        <v>2.3999999999999968</v>
      </c>
      <c r="Q65" s="77">
        <f t="shared" si="18"/>
        <v>1.7999999999999989</v>
      </c>
      <c r="R65" s="77">
        <f t="shared" si="18"/>
        <v>6.5999999999999979</v>
      </c>
      <c r="S65" s="77">
        <f t="shared" si="18"/>
        <v>5.3999999999999968</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F29" sqref="F2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PAN-018528</v>
      </c>
      <c r="D1" s="141"/>
      <c r="E1" s="93" t="s">
        <v>45</v>
      </c>
      <c r="F1" s="39">
        <f>Secanim!F1</f>
        <v>39.5</v>
      </c>
      <c r="G1" s="123" t="s">
        <v>43</v>
      </c>
      <c r="H1" s="124"/>
      <c r="I1" s="118">
        <v>3.76</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EPR-KP3594VE</v>
      </c>
      <c r="D2" s="143"/>
      <c r="E2" s="93" t="s">
        <v>109</v>
      </c>
      <c r="F2" s="96" t="s">
        <v>180</v>
      </c>
      <c r="G2" s="125" t="s">
        <v>110</v>
      </c>
      <c r="H2" s="126"/>
      <c r="I2" s="118">
        <v>516</v>
      </c>
      <c r="J2" s="127" t="s">
        <v>158</v>
      </c>
      <c r="K2" s="127"/>
      <c r="L2" s="97">
        <v>0.06</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7" t="s">
        <v>159</v>
      </c>
      <c r="H3" s="127"/>
      <c r="I3" s="118"/>
      <c r="J3" s="123" t="s">
        <v>154</v>
      </c>
      <c r="K3" s="124"/>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Fron Farm, Moel y Crio, CH7 5QW</v>
      </c>
      <c r="D4" s="141"/>
      <c r="E4" s="94" t="s">
        <v>1</v>
      </c>
      <c r="F4" s="96" t="s">
        <v>172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8</v>
      </c>
      <c r="K8" s="60">
        <f>Secanim!K8</f>
        <v>9</v>
      </c>
      <c r="L8" s="60">
        <f>Secanim!L8</f>
        <v>10</v>
      </c>
      <c r="M8" s="60">
        <f>Secanim!M8</f>
        <v>11</v>
      </c>
      <c r="N8" s="60">
        <f>Secanim!N8</f>
        <v>12</v>
      </c>
      <c r="O8" s="60">
        <f>Secanim!O8</f>
        <v>13</v>
      </c>
      <c r="P8" s="60">
        <f>Secanim!P8</f>
        <v>14</v>
      </c>
      <c r="Q8" s="60">
        <f>Secanim!Q8</f>
        <v>16</v>
      </c>
      <c r="R8" s="60">
        <f>Secanim!R8</f>
        <v>17</v>
      </c>
      <c r="S8" s="60">
        <f>Secanim!S8</f>
        <v>18</v>
      </c>
      <c r="T8" s="60">
        <f>Secanim!T8</f>
        <v>19</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6.2</v>
      </c>
      <c r="D10" s="60">
        <f>Secanim!D10</f>
        <v>6.5</v>
      </c>
      <c r="E10" s="60">
        <f>Secanim!E10</f>
        <v>6.1</v>
      </c>
      <c r="F10" s="60">
        <f>Secanim!F10</f>
        <v>6.2</v>
      </c>
      <c r="G10" s="60">
        <f>Secanim!G10</f>
        <v>6</v>
      </c>
      <c r="H10" s="60">
        <f>Secanim!H10</f>
        <v>6.1</v>
      </c>
      <c r="I10" s="60">
        <f>Secanim!I10</f>
        <v>6.7</v>
      </c>
      <c r="J10" s="60">
        <f>Secanim!J10</f>
        <v>6.1</v>
      </c>
      <c r="K10" s="60">
        <f>Secanim!K10</f>
        <v>6</v>
      </c>
      <c r="L10" s="60">
        <f>Secanim!L10</f>
        <v>5.9</v>
      </c>
      <c r="M10" s="60">
        <f>Secanim!M10</f>
        <v>5.9</v>
      </c>
      <c r="N10" s="60">
        <f>Secanim!N10</f>
        <v>5.8</v>
      </c>
      <c r="O10" s="60">
        <f>Secanim!O10</f>
        <v>5.8</v>
      </c>
      <c r="P10" s="60">
        <f>Secanim!P10</f>
        <v>6.4</v>
      </c>
      <c r="Q10" s="60">
        <f>Secanim!Q10</f>
        <v>6.6</v>
      </c>
      <c r="R10" s="60">
        <f>Secanim!R10</f>
        <v>6.5</v>
      </c>
      <c r="S10" s="60">
        <f>Secanim!S10</f>
        <v>7.3</v>
      </c>
      <c r="T10" s="60">
        <f>Secanim!T10</f>
        <v>7.1</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2</v>
      </c>
      <c r="D11" s="60">
        <f>Secanim!D11</f>
        <v>3</v>
      </c>
      <c r="E11" s="60">
        <f>Secanim!E11</f>
        <v>2</v>
      </c>
      <c r="F11" s="60">
        <f>Secanim!F11</f>
        <v>1</v>
      </c>
      <c r="G11" s="60">
        <f>Secanim!G11</f>
        <v>1</v>
      </c>
      <c r="H11" s="60">
        <f>Secanim!H11</f>
        <v>1</v>
      </c>
      <c r="I11" s="60">
        <f>Secanim!I11</f>
        <v>1</v>
      </c>
      <c r="J11" s="60">
        <f>Secanim!J11</f>
        <v>1</v>
      </c>
      <c r="K11" s="60">
        <f>Secanim!K11</f>
        <v>1</v>
      </c>
      <c r="L11" s="60">
        <f>Secanim!L11</f>
        <v>1</v>
      </c>
      <c r="M11" s="60">
        <f>Secanim!M11</f>
        <v>1</v>
      </c>
      <c r="N11" s="60">
        <f>Secanim!N11</f>
        <v>0</v>
      </c>
      <c r="O11" s="60">
        <f>Secanim!O11</f>
        <v>0</v>
      </c>
      <c r="P11" s="60">
        <f>Secanim!P11</f>
        <v>1</v>
      </c>
      <c r="Q11" s="60">
        <f>Secanim!Q11</f>
        <v>3</v>
      </c>
      <c r="R11" s="60">
        <f>Secanim!R11</f>
        <v>2</v>
      </c>
      <c r="S11" s="60">
        <f>Secanim!S11</f>
        <v>3</v>
      </c>
      <c r="T11" s="60">
        <f>Secanim!T11</f>
        <v>1</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t="str">
        <f>Secanim!D12</f>
        <v>2-</v>
      </c>
      <c r="E12" s="60">
        <f>Secanim!E12</f>
        <v>1</v>
      </c>
      <c r="F12" s="60">
        <f>Secanim!F12</f>
        <v>0</v>
      </c>
      <c r="G12" s="60">
        <f>Secanim!G12</f>
        <v>1</v>
      </c>
      <c r="H12" s="60">
        <f>Secanim!H12</f>
        <v>1</v>
      </c>
      <c r="I12" s="60">
        <f>Secanim!I12</f>
        <v>1</v>
      </c>
      <c r="J12" s="60">
        <f>Secanim!J12</f>
        <v>1</v>
      </c>
      <c r="K12" s="60">
        <f>Secanim!K12</f>
        <v>0</v>
      </c>
      <c r="L12" s="60">
        <f>Secanim!L12</f>
        <v>0</v>
      </c>
      <c r="M12" s="60" t="str">
        <f>Secanim!M12</f>
        <v>2-</v>
      </c>
      <c r="N12" s="60">
        <f>Secanim!N12</f>
        <v>0</v>
      </c>
      <c r="O12" s="60">
        <f>Secanim!O12</f>
        <v>0</v>
      </c>
      <c r="P12" s="60">
        <f>Secanim!P12</f>
        <v>1</v>
      </c>
      <c r="Q12" s="60">
        <f>Secanim!Q12</f>
        <v>1</v>
      </c>
      <c r="R12" s="60">
        <f>Secanim!R12</f>
        <v>1</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2</v>
      </c>
      <c r="R13" s="60">
        <f>Secanim!R13</f>
        <v>2</v>
      </c>
      <c r="S13" s="60">
        <f>Secanim!S13</f>
        <v>1</v>
      </c>
      <c r="T13" s="60">
        <f>Secanim!T13</f>
        <v>1</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56.587699999999998</v>
      </c>
      <c r="D18" s="16">
        <f>$D32</f>
        <v>56.587699999999998</v>
      </c>
      <c r="E18" s="16">
        <f>$D33</f>
        <v>56.587699999999998</v>
      </c>
      <c r="F18" s="16">
        <f>$D34</f>
        <v>56.587699999999998</v>
      </c>
      <c r="G18" s="16">
        <f>$D35</f>
        <v>56.587699999999998</v>
      </c>
      <c r="H18" s="16">
        <f>$D36</f>
        <v>56.587699999999998</v>
      </c>
      <c r="I18" s="16">
        <f>$D37</f>
        <v>56.587699999999998</v>
      </c>
      <c r="J18" s="16">
        <f>$D38</f>
        <v>56.587699999999998</v>
      </c>
      <c r="K18" s="16">
        <f>$D39</f>
        <v>56.587699999999998</v>
      </c>
      <c r="L18" s="16">
        <f>$D40</f>
        <v>56.587699999999998</v>
      </c>
      <c r="M18" s="16">
        <f>$D41</f>
        <v>56.587699999999998</v>
      </c>
      <c r="N18" s="16">
        <f>$D42</f>
        <v>56.587699999999998</v>
      </c>
      <c r="O18" s="16">
        <f>$D43</f>
        <v>56.587699999999998</v>
      </c>
      <c r="P18" s="16">
        <f>$D44</f>
        <v>56.587699999999998</v>
      </c>
      <c r="Q18" s="16">
        <f>$D45</f>
        <v>56.587699999999998</v>
      </c>
      <c r="R18" s="16">
        <f>$D46</f>
        <v>56.587699999999998</v>
      </c>
      <c r="S18" s="16">
        <f>$D47</f>
        <v>56.587699999999998</v>
      </c>
      <c r="T18" s="16">
        <f>$D48</f>
        <v>56.587699999999998</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-8.0122999999999962</v>
      </c>
      <c r="D19" s="16">
        <f t="shared" ref="D19:V19" si="1">D18-D17</f>
        <v>-8.0122999999999962</v>
      </c>
      <c r="E19" s="16">
        <f t="shared" si="1"/>
        <v>-8.0122999999999962</v>
      </c>
      <c r="F19" s="16">
        <f t="shared" si="1"/>
        <v>-8.0122999999999962</v>
      </c>
      <c r="G19" s="16">
        <f t="shared" si="1"/>
        <v>-8.0122999999999962</v>
      </c>
      <c r="H19" s="16">
        <f t="shared" si="1"/>
        <v>-8.0122999999999962</v>
      </c>
      <c r="I19" s="16">
        <f t="shared" si="1"/>
        <v>-8.0122999999999962</v>
      </c>
      <c r="J19" s="16">
        <f t="shared" si="1"/>
        <v>-8.0122999999999962</v>
      </c>
      <c r="K19" s="16">
        <f t="shared" si="1"/>
        <v>-8.0122999999999962</v>
      </c>
      <c r="L19" s="16">
        <f t="shared" si="1"/>
        <v>-8.0122999999999962</v>
      </c>
      <c r="M19" s="16">
        <f t="shared" si="1"/>
        <v>-8.0122999999999962</v>
      </c>
      <c r="N19" s="16">
        <f t="shared" si="1"/>
        <v>-8.0122999999999962</v>
      </c>
      <c r="O19" s="16">
        <f t="shared" si="1"/>
        <v>-8.0122999999999962</v>
      </c>
      <c r="P19" s="16">
        <f t="shared" si="1"/>
        <v>-8.0122999999999962</v>
      </c>
      <c r="Q19" s="16">
        <f t="shared" si="1"/>
        <v>-8.0122999999999962</v>
      </c>
      <c r="R19" s="16">
        <f t="shared" si="1"/>
        <v>-8.0122999999999962</v>
      </c>
      <c r="S19" s="16">
        <f t="shared" si="1"/>
        <v>-8.0122999999999962</v>
      </c>
      <c r="T19" s="16">
        <f t="shared" si="1"/>
        <v>-8.0122999999999962</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50.911250000000003</v>
      </c>
      <c r="D22" s="16">
        <f>$E32</f>
        <v>50.911250000000003</v>
      </c>
      <c r="E22" s="16">
        <f>$E33</f>
        <v>50.911250000000003</v>
      </c>
      <c r="F22" s="16">
        <f>$E34</f>
        <v>50.911250000000003</v>
      </c>
      <c r="G22" s="16">
        <f>$E35</f>
        <v>50.911250000000003</v>
      </c>
      <c r="H22" s="16">
        <f>$E36</f>
        <v>50.911250000000003</v>
      </c>
      <c r="I22" s="16">
        <f>$E37</f>
        <v>50.911250000000003</v>
      </c>
      <c r="J22" s="16">
        <f>$E38</f>
        <v>50.911250000000003</v>
      </c>
      <c r="K22" s="16">
        <f>$E39</f>
        <v>50.911250000000003</v>
      </c>
      <c r="L22" s="16">
        <f>$E40</f>
        <v>50.911250000000003</v>
      </c>
      <c r="M22" s="16">
        <f>$E41</f>
        <v>50.911250000000003</v>
      </c>
      <c r="N22" s="16">
        <f>$E42</f>
        <v>50.911250000000003</v>
      </c>
      <c r="O22" s="16">
        <f>$E43</f>
        <v>50.911250000000003</v>
      </c>
      <c r="P22" s="16">
        <f>$E44</f>
        <v>50.911250000000003</v>
      </c>
      <c r="Q22" s="16">
        <f>$E45</f>
        <v>50.911250000000003</v>
      </c>
      <c r="R22" s="16">
        <f>$E46</f>
        <v>50.911250000000003</v>
      </c>
      <c r="S22" s="16">
        <f>$E47</f>
        <v>50.911250000000003</v>
      </c>
      <c r="T22" s="16">
        <f>$E48</f>
        <v>50.911250000000003</v>
      </c>
      <c r="U22" s="16">
        <f>$E49</f>
        <v>0</v>
      </c>
      <c r="V22" s="16">
        <f>$E50</f>
        <v>0</v>
      </c>
      <c r="AI22" s="63" t="s">
        <v>102</v>
      </c>
      <c r="AJ22" s="64">
        <v>1.2</v>
      </c>
      <c r="AK22" s="65">
        <v>5</v>
      </c>
      <c r="AL22" s="29">
        <v>20</v>
      </c>
      <c r="AM22" s="11">
        <v>6.7</v>
      </c>
      <c r="AN22" s="11" t="s">
        <v>135</v>
      </c>
    </row>
    <row r="23" spans="1:40" x14ac:dyDescent="0.2">
      <c r="A23" s="131" t="s">
        <v>92</v>
      </c>
      <c r="B23" s="132"/>
      <c r="C23" s="16">
        <f>C22-C21</f>
        <v>-177.08875</v>
      </c>
      <c r="D23" s="16">
        <f t="shared" ref="D23:V23" si="3">D22-D21</f>
        <v>-177.08875</v>
      </c>
      <c r="E23" s="16">
        <f t="shared" si="3"/>
        <v>-177.08875</v>
      </c>
      <c r="F23" s="16">
        <f t="shared" si="3"/>
        <v>-177.08875</v>
      </c>
      <c r="G23" s="16">
        <f t="shared" si="3"/>
        <v>-177.08875</v>
      </c>
      <c r="H23" s="16">
        <f t="shared" si="3"/>
        <v>-177.08875</v>
      </c>
      <c r="I23" s="16">
        <f t="shared" si="3"/>
        <v>-177.08875</v>
      </c>
      <c r="J23" s="16">
        <f t="shared" si="3"/>
        <v>-177.08875</v>
      </c>
      <c r="K23" s="16">
        <f t="shared" si="3"/>
        <v>-177.08875</v>
      </c>
      <c r="L23" s="16">
        <f t="shared" si="3"/>
        <v>-177.08875</v>
      </c>
      <c r="M23" s="16">
        <f t="shared" si="3"/>
        <v>-177.08875</v>
      </c>
      <c r="N23" s="16">
        <f t="shared" si="3"/>
        <v>-177.08875</v>
      </c>
      <c r="O23" s="16">
        <f t="shared" si="3"/>
        <v>-177.08875</v>
      </c>
      <c r="P23" s="16">
        <f t="shared" si="3"/>
        <v>-177.08875</v>
      </c>
      <c r="Q23" s="16">
        <f t="shared" si="3"/>
        <v>-177.08875</v>
      </c>
      <c r="R23" s="16">
        <f t="shared" si="3"/>
        <v>-177.08875</v>
      </c>
      <c r="S23" s="16">
        <f t="shared" si="3"/>
        <v>-177.08875</v>
      </c>
      <c r="T23" s="16">
        <f t="shared" si="3"/>
        <v>-177.08875</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1.85</v>
      </c>
      <c r="C28" s="15">
        <v>0.06</v>
      </c>
      <c r="D28" s="15">
        <v>98.8</v>
      </c>
      <c r="E28" s="15">
        <v>169</v>
      </c>
      <c r="F28" s="15">
        <v>25.6</v>
      </c>
      <c r="G28" s="15">
        <v>0.221</v>
      </c>
      <c r="H28" s="15">
        <v>1</v>
      </c>
      <c r="I28" s="15">
        <v>0.5</v>
      </c>
      <c r="J28" s="15">
        <v>0.04</v>
      </c>
      <c r="K28" s="23">
        <v>0.05</v>
      </c>
      <c r="L28" s="15">
        <v>0.2</v>
      </c>
      <c r="M28" s="15">
        <v>0.2</v>
      </c>
      <c r="N28" s="15"/>
      <c r="O28" s="15"/>
      <c r="P28" s="15">
        <v>337</v>
      </c>
      <c r="Q28" s="15">
        <v>77.900000000000006</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250</v>
      </c>
      <c r="C31" s="77">
        <f>IF(C$27="%w/w SAR",((C$28*10)*$B31),IF(C$27="%w/w DM",(((C$28*10)*($B$28/100))*$B31),IF(C$27="kg/t SAR",(C$28*$B31),IF(C$27="kg/t DM",((C$28*($B$28/100))*$B31),IF(C$27="mg/kg SAR",((C$28*0.001)*$B31),IF(C$27="mg/kg DM",(((C$28*0.001)*($B$28/100))*$B31),0))))))</f>
        <v>150</v>
      </c>
      <c r="D31" s="77">
        <f>(IF(D$27="%w/w SAR",((D$28*10)*$B31),IF(D$27="%w/w DM",(((D$28*10)*($B$28/100))*$B31),IF(D$27="kg/t SAR",(D$28*$B31),IF(D$27="kg/t DM",((D$28*($B$28/100))*$B31),IF(D$27="mg/kg SAR",((D$28*0.001)*$B31),IF(D$27="mg/kg DM",(((D$28*0.001)*($B$28/100))*$B31),"0")))))))*2.291</f>
        <v>56.587699999999998</v>
      </c>
      <c r="E31" s="77">
        <f>(IF(E$27="%w/w SAR",((E$28*10)*$B31),IF(E$27="%w/w DM",(((E$28*10)*($B$28/100))*$B31),IF(E$27="kg/t SAR",(E$28*$B31),IF(E$27="kg/t DM",((E$28*($B$28/100))*$B31),IF(E$27="mg/kg SAR",((E$28*0.001)*$B31),IF(E$27="mg/kg DM",(((E$28*0.001)*($B$28/100))*$B31),"0")))))))*1.205</f>
        <v>50.911250000000003</v>
      </c>
      <c r="F31" s="77">
        <f>(IF(F$27="%w/w SAR",((F$28*10)*$B31),IF(F$27="%w/w DM",(((F$28*10)*($B$28/100))*$B31),IF(F$27="kg/t SAR",(F$28*$B31),IF(F$27="kg/t DM",((F$28*($B$28/100))*$B31),IF(F$27="mg/kg SAR",((F$28*0.001)*$B31),IF(F$27="mg/kg DM",(((F$28*0.001)*($B$28/100))*$B31),"0")))))))*1.658</f>
        <v>10.6112</v>
      </c>
      <c r="G31" s="77">
        <f t="shared" ref="G31:P46" si="5">IF(G$27="%w/w SAR",((G$28*10)*$B31),IF(G$27="%w/w DM",(((G$28*10)*($B$28/100))*$B31),IF(G$27="kg/t SAR",(G$28*$B31),IF(G$27="kg/t DM",((G$28*($B$28/100))*$B31),IF(G$27="mg/kg SAR",((G$28*0.001)*$B31),IF(G$27="mg/kg DM",(((G$28*0.001)*($B$28/100))*$B31),0))))))</f>
        <v>5.525E-2</v>
      </c>
      <c r="H31" s="77">
        <f t="shared" si="5"/>
        <v>0.25</v>
      </c>
      <c r="I31" s="77">
        <f t="shared" si="5"/>
        <v>0.125</v>
      </c>
      <c r="J31" s="77">
        <f t="shared" si="5"/>
        <v>0.01</v>
      </c>
      <c r="K31" s="77">
        <f t="shared" si="5"/>
        <v>1.2500000000000001E-2</v>
      </c>
      <c r="L31" s="77">
        <f t="shared" si="5"/>
        <v>0.05</v>
      </c>
      <c r="M31" s="77">
        <f t="shared" si="5"/>
        <v>0.05</v>
      </c>
      <c r="N31" s="77">
        <f t="shared" si="5"/>
        <v>0</v>
      </c>
      <c r="O31" s="77">
        <f t="shared" si="5"/>
        <v>0</v>
      </c>
      <c r="P31" s="77">
        <f t="shared" si="5"/>
        <v>84.25</v>
      </c>
      <c r="Q31" s="77">
        <f>(IF(Q$27="%w/w SAR",((Q$28*10)*$B31),IF(Q$27="%w/w DM",(((Q$28*10)*($B$28/100))*$B31),IF(Q$27="kg/t SAR",(Q$28*$B31),IF(Q$27="kg/t DM",((Q$28*($B$28/100))*$B31),IF(Q$27="mg/kg SAR",((Q$28*0.001)*$B31),IF(Q$27="mg/kg DM",(((Q$28*0.001)*($B$28/100))*$B31),0)))))))*2.5</f>
        <v>48.6875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250</v>
      </c>
      <c r="C32" s="77">
        <f t="shared" ref="C32:C50" si="6">IF(C$27="%w/w SAR",((C$28*10)*$B32),IF(C$27="%w/w DM",(((C$28*10)*($B$28/100))*$B32),IF(C$27="kg/t SAR",(C$28*$B32),IF(C$27="kg/t DM",((C$28*($B$28/100))*$B32),IF(C$27="mg/kg SAR",((C$28*0.001)*$B32),IF(C$27="mg/kg DM",(((C$28*0.001)*($B$28/100))*$B32),0))))))</f>
        <v>150</v>
      </c>
      <c r="D32" s="77">
        <f t="shared" ref="D32:D50" si="7">(IF(D$27="%w/w SAR",((D$28*10)*$B32),IF(D$27="%w/w DM",(((D$28*10)*($B$28/100))*$B32),IF(D$27="kg/t SAR",(D$28*$B32),IF(D$27="kg/t DM",((D$28*($B$28/100))*$B32),IF(D$27="mg/kg SAR",((D$28*0.001)*$B32),IF(D$27="mg/kg DM",(((D$28*0.001)*($B$28/100))*$B32),"0")))))))*2.291</f>
        <v>56.587699999999998</v>
      </c>
      <c r="E32" s="77">
        <f t="shared" ref="E32:E50" si="8">(IF(E$27="%w/w SAR",((E$28*10)*$B32),IF(E$27="%w/w DM",(((E$28*10)*($B$28/100))*$B32),IF(E$27="kg/t SAR",(E$28*$B32),IF(E$27="kg/t DM",((E$28*($B$28/100))*$B32),IF(E$27="mg/kg SAR",((E$28*0.001)*$B32),IF(E$27="mg/kg DM",(((E$28*0.001)*($B$28/100))*$B32),"0")))))))*1.205</f>
        <v>50.911250000000003</v>
      </c>
      <c r="F32" s="77">
        <f t="shared" ref="F32:F50" si="9">(IF(F$27="%w/w SAR",((F$28*10)*$B32),IF(F$27="%w/w DM",(((F$28*10)*($B$28/100))*$B32),IF(F$27="kg/t SAR",(F$28*$B32),IF(F$27="kg/t DM",((F$28*($B$28/100))*$B32),IF(F$27="mg/kg SAR",((F$28*0.001)*$B32),IF(F$27="mg/kg DM",(((F$28*0.001)*($B$28/100))*$B32),"0")))))))*1.658</f>
        <v>10.6112</v>
      </c>
      <c r="G32" s="77">
        <f t="shared" si="5"/>
        <v>5.525E-2</v>
      </c>
      <c r="H32" s="77">
        <f t="shared" si="5"/>
        <v>0.25</v>
      </c>
      <c r="I32" s="77">
        <f t="shared" si="5"/>
        <v>0.125</v>
      </c>
      <c r="J32" s="77">
        <f t="shared" si="5"/>
        <v>0.01</v>
      </c>
      <c r="K32" s="77">
        <f t="shared" si="5"/>
        <v>1.2500000000000001E-2</v>
      </c>
      <c r="L32" s="77">
        <f t="shared" si="5"/>
        <v>0.05</v>
      </c>
      <c r="M32" s="77">
        <f t="shared" si="5"/>
        <v>0.05</v>
      </c>
      <c r="N32" s="77">
        <f t="shared" si="5"/>
        <v>0</v>
      </c>
      <c r="O32" s="77">
        <f t="shared" si="5"/>
        <v>0</v>
      </c>
      <c r="P32" s="77">
        <f t="shared" si="5"/>
        <v>84.25</v>
      </c>
      <c r="Q32" s="77">
        <f t="shared" ref="Q32:Q50" si="10">(IF(Q$27="%w/w SAR",((Q$28*10)*$B32),IF(Q$27="%w/w DM",(((Q$28*10)*($B$28/100))*$B32),IF(Q$27="kg/t SAR",(Q$28*$B32),IF(Q$27="kg/t DM",((Q$28*($B$28/100))*$B32),IF(Q$27="mg/kg SAR",((Q$28*0.001)*$B32),IF(Q$27="mg/kg DM",(((Q$28*0.001)*($B$28/100))*$B32),0)))))))*2.5</f>
        <v>48.6875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250</v>
      </c>
      <c r="C33" s="77">
        <f t="shared" si="6"/>
        <v>150</v>
      </c>
      <c r="D33" s="77">
        <f t="shared" si="7"/>
        <v>56.587699999999998</v>
      </c>
      <c r="E33" s="77">
        <f t="shared" si="8"/>
        <v>50.911250000000003</v>
      </c>
      <c r="F33" s="77">
        <f t="shared" si="9"/>
        <v>10.6112</v>
      </c>
      <c r="G33" s="77">
        <f t="shared" si="5"/>
        <v>5.525E-2</v>
      </c>
      <c r="H33" s="77">
        <f t="shared" si="5"/>
        <v>0.25</v>
      </c>
      <c r="I33" s="77">
        <f t="shared" si="5"/>
        <v>0.125</v>
      </c>
      <c r="J33" s="77">
        <f t="shared" si="5"/>
        <v>0.01</v>
      </c>
      <c r="K33" s="77">
        <f t="shared" si="5"/>
        <v>1.2500000000000001E-2</v>
      </c>
      <c r="L33" s="77">
        <f t="shared" si="5"/>
        <v>0.05</v>
      </c>
      <c r="M33" s="77">
        <f t="shared" si="5"/>
        <v>0.05</v>
      </c>
      <c r="N33" s="77">
        <f t="shared" si="5"/>
        <v>0</v>
      </c>
      <c r="O33" s="77">
        <f t="shared" si="5"/>
        <v>0</v>
      </c>
      <c r="P33" s="77">
        <f t="shared" si="5"/>
        <v>84.25</v>
      </c>
      <c r="Q33" s="77">
        <f t="shared" si="10"/>
        <v>48.6875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250</v>
      </c>
      <c r="C34" s="77">
        <f t="shared" si="6"/>
        <v>150</v>
      </c>
      <c r="D34" s="77">
        <f t="shared" si="7"/>
        <v>56.587699999999998</v>
      </c>
      <c r="E34" s="77">
        <f t="shared" si="8"/>
        <v>50.911250000000003</v>
      </c>
      <c r="F34" s="77">
        <f t="shared" si="9"/>
        <v>10.6112</v>
      </c>
      <c r="G34" s="77">
        <f t="shared" si="5"/>
        <v>5.525E-2</v>
      </c>
      <c r="H34" s="77">
        <f t="shared" si="5"/>
        <v>0.25</v>
      </c>
      <c r="I34" s="77">
        <f t="shared" si="5"/>
        <v>0.125</v>
      </c>
      <c r="J34" s="77">
        <f t="shared" si="5"/>
        <v>0.01</v>
      </c>
      <c r="K34" s="77">
        <f t="shared" si="5"/>
        <v>1.2500000000000001E-2</v>
      </c>
      <c r="L34" s="77">
        <f t="shared" si="5"/>
        <v>0.05</v>
      </c>
      <c r="M34" s="77">
        <f t="shared" si="5"/>
        <v>0.05</v>
      </c>
      <c r="N34" s="77">
        <f t="shared" si="5"/>
        <v>0</v>
      </c>
      <c r="O34" s="77">
        <f t="shared" si="5"/>
        <v>0</v>
      </c>
      <c r="P34" s="77">
        <f t="shared" si="5"/>
        <v>84.25</v>
      </c>
      <c r="Q34" s="77">
        <f t="shared" si="10"/>
        <v>48.6875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150</v>
      </c>
      <c r="D35" s="77">
        <f t="shared" si="7"/>
        <v>56.587699999999998</v>
      </c>
      <c r="E35" s="77">
        <f t="shared" si="8"/>
        <v>50.911250000000003</v>
      </c>
      <c r="F35" s="77">
        <f t="shared" si="9"/>
        <v>10.6112</v>
      </c>
      <c r="G35" s="77">
        <f t="shared" si="5"/>
        <v>5.525E-2</v>
      </c>
      <c r="H35" s="77">
        <f t="shared" si="5"/>
        <v>0.25</v>
      </c>
      <c r="I35" s="77">
        <f t="shared" si="5"/>
        <v>0.125</v>
      </c>
      <c r="J35" s="77">
        <f t="shared" si="5"/>
        <v>0.01</v>
      </c>
      <c r="K35" s="77">
        <f t="shared" si="5"/>
        <v>1.2500000000000001E-2</v>
      </c>
      <c r="L35" s="77">
        <f t="shared" si="5"/>
        <v>0.05</v>
      </c>
      <c r="M35" s="77">
        <f t="shared" si="5"/>
        <v>0.05</v>
      </c>
      <c r="N35" s="77">
        <f t="shared" si="5"/>
        <v>0</v>
      </c>
      <c r="O35" s="77">
        <f t="shared" si="5"/>
        <v>0</v>
      </c>
      <c r="P35" s="77">
        <f t="shared" si="5"/>
        <v>84.25</v>
      </c>
      <c r="Q35" s="77">
        <f t="shared" si="10"/>
        <v>48.6875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250</v>
      </c>
      <c r="C36" s="77">
        <f t="shared" si="6"/>
        <v>150</v>
      </c>
      <c r="D36" s="77">
        <f t="shared" si="7"/>
        <v>56.587699999999998</v>
      </c>
      <c r="E36" s="77">
        <f t="shared" si="8"/>
        <v>50.911250000000003</v>
      </c>
      <c r="F36" s="77">
        <f t="shared" si="9"/>
        <v>10.6112</v>
      </c>
      <c r="G36" s="77">
        <f t="shared" si="5"/>
        <v>5.525E-2</v>
      </c>
      <c r="H36" s="77">
        <f t="shared" si="5"/>
        <v>0.25</v>
      </c>
      <c r="I36" s="77">
        <f t="shared" si="5"/>
        <v>0.125</v>
      </c>
      <c r="J36" s="77">
        <f t="shared" si="5"/>
        <v>0.01</v>
      </c>
      <c r="K36" s="77">
        <f t="shared" si="5"/>
        <v>1.2500000000000001E-2</v>
      </c>
      <c r="L36" s="77">
        <f t="shared" si="5"/>
        <v>0.05</v>
      </c>
      <c r="M36" s="77">
        <f t="shared" si="5"/>
        <v>0.05</v>
      </c>
      <c r="N36" s="77">
        <f t="shared" si="5"/>
        <v>0</v>
      </c>
      <c r="O36" s="77">
        <f t="shared" si="5"/>
        <v>0</v>
      </c>
      <c r="P36" s="77">
        <f t="shared" si="5"/>
        <v>84.25</v>
      </c>
      <c r="Q36" s="77">
        <f t="shared" si="10"/>
        <v>48.6875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150</v>
      </c>
      <c r="D37" s="77">
        <f t="shared" si="7"/>
        <v>56.587699999999998</v>
      </c>
      <c r="E37" s="77">
        <f t="shared" si="8"/>
        <v>50.911250000000003</v>
      </c>
      <c r="F37" s="77">
        <f t="shared" si="9"/>
        <v>10.6112</v>
      </c>
      <c r="G37" s="77">
        <f t="shared" si="5"/>
        <v>5.525E-2</v>
      </c>
      <c r="H37" s="77">
        <f t="shared" si="5"/>
        <v>0.25</v>
      </c>
      <c r="I37" s="77">
        <f t="shared" si="5"/>
        <v>0.125</v>
      </c>
      <c r="J37" s="77">
        <f t="shared" si="5"/>
        <v>0.01</v>
      </c>
      <c r="K37" s="77">
        <f t="shared" si="5"/>
        <v>1.2500000000000001E-2</v>
      </c>
      <c r="L37" s="77">
        <f t="shared" si="5"/>
        <v>0.05</v>
      </c>
      <c r="M37" s="77">
        <f t="shared" si="5"/>
        <v>0.05</v>
      </c>
      <c r="N37" s="77">
        <f t="shared" si="5"/>
        <v>0</v>
      </c>
      <c r="O37" s="77">
        <f t="shared" si="5"/>
        <v>0</v>
      </c>
      <c r="P37" s="77">
        <f t="shared" si="5"/>
        <v>84.25</v>
      </c>
      <c r="Q37" s="77">
        <f t="shared" si="10"/>
        <v>48.6875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250</v>
      </c>
      <c r="C38" s="77">
        <f t="shared" si="6"/>
        <v>150</v>
      </c>
      <c r="D38" s="77">
        <f t="shared" si="7"/>
        <v>56.587699999999998</v>
      </c>
      <c r="E38" s="77">
        <f t="shared" si="8"/>
        <v>50.911250000000003</v>
      </c>
      <c r="F38" s="77">
        <f t="shared" si="9"/>
        <v>10.6112</v>
      </c>
      <c r="G38" s="77">
        <f t="shared" si="5"/>
        <v>5.525E-2</v>
      </c>
      <c r="H38" s="77">
        <f t="shared" si="5"/>
        <v>0.25</v>
      </c>
      <c r="I38" s="77">
        <f t="shared" si="5"/>
        <v>0.125</v>
      </c>
      <c r="J38" s="77">
        <f t="shared" si="5"/>
        <v>0.01</v>
      </c>
      <c r="K38" s="77">
        <f t="shared" si="5"/>
        <v>1.2500000000000001E-2</v>
      </c>
      <c r="L38" s="77">
        <f t="shared" si="5"/>
        <v>0.05</v>
      </c>
      <c r="M38" s="77">
        <f t="shared" si="5"/>
        <v>0.05</v>
      </c>
      <c r="N38" s="77">
        <f t="shared" si="5"/>
        <v>0</v>
      </c>
      <c r="O38" s="77">
        <f t="shared" si="5"/>
        <v>0</v>
      </c>
      <c r="P38" s="77">
        <f t="shared" si="5"/>
        <v>84.25</v>
      </c>
      <c r="Q38" s="77">
        <f t="shared" si="10"/>
        <v>48.6875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250</v>
      </c>
      <c r="C39" s="77">
        <f t="shared" si="6"/>
        <v>150</v>
      </c>
      <c r="D39" s="77">
        <f t="shared" si="7"/>
        <v>56.587699999999998</v>
      </c>
      <c r="E39" s="77">
        <f t="shared" si="8"/>
        <v>50.911250000000003</v>
      </c>
      <c r="F39" s="77">
        <f t="shared" si="9"/>
        <v>10.6112</v>
      </c>
      <c r="G39" s="77">
        <f t="shared" si="5"/>
        <v>5.525E-2</v>
      </c>
      <c r="H39" s="77">
        <f t="shared" si="5"/>
        <v>0.25</v>
      </c>
      <c r="I39" s="77">
        <f t="shared" si="5"/>
        <v>0.125</v>
      </c>
      <c r="J39" s="77">
        <f t="shared" si="5"/>
        <v>0.01</v>
      </c>
      <c r="K39" s="77">
        <f t="shared" si="5"/>
        <v>1.2500000000000001E-2</v>
      </c>
      <c r="L39" s="77">
        <f t="shared" si="5"/>
        <v>0.05</v>
      </c>
      <c r="M39" s="77">
        <f t="shared" si="5"/>
        <v>0.05</v>
      </c>
      <c r="N39" s="77">
        <f t="shared" si="5"/>
        <v>0</v>
      </c>
      <c r="O39" s="77">
        <f t="shared" si="5"/>
        <v>0</v>
      </c>
      <c r="P39" s="77">
        <f t="shared" si="5"/>
        <v>84.25</v>
      </c>
      <c r="Q39" s="77">
        <f t="shared" si="10"/>
        <v>48.6875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250</v>
      </c>
      <c r="C40" s="77">
        <f t="shared" si="6"/>
        <v>150</v>
      </c>
      <c r="D40" s="77">
        <f t="shared" si="7"/>
        <v>56.587699999999998</v>
      </c>
      <c r="E40" s="77">
        <f t="shared" si="8"/>
        <v>50.911250000000003</v>
      </c>
      <c r="F40" s="77">
        <f t="shared" si="9"/>
        <v>10.6112</v>
      </c>
      <c r="G40" s="77">
        <f t="shared" si="5"/>
        <v>5.525E-2</v>
      </c>
      <c r="H40" s="77">
        <f t="shared" si="5"/>
        <v>0.25</v>
      </c>
      <c r="I40" s="77">
        <f t="shared" si="5"/>
        <v>0.125</v>
      </c>
      <c r="J40" s="77">
        <f t="shared" si="5"/>
        <v>0.01</v>
      </c>
      <c r="K40" s="77">
        <f t="shared" si="5"/>
        <v>1.2500000000000001E-2</v>
      </c>
      <c r="L40" s="77">
        <f t="shared" si="5"/>
        <v>0.05</v>
      </c>
      <c r="M40" s="77">
        <f t="shared" si="5"/>
        <v>0.05</v>
      </c>
      <c r="N40" s="77">
        <f t="shared" si="5"/>
        <v>0</v>
      </c>
      <c r="O40" s="77">
        <f t="shared" si="5"/>
        <v>0</v>
      </c>
      <c r="P40" s="77">
        <f t="shared" si="5"/>
        <v>84.25</v>
      </c>
      <c r="Q40" s="77">
        <f t="shared" si="10"/>
        <v>48.6875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250</v>
      </c>
      <c r="C41" s="77">
        <f t="shared" si="6"/>
        <v>150</v>
      </c>
      <c r="D41" s="77">
        <f t="shared" si="7"/>
        <v>56.587699999999998</v>
      </c>
      <c r="E41" s="77">
        <f t="shared" si="8"/>
        <v>50.911250000000003</v>
      </c>
      <c r="F41" s="77">
        <f t="shared" si="9"/>
        <v>10.6112</v>
      </c>
      <c r="G41" s="77">
        <f t="shared" si="5"/>
        <v>5.525E-2</v>
      </c>
      <c r="H41" s="77">
        <f t="shared" si="5"/>
        <v>0.25</v>
      </c>
      <c r="I41" s="77">
        <f t="shared" si="5"/>
        <v>0.125</v>
      </c>
      <c r="J41" s="77">
        <f t="shared" si="5"/>
        <v>0.01</v>
      </c>
      <c r="K41" s="77">
        <f t="shared" si="5"/>
        <v>1.2500000000000001E-2</v>
      </c>
      <c r="L41" s="77">
        <f t="shared" si="5"/>
        <v>0.05</v>
      </c>
      <c r="M41" s="77">
        <f t="shared" si="5"/>
        <v>0.05</v>
      </c>
      <c r="N41" s="77">
        <f t="shared" si="5"/>
        <v>0</v>
      </c>
      <c r="O41" s="77">
        <f t="shared" si="5"/>
        <v>0</v>
      </c>
      <c r="P41" s="77">
        <f t="shared" si="5"/>
        <v>84.25</v>
      </c>
      <c r="Q41" s="77">
        <f t="shared" si="10"/>
        <v>48.6875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250</v>
      </c>
      <c r="C42" s="77">
        <f t="shared" si="6"/>
        <v>150</v>
      </c>
      <c r="D42" s="77">
        <f t="shared" si="7"/>
        <v>56.587699999999998</v>
      </c>
      <c r="E42" s="77">
        <f t="shared" si="8"/>
        <v>50.911250000000003</v>
      </c>
      <c r="F42" s="77">
        <f t="shared" si="9"/>
        <v>10.6112</v>
      </c>
      <c r="G42" s="77">
        <f t="shared" si="5"/>
        <v>5.525E-2</v>
      </c>
      <c r="H42" s="77">
        <f t="shared" si="5"/>
        <v>0.25</v>
      </c>
      <c r="I42" s="77">
        <f t="shared" si="5"/>
        <v>0.125</v>
      </c>
      <c r="J42" s="77">
        <f t="shared" si="5"/>
        <v>0.01</v>
      </c>
      <c r="K42" s="77">
        <f t="shared" si="5"/>
        <v>1.2500000000000001E-2</v>
      </c>
      <c r="L42" s="77">
        <f t="shared" si="5"/>
        <v>0.05</v>
      </c>
      <c r="M42" s="77">
        <f t="shared" si="5"/>
        <v>0.05</v>
      </c>
      <c r="N42" s="77">
        <f t="shared" si="5"/>
        <v>0</v>
      </c>
      <c r="O42" s="77">
        <f t="shared" si="5"/>
        <v>0</v>
      </c>
      <c r="P42" s="77">
        <f t="shared" si="5"/>
        <v>84.25</v>
      </c>
      <c r="Q42" s="77">
        <f t="shared" si="10"/>
        <v>48.6875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250</v>
      </c>
      <c r="C43" s="77">
        <f t="shared" si="6"/>
        <v>150</v>
      </c>
      <c r="D43" s="77">
        <f t="shared" si="7"/>
        <v>56.587699999999998</v>
      </c>
      <c r="E43" s="77">
        <f t="shared" si="8"/>
        <v>50.911250000000003</v>
      </c>
      <c r="F43" s="77">
        <f t="shared" si="9"/>
        <v>10.6112</v>
      </c>
      <c r="G43" s="77">
        <f t="shared" si="5"/>
        <v>5.525E-2</v>
      </c>
      <c r="H43" s="77">
        <f t="shared" si="5"/>
        <v>0.25</v>
      </c>
      <c r="I43" s="77">
        <f t="shared" si="5"/>
        <v>0.125</v>
      </c>
      <c r="J43" s="77">
        <f t="shared" si="5"/>
        <v>0.01</v>
      </c>
      <c r="K43" s="77">
        <f t="shared" si="5"/>
        <v>1.2500000000000001E-2</v>
      </c>
      <c r="L43" s="77">
        <f t="shared" si="5"/>
        <v>0.05</v>
      </c>
      <c r="M43" s="77">
        <f t="shared" si="5"/>
        <v>0.05</v>
      </c>
      <c r="N43" s="77">
        <f t="shared" si="5"/>
        <v>0</v>
      </c>
      <c r="O43" s="77">
        <f t="shared" si="5"/>
        <v>0</v>
      </c>
      <c r="P43" s="77">
        <f t="shared" si="5"/>
        <v>84.25</v>
      </c>
      <c r="Q43" s="77">
        <f t="shared" si="10"/>
        <v>48.6875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250</v>
      </c>
      <c r="C44" s="77">
        <f t="shared" si="6"/>
        <v>150</v>
      </c>
      <c r="D44" s="77">
        <f t="shared" si="7"/>
        <v>56.587699999999998</v>
      </c>
      <c r="E44" s="77">
        <f t="shared" si="8"/>
        <v>50.911250000000003</v>
      </c>
      <c r="F44" s="77">
        <f t="shared" si="9"/>
        <v>10.6112</v>
      </c>
      <c r="G44" s="77">
        <f t="shared" si="5"/>
        <v>5.525E-2</v>
      </c>
      <c r="H44" s="77">
        <f t="shared" si="5"/>
        <v>0.25</v>
      </c>
      <c r="I44" s="77">
        <f t="shared" si="5"/>
        <v>0.125</v>
      </c>
      <c r="J44" s="77">
        <f t="shared" si="5"/>
        <v>0.01</v>
      </c>
      <c r="K44" s="77">
        <f t="shared" si="5"/>
        <v>1.2500000000000001E-2</v>
      </c>
      <c r="L44" s="77">
        <f t="shared" si="5"/>
        <v>0.05</v>
      </c>
      <c r="M44" s="77">
        <f t="shared" si="5"/>
        <v>0.05</v>
      </c>
      <c r="N44" s="77">
        <f t="shared" si="5"/>
        <v>0</v>
      </c>
      <c r="O44" s="77">
        <f t="shared" si="5"/>
        <v>0</v>
      </c>
      <c r="P44" s="77">
        <f t="shared" si="5"/>
        <v>84.25</v>
      </c>
      <c r="Q44" s="77">
        <f t="shared" si="10"/>
        <v>48.6875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16</v>
      </c>
      <c r="B45" s="15">
        <v>250</v>
      </c>
      <c r="C45" s="77">
        <f t="shared" si="6"/>
        <v>150</v>
      </c>
      <c r="D45" s="77">
        <f t="shared" si="7"/>
        <v>56.587699999999998</v>
      </c>
      <c r="E45" s="77">
        <f t="shared" si="8"/>
        <v>50.911250000000003</v>
      </c>
      <c r="F45" s="77">
        <f t="shared" si="9"/>
        <v>10.6112</v>
      </c>
      <c r="G45" s="77">
        <f t="shared" si="5"/>
        <v>5.525E-2</v>
      </c>
      <c r="H45" s="77">
        <f t="shared" si="5"/>
        <v>0.25</v>
      </c>
      <c r="I45" s="77">
        <f t="shared" si="5"/>
        <v>0.125</v>
      </c>
      <c r="J45" s="77">
        <f t="shared" si="5"/>
        <v>0.01</v>
      </c>
      <c r="K45" s="77">
        <f t="shared" si="5"/>
        <v>1.2500000000000001E-2</v>
      </c>
      <c r="L45" s="77">
        <f t="shared" si="5"/>
        <v>0.05</v>
      </c>
      <c r="M45" s="77">
        <f t="shared" si="5"/>
        <v>0.05</v>
      </c>
      <c r="N45" s="77">
        <f t="shared" si="5"/>
        <v>0</v>
      </c>
      <c r="O45" s="77">
        <f t="shared" si="5"/>
        <v>0</v>
      </c>
      <c r="P45" s="77">
        <f t="shared" si="5"/>
        <v>84.25</v>
      </c>
      <c r="Q45" s="77">
        <f t="shared" si="10"/>
        <v>48.6875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17</v>
      </c>
      <c r="B46" s="15">
        <v>250</v>
      </c>
      <c r="C46" s="77">
        <f t="shared" si="6"/>
        <v>150</v>
      </c>
      <c r="D46" s="77">
        <f t="shared" si="7"/>
        <v>56.587699999999998</v>
      </c>
      <c r="E46" s="77">
        <f t="shared" si="8"/>
        <v>50.911250000000003</v>
      </c>
      <c r="F46" s="77">
        <f t="shared" si="9"/>
        <v>10.6112</v>
      </c>
      <c r="G46" s="77">
        <f t="shared" si="5"/>
        <v>5.525E-2</v>
      </c>
      <c r="H46" s="77">
        <f t="shared" si="5"/>
        <v>0.25</v>
      </c>
      <c r="I46" s="77">
        <f t="shared" si="5"/>
        <v>0.125</v>
      </c>
      <c r="J46" s="77">
        <f t="shared" si="5"/>
        <v>0.01</v>
      </c>
      <c r="K46" s="77">
        <f t="shared" si="5"/>
        <v>1.2500000000000001E-2</v>
      </c>
      <c r="L46" s="77">
        <f t="shared" si="5"/>
        <v>0.05</v>
      </c>
      <c r="M46" s="77">
        <f t="shared" si="5"/>
        <v>0.05</v>
      </c>
      <c r="N46" s="77">
        <f t="shared" si="5"/>
        <v>0</v>
      </c>
      <c r="O46" s="77">
        <f t="shared" si="5"/>
        <v>0</v>
      </c>
      <c r="P46" s="77">
        <f t="shared" si="5"/>
        <v>84.25</v>
      </c>
      <c r="Q46" s="77">
        <f t="shared" si="10"/>
        <v>48.6875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18</v>
      </c>
      <c r="B47" s="15">
        <v>250</v>
      </c>
      <c r="C47" s="77">
        <f t="shared" si="6"/>
        <v>150</v>
      </c>
      <c r="D47" s="77">
        <f t="shared" si="7"/>
        <v>56.587699999999998</v>
      </c>
      <c r="E47" s="77">
        <f t="shared" si="8"/>
        <v>50.911250000000003</v>
      </c>
      <c r="F47" s="77">
        <f t="shared" si="9"/>
        <v>10.6112</v>
      </c>
      <c r="G47" s="77">
        <f t="shared" ref="G47:P50" si="12">IF(G$27="%w/w SAR",((G$28*10)*$B47),IF(G$27="%w/w DM",(((G$28*10)*($B$28/100))*$B47),IF(G$27="kg/t SAR",(G$28*$B47),IF(G$27="kg/t DM",((G$28*($B$28/100))*$B47),IF(G$27="mg/kg SAR",((G$28*0.001)*$B47),IF(G$27="mg/kg DM",(((G$28*0.001)*($B$28/100))*$B47),0))))))</f>
        <v>5.525E-2</v>
      </c>
      <c r="H47" s="77">
        <f t="shared" si="12"/>
        <v>0.25</v>
      </c>
      <c r="I47" s="77">
        <f t="shared" si="12"/>
        <v>0.125</v>
      </c>
      <c r="J47" s="77">
        <f t="shared" si="12"/>
        <v>0.01</v>
      </c>
      <c r="K47" s="77">
        <f t="shared" si="12"/>
        <v>1.2500000000000001E-2</v>
      </c>
      <c r="L47" s="77">
        <f t="shared" si="12"/>
        <v>0.05</v>
      </c>
      <c r="M47" s="77">
        <f t="shared" si="12"/>
        <v>0.05</v>
      </c>
      <c r="N47" s="77">
        <f t="shared" si="12"/>
        <v>0</v>
      </c>
      <c r="O47" s="77">
        <f t="shared" si="12"/>
        <v>0</v>
      </c>
      <c r="P47" s="77">
        <f t="shared" si="12"/>
        <v>84.25</v>
      </c>
      <c r="Q47" s="77">
        <f t="shared" si="10"/>
        <v>48.6875</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19</v>
      </c>
      <c r="B48" s="15">
        <v>250</v>
      </c>
      <c r="C48" s="77">
        <f t="shared" si="6"/>
        <v>150</v>
      </c>
      <c r="D48" s="77">
        <f t="shared" si="7"/>
        <v>56.587699999999998</v>
      </c>
      <c r="E48" s="77">
        <f t="shared" si="8"/>
        <v>50.911250000000003</v>
      </c>
      <c r="F48" s="77">
        <f t="shared" si="9"/>
        <v>10.6112</v>
      </c>
      <c r="G48" s="77">
        <f t="shared" si="12"/>
        <v>5.525E-2</v>
      </c>
      <c r="H48" s="77">
        <f t="shared" si="12"/>
        <v>0.25</v>
      </c>
      <c r="I48" s="77">
        <f t="shared" si="12"/>
        <v>0.125</v>
      </c>
      <c r="J48" s="77">
        <f t="shared" si="12"/>
        <v>0.01</v>
      </c>
      <c r="K48" s="77">
        <f t="shared" si="12"/>
        <v>1.2500000000000001E-2</v>
      </c>
      <c r="L48" s="77">
        <f t="shared" si="12"/>
        <v>0.05</v>
      </c>
      <c r="M48" s="77">
        <f t="shared" si="12"/>
        <v>0.05</v>
      </c>
      <c r="N48" s="77">
        <f t="shared" si="12"/>
        <v>0</v>
      </c>
      <c r="O48" s="77">
        <f t="shared" si="12"/>
        <v>0</v>
      </c>
      <c r="P48" s="77">
        <f t="shared" si="12"/>
        <v>84.25</v>
      </c>
      <c r="Q48" s="77">
        <f t="shared" si="10"/>
        <v>48.6875</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x14ac:dyDescent="0.2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str">
        <f>R16&amp;" I "&amp;(VLOOKUP(R14,Table245810[],6,FALSE))</f>
        <v>Medium/Clay I Grass</v>
      </c>
      <c r="R58" s="13" t="str">
        <f>S16&amp;" I "&amp;(VLOOKUP(S14,Table245810[],6,FALSE))</f>
        <v>Medium/Clay I Grass</v>
      </c>
      <c r="S58" s="13" t="str">
        <f>T16&amp;" I "&amp;(VLOOKUP(T14,Table245810[],6,FALSE))</f>
        <v>Medium/Clay I Grass</v>
      </c>
      <c r="T58" s="13" t="e">
        <f>U16&amp;" I "&amp;(VLOOKUP(U14,Table245810[],6,FALSE))</f>
        <v>#N/A</v>
      </c>
      <c r="U58" s="13" t="e">
        <f>V16&amp;" I "&amp;(VLOOKUP(V14,Table245810[],6,FALSE))</f>
        <v>#N/A</v>
      </c>
    </row>
    <row r="59" spans="1:35" s="19" customFormat="1" x14ac:dyDescent="0.2">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f>VLOOKUP(R$14,Table245810[],5,FALSE)</f>
        <v>6.2</v>
      </c>
      <c r="R59" s="76">
        <f>VLOOKUP(S$14,Table245810[],5,FALSE)</f>
        <v>6.2</v>
      </c>
      <c r="S59" s="76">
        <f>VLOOKUP(T$14,Table245810[],5,FALSE)</f>
        <v>6.2</v>
      </c>
      <c r="T59" s="76" t="e">
        <f>VLOOKUP(U$14,Table245810[],5,FALSE)</f>
        <v>#N/A</v>
      </c>
      <c r="U59" s="76" t="e">
        <f>VLOOKUP(V$14,Table245810[],5,FALSE)</f>
        <v>#N/A</v>
      </c>
    </row>
    <row r="60" spans="1:35" s="19" customFormat="1" x14ac:dyDescent="0.2">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250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-1.7999999999999989</v>
      </c>
      <c r="D64" s="77">
        <f t="shared" si="17"/>
        <v>0.6000000000000032</v>
      </c>
      <c r="E64" s="77">
        <f t="shared" si="17"/>
        <v>0</v>
      </c>
      <c r="F64" s="77">
        <f t="shared" si="17"/>
        <v>1.2000000000000011</v>
      </c>
      <c r="G64" s="77">
        <f t="shared" si="17"/>
        <v>0.6000000000000032</v>
      </c>
      <c r="H64" s="77">
        <f t="shared" si="17"/>
        <v>-3</v>
      </c>
      <c r="I64" s="77">
        <f t="shared" si="17"/>
        <v>0.6000000000000032</v>
      </c>
      <c r="J64" s="77">
        <f t="shared" si="17"/>
        <v>1.2000000000000011</v>
      </c>
      <c r="K64" s="77">
        <f t="shared" si="17"/>
        <v>1.7999999999999989</v>
      </c>
      <c r="L64" s="77">
        <f t="shared" si="17"/>
        <v>1.7999999999999989</v>
      </c>
      <c r="M64" s="77">
        <f t="shared" si="17"/>
        <v>2.4000000000000021</v>
      </c>
      <c r="N64" s="77">
        <f t="shared" si="17"/>
        <v>2.4000000000000021</v>
      </c>
      <c r="O64" s="77">
        <f t="shared" si="17"/>
        <v>-1.2000000000000011</v>
      </c>
      <c r="P64" s="77">
        <f t="shared" si="17"/>
        <v>-2.3999999999999968</v>
      </c>
      <c r="Q64" s="77">
        <f t="shared" si="17"/>
        <v>-1.7999999999999989</v>
      </c>
      <c r="R64" s="77">
        <f t="shared" si="17"/>
        <v>-6.5999999999999979</v>
      </c>
      <c r="S64" s="77">
        <f t="shared" si="17"/>
        <v>-5.3999999999999968</v>
      </c>
      <c r="T64" s="77" t="e">
        <f t="shared" si="17"/>
        <v>#N/A</v>
      </c>
      <c r="U64" s="77" t="e">
        <f t="shared" si="17"/>
        <v>#N/A</v>
      </c>
    </row>
    <row r="65" spans="1:21" s="19" customFormat="1" ht="51" x14ac:dyDescent="0.2">
      <c r="A65" s="112" t="s">
        <v>157</v>
      </c>
      <c r="B65" s="77">
        <f>B63-B64</f>
        <v>0</v>
      </c>
      <c r="C65" s="77">
        <f t="shared" ref="C65:U65" si="18">C63-C64</f>
        <v>1.7999999999999989</v>
      </c>
      <c r="D65" s="77">
        <f t="shared" si="18"/>
        <v>-0.6000000000000032</v>
      </c>
      <c r="E65" s="77">
        <f t="shared" si="18"/>
        <v>0</v>
      </c>
      <c r="F65" s="77">
        <f t="shared" si="18"/>
        <v>-1.2000000000000011</v>
      </c>
      <c r="G65" s="77">
        <f t="shared" si="18"/>
        <v>-0.6000000000000032</v>
      </c>
      <c r="H65" s="77">
        <f t="shared" si="18"/>
        <v>3</v>
      </c>
      <c r="I65" s="77">
        <f t="shared" si="18"/>
        <v>-0.6000000000000032</v>
      </c>
      <c r="J65" s="77">
        <f t="shared" si="18"/>
        <v>-1.2000000000000011</v>
      </c>
      <c r="K65" s="77">
        <f t="shared" si="18"/>
        <v>-1.7999999999999989</v>
      </c>
      <c r="L65" s="77">
        <f t="shared" si="18"/>
        <v>-1.7999999999999989</v>
      </c>
      <c r="M65" s="77">
        <f t="shared" si="18"/>
        <v>-2.4000000000000021</v>
      </c>
      <c r="N65" s="77">
        <f t="shared" si="18"/>
        <v>-2.4000000000000021</v>
      </c>
      <c r="O65" s="77">
        <f t="shared" si="18"/>
        <v>1.2000000000000011</v>
      </c>
      <c r="P65" s="77">
        <f t="shared" si="18"/>
        <v>2.3999999999999968</v>
      </c>
      <c r="Q65" s="77">
        <f t="shared" si="18"/>
        <v>1.7999999999999989</v>
      </c>
      <c r="R65" s="77">
        <f t="shared" si="18"/>
        <v>6.5999999999999979</v>
      </c>
      <c r="S65" s="77">
        <f t="shared" si="18"/>
        <v>5.3999999999999968</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29" sqref="F2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PAN-018528</v>
      </c>
      <c r="D1" s="141"/>
      <c r="E1" s="93" t="s">
        <v>45</v>
      </c>
      <c r="F1" s="39">
        <f>Secanim!F1</f>
        <v>39.5</v>
      </c>
      <c r="G1" s="123" t="s">
        <v>43</v>
      </c>
      <c r="H1" s="124"/>
      <c r="I1" s="118">
        <v>5.33</v>
      </c>
      <c r="J1" s="127" t="s">
        <v>153</v>
      </c>
      <c r="K1" s="127"/>
      <c r="L1" s="97">
        <v>242</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EPR-KP3594VE</v>
      </c>
      <c r="D2" s="143"/>
      <c r="E2" s="93" t="s">
        <v>109</v>
      </c>
      <c r="F2" s="96" t="s">
        <v>179</v>
      </c>
      <c r="G2" s="125" t="s">
        <v>110</v>
      </c>
      <c r="H2" s="126"/>
      <c r="I2" s="118">
        <v>890</v>
      </c>
      <c r="J2" s="127" t="s">
        <v>158</v>
      </c>
      <c r="K2" s="127"/>
      <c r="L2" s="97">
        <v>0.04</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7" t="s">
        <v>159</v>
      </c>
      <c r="H3" s="127"/>
      <c r="I3" s="118"/>
      <c r="J3" s="123" t="s">
        <v>154</v>
      </c>
      <c r="K3" s="124"/>
      <c r="L3" s="97">
        <f>(L1/(L2*10000))*100</f>
        <v>60.5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Fron Farm, Moel y Crio, CH7 5QW</v>
      </c>
      <c r="D4" s="141"/>
      <c r="E4" s="94" t="s">
        <v>1</v>
      </c>
      <c r="F4" s="96" t="s">
        <v>173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8</v>
      </c>
      <c r="K8" s="60">
        <f>Secanim!K8</f>
        <v>9</v>
      </c>
      <c r="L8" s="60">
        <f>Secanim!L8</f>
        <v>10</v>
      </c>
      <c r="M8" s="60">
        <f>Secanim!M8</f>
        <v>11</v>
      </c>
      <c r="N8" s="60">
        <f>Secanim!N8</f>
        <v>12</v>
      </c>
      <c r="O8" s="60">
        <f>Secanim!O8</f>
        <v>13</v>
      </c>
      <c r="P8" s="60">
        <f>Secanim!P8</f>
        <v>14</v>
      </c>
      <c r="Q8" s="60">
        <f>Secanim!Q8</f>
        <v>16</v>
      </c>
      <c r="R8" s="60">
        <f>Secanim!R8</f>
        <v>17</v>
      </c>
      <c r="S8" s="60">
        <f>Secanim!S8</f>
        <v>18</v>
      </c>
      <c r="T8" s="60">
        <f>Secanim!T8</f>
        <v>19</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6.2</v>
      </c>
      <c r="D10" s="60">
        <f>Secanim!D10</f>
        <v>6.5</v>
      </c>
      <c r="E10" s="60">
        <f>Secanim!E10</f>
        <v>6.1</v>
      </c>
      <c r="F10" s="60">
        <f>Secanim!F10</f>
        <v>6.2</v>
      </c>
      <c r="G10" s="60">
        <f>Secanim!G10</f>
        <v>6</v>
      </c>
      <c r="H10" s="60">
        <f>Secanim!H10</f>
        <v>6.1</v>
      </c>
      <c r="I10" s="60">
        <f>Secanim!I10</f>
        <v>6.7</v>
      </c>
      <c r="J10" s="60">
        <f>Secanim!J10</f>
        <v>6.1</v>
      </c>
      <c r="K10" s="60">
        <f>Secanim!K10</f>
        <v>6</v>
      </c>
      <c r="L10" s="60">
        <f>Secanim!L10</f>
        <v>5.9</v>
      </c>
      <c r="M10" s="60">
        <f>Secanim!M10</f>
        <v>5.9</v>
      </c>
      <c r="N10" s="60">
        <f>Secanim!N10</f>
        <v>5.8</v>
      </c>
      <c r="O10" s="60">
        <f>Secanim!O10</f>
        <v>5.8</v>
      </c>
      <c r="P10" s="60">
        <f>Secanim!P10</f>
        <v>6.4</v>
      </c>
      <c r="Q10" s="60">
        <f>Secanim!Q10</f>
        <v>6.6</v>
      </c>
      <c r="R10" s="60">
        <f>Secanim!R10</f>
        <v>6.5</v>
      </c>
      <c r="S10" s="60">
        <f>Secanim!S10</f>
        <v>7.3</v>
      </c>
      <c r="T10" s="60">
        <f>Secanim!T10</f>
        <v>7.1</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2</v>
      </c>
      <c r="D11" s="60">
        <f>Secanim!D11</f>
        <v>3</v>
      </c>
      <c r="E11" s="60">
        <f>Secanim!E11</f>
        <v>2</v>
      </c>
      <c r="F11" s="60">
        <f>Secanim!F11</f>
        <v>1</v>
      </c>
      <c r="G11" s="60">
        <f>Secanim!G11</f>
        <v>1</v>
      </c>
      <c r="H11" s="60">
        <f>Secanim!H11</f>
        <v>1</v>
      </c>
      <c r="I11" s="60">
        <f>Secanim!I11</f>
        <v>1</v>
      </c>
      <c r="J11" s="60">
        <f>Secanim!J11</f>
        <v>1</v>
      </c>
      <c r="K11" s="60">
        <f>Secanim!K11</f>
        <v>1</v>
      </c>
      <c r="L11" s="60">
        <f>Secanim!L11</f>
        <v>1</v>
      </c>
      <c r="M11" s="60">
        <f>Secanim!M11</f>
        <v>1</v>
      </c>
      <c r="N11" s="60">
        <f>Secanim!N11</f>
        <v>0</v>
      </c>
      <c r="O11" s="60">
        <f>Secanim!O11</f>
        <v>0</v>
      </c>
      <c r="P11" s="60">
        <f>Secanim!P11</f>
        <v>1</v>
      </c>
      <c r="Q11" s="60">
        <f>Secanim!Q11</f>
        <v>3</v>
      </c>
      <c r="R11" s="60">
        <f>Secanim!R11</f>
        <v>2</v>
      </c>
      <c r="S11" s="60">
        <f>Secanim!S11</f>
        <v>3</v>
      </c>
      <c r="T11" s="60">
        <f>Secanim!T11</f>
        <v>1</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t="str">
        <f>Secanim!D12</f>
        <v>2-</v>
      </c>
      <c r="E12" s="60">
        <f>Secanim!E12</f>
        <v>1</v>
      </c>
      <c r="F12" s="60">
        <f>Secanim!F12</f>
        <v>0</v>
      </c>
      <c r="G12" s="60">
        <f>Secanim!G12</f>
        <v>1</v>
      </c>
      <c r="H12" s="60">
        <f>Secanim!H12</f>
        <v>1</v>
      </c>
      <c r="I12" s="60">
        <f>Secanim!I12</f>
        <v>1</v>
      </c>
      <c r="J12" s="60">
        <f>Secanim!J12</f>
        <v>1</v>
      </c>
      <c r="K12" s="60">
        <f>Secanim!K12</f>
        <v>0</v>
      </c>
      <c r="L12" s="60">
        <f>Secanim!L12</f>
        <v>0</v>
      </c>
      <c r="M12" s="60" t="str">
        <f>Secanim!M12</f>
        <v>2-</v>
      </c>
      <c r="N12" s="60">
        <f>Secanim!N12</f>
        <v>0</v>
      </c>
      <c r="O12" s="60">
        <f>Secanim!O12</f>
        <v>0</v>
      </c>
      <c r="P12" s="60">
        <f>Secanim!P12</f>
        <v>1</v>
      </c>
      <c r="Q12" s="60">
        <f>Secanim!Q12</f>
        <v>1</v>
      </c>
      <c r="R12" s="60">
        <f>Secanim!R12</f>
        <v>1</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2</v>
      </c>
      <c r="R13" s="60">
        <f>Secanim!R13</f>
        <v>2</v>
      </c>
      <c r="S13" s="60">
        <f>Secanim!S13</f>
        <v>1</v>
      </c>
      <c r="T13" s="60">
        <f>Secanim!T13</f>
        <v>1</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64.14800000000001</v>
      </c>
      <c r="D18" s="16">
        <f>$D32</f>
        <v>64.14800000000001</v>
      </c>
      <c r="E18" s="16">
        <f>$D33</f>
        <v>64.14800000000001</v>
      </c>
      <c r="F18" s="16">
        <f>$D34</f>
        <v>64.14800000000001</v>
      </c>
      <c r="G18" s="16">
        <f>$D35</f>
        <v>64.14800000000001</v>
      </c>
      <c r="H18" s="16">
        <f>$D36</f>
        <v>64.14800000000001</v>
      </c>
      <c r="I18" s="16">
        <f>$D37</f>
        <v>64.14800000000001</v>
      </c>
      <c r="J18" s="16">
        <f>$D38</f>
        <v>64.14800000000001</v>
      </c>
      <c r="K18" s="16">
        <f>$D39</f>
        <v>64.14800000000001</v>
      </c>
      <c r="L18" s="16">
        <f>$D40</f>
        <v>64.14800000000001</v>
      </c>
      <c r="M18" s="16">
        <f>$D41</f>
        <v>64.14800000000001</v>
      </c>
      <c r="N18" s="16">
        <f>$D42</f>
        <v>64.14800000000001</v>
      </c>
      <c r="O18" s="16">
        <f>$D43</f>
        <v>64.14800000000001</v>
      </c>
      <c r="P18" s="16">
        <f>$D44</f>
        <v>64.14800000000001</v>
      </c>
      <c r="Q18" s="16">
        <f>$D45</f>
        <v>64.14800000000001</v>
      </c>
      <c r="R18" s="16">
        <f>$D46</f>
        <v>64.14800000000001</v>
      </c>
      <c r="S18" s="16">
        <f>$D47</f>
        <v>64.14800000000001</v>
      </c>
      <c r="T18" s="16">
        <f>$D48</f>
        <v>64.14800000000001</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-0.45199999999998397</v>
      </c>
      <c r="D19" s="16">
        <f t="shared" ref="D19:V19" si="1">D18-D17</f>
        <v>-0.45199999999998397</v>
      </c>
      <c r="E19" s="16">
        <f t="shared" si="1"/>
        <v>-0.45199999999998397</v>
      </c>
      <c r="F19" s="16">
        <f t="shared" si="1"/>
        <v>-0.45199999999998397</v>
      </c>
      <c r="G19" s="16">
        <f t="shared" si="1"/>
        <v>-0.45199999999998397</v>
      </c>
      <c r="H19" s="16">
        <f t="shared" si="1"/>
        <v>-0.45199999999998397</v>
      </c>
      <c r="I19" s="16">
        <f t="shared" si="1"/>
        <v>-0.45199999999998397</v>
      </c>
      <c r="J19" s="16">
        <f t="shared" si="1"/>
        <v>-0.45199999999998397</v>
      </c>
      <c r="K19" s="16">
        <f t="shared" si="1"/>
        <v>-0.45199999999998397</v>
      </c>
      <c r="L19" s="16">
        <f t="shared" si="1"/>
        <v>-0.45199999999998397</v>
      </c>
      <c r="M19" s="16">
        <f t="shared" si="1"/>
        <v>-0.45199999999998397</v>
      </c>
      <c r="N19" s="16">
        <f t="shared" si="1"/>
        <v>-0.45199999999998397</v>
      </c>
      <c r="O19" s="16">
        <f t="shared" si="1"/>
        <v>-0.45199999999998397</v>
      </c>
      <c r="P19" s="16">
        <f t="shared" si="1"/>
        <v>-0.45199999999998397</v>
      </c>
      <c r="Q19" s="16">
        <f t="shared" si="1"/>
        <v>-0.45199999999998397</v>
      </c>
      <c r="R19" s="16">
        <f t="shared" si="1"/>
        <v>-0.45199999999998397</v>
      </c>
      <c r="S19" s="16">
        <f t="shared" si="1"/>
        <v>-0.45199999999998397</v>
      </c>
      <c r="T19" s="16">
        <f t="shared" si="1"/>
        <v>-0.45199999999998397</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67.962000000000018</v>
      </c>
      <c r="D22" s="16">
        <f>$E32</f>
        <v>67.962000000000018</v>
      </c>
      <c r="E22" s="16">
        <f>$E33</f>
        <v>67.962000000000018</v>
      </c>
      <c r="F22" s="16">
        <f>$E34</f>
        <v>67.962000000000018</v>
      </c>
      <c r="G22" s="16">
        <f>$E35</f>
        <v>67.962000000000018</v>
      </c>
      <c r="H22" s="16">
        <f>$E36</f>
        <v>67.962000000000018</v>
      </c>
      <c r="I22" s="16">
        <f>$E37</f>
        <v>67.962000000000018</v>
      </c>
      <c r="J22" s="16">
        <f>$E38</f>
        <v>67.962000000000018</v>
      </c>
      <c r="K22" s="16">
        <f>$E39</f>
        <v>67.962000000000018</v>
      </c>
      <c r="L22" s="16">
        <f>$E40</f>
        <v>67.962000000000018</v>
      </c>
      <c r="M22" s="16">
        <f>$E41</f>
        <v>67.962000000000018</v>
      </c>
      <c r="N22" s="16">
        <f>$E42</f>
        <v>67.962000000000018</v>
      </c>
      <c r="O22" s="16">
        <f>$E43</f>
        <v>67.962000000000018</v>
      </c>
      <c r="P22" s="16">
        <f>$E44</f>
        <v>67.962000000000018</v>
      </c>
      <c r="Q22" s="16">
        <f>$E45</f>
        <v>67.962000000000018</v>
      </c>
      <c r="R22" s="16">
        <f>$E46</f>
        <v>67.962000000000018</v>
      </c>
      <c r="S22" s="16">
        <f>$E47</f>
        <v>67.962000000000018</v>
      </c>
      <c r="T22" s="16">
        <f>$E48</f>
        <v>67.962000000000018</v>
      </c>
      <c r="U22" s="16">
        <f>$E49</f>
        <v>0</v>
      </c>
      <c r="V22" s="16">
        <f>$E50</f>
        <v>0</v>
      </c>
      <c r="AI22" s="63" t="s">
        <v>102</v>
      </c>
      <c r="AJ22" s="64">
        <v>1.2</v>
      </c>
      <c r="AK22" s="65">
        <v>5</v>
      </c>
      <c r="AL22" s="29">
        <v>20</v>
      </c>
      <c r="AM22" s="11">
        <v>6.7</v>
      </c>
      <c r="AN22" s="11" t="s">
        <v>135</v>
      </c>
    </row>
    <row r="23" spans="1:40" x14ac:dyDescent="0.2">
      <c r="A23" s="131" t="s">
        <v>92</v>
      </c>
      <c r="B23" s="132"/>
      <c r="C23" s="16">
        <f>C22-C21</f>
        <v>-160.03799999999998</v>
      </c>
      <c r="D23" s="16">
        <f t="shared" ref="D23:V23" si="3">D22-D21</f>
        <v>-160.03799999999998</v>
      </c>
      <c r="E23" s="16">
        <f t="shared" si="3"/>
        <v>-160.03799999999998</v>
      </c>
      <c r="F23" s="16">
        <f t="shared" si="3"/>
        <v>-160.03799999999998</v>
      </c>
      <c r="G23" s="16">
        <f t="shared" si="3"/>
        <v>-160.03799999999998</v>
      </c>
      <c r="H23" s="16">
        <f t="shared" si="3"/>
        <v>-160.03799999999998</v>
      </c>
      <c r="I23" s="16">
        <f t="shared" si="3"/>
        <v>-160.03799999999998</v>
      </c>
      <c r="J23" s="16">
        <f t="shared" si="3"/>
        <v>-160.03799999999998</v>
      </c>
      <c r="K23" s="16">
        <f t="shared" si="3"/>
        <v>-160.03799999999998</v>
      </c>
      <c r="L23" s="16">
        <f t="shared" si="3"/>
        <v>-160.03799999999998</v>
      </c>
      <c r="M23" s="16">
        <f t="shared" si="3"/>
        <v>-160.03799999999998</v>
      </c>
      <c r="N23" s="16">
        <f t="shared" si="3"/>
        <v>-160.03799999999998</v>
      </c>
      <c r="O23" s="16">
        <f t="shared" si="3"/>
        <v>-160.03799999999998</v>
      </c>
      <c r="P23" s="16">
        <f t="shared" si="3"/>
        <v>-160.03799999999998</v>
      </c>
      <c r="Q23" s="16">
        <f t="shared" si="3"/>
        <v>-160.03799999999998</v>
      </c>
      <c r="R23" s="16">
        <f t="shared" si="3"/>
        <v>-160.03799999999998</v>
      </c>
      <c r="S23" s="16">
        <f t="shared" si="3"/>
        <v>-160.03799999999998</v>
      </c>
      <c r="T23" s="16">
        <f t="shared" si="3"/>
        <v>-160.03799999999998</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0.67</v>
      </c>
      <c r="C28" s="15">
        <v>0.04</v>
      </c>
      <c r="D28" s="15">
        <v>140</v>
      </c>
      <c r="E28" s="15">
        <v>282</v>
      </c>
      <c r="F28" s="15">
        <v>34.4</v>
      </c>
      <c r="G28" s="15">
        <v>1.63</v>
      </c>
      <c r="H28" s="15">
        <v>0.5</v>
      </c>
      <c r="I28" s="15">
        <v>0.5</v>
      </c>
      <c r="J28" s="15">
        <v>0.01</v>
      </c>
      <c r="K28" s="23">
        <v>0.05</v>
      </c>
      <c r="L28" s="15">
        <v>0.2</v>
      </c>
      <c r="M28" s="15">
        <v>0.2</v>
      </c>
      <c r="N28" s="15"/>
      <c r="O28" s="15"/>
      <c r="P28" s="15">
        <v>888</v>
      </c>
      <c r="Q28" s="15">
        <v>44.5</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200</v>
      </c>
      <c r="C31" s="77">
        <f>IF(C$27="%w/w SAR",((C$28*10)*$B31),IF(C$27="%w/w DM",(((C$28*10)*($B$28/100))*$B31),IF(C$27="kg/t SAR",(C$28*$B31),IF(C$27="kg/t DM",((C$28*($B$28/100))*$B31),IF(C$27="mg/kg SAR",((C$28*0.001)*$B31),IF(C$27="mg/kg DM",(((C$28*0.001)*($B$28/100))*$B31),0))))))</f>
        <v>80</v>
      </c>
      <c r="D31" s="77">
        <f>(IF(D$27="%w/w SAR",((D$28*10)*$B31),IF(D$27="%w/w DM",(((D$28*10)*($B$28/100))*$B31),IF(D$27="kg/t SAR",(D$28*$B31),IF(D$27="kg/t DM",((D$28*($B$28/100))*$B31),IF(D$27="mg/kg SAR",((D$28*0.001)*$B31),IF(D$27="mg/kg DM",(((D$28*0.001)*($B$28/100))*$B31),"0")))))))*2.291</f>
        <v>64.14800000000001</v>
      </c>
      <c r="E31" s="77">
        <f>(IF(E$27="%w/w SAR",((E$28*10)*$B31),IF(E$27="%w/w DM",(((E$28*10)*($B$28/100))*$B31),IF(E$27="kg/t SAR",(E$28*$B31),IF(E$27="kg/t DM",((E$28*($B$28/100))*$B31),IF(E$27="mg/kg SAR",((E$28*0.001)*$B31),IF(E$27="mg/kg DM",(((E$28*0.001)*($B$28/100))*$B31),"0")))))))*1.205</f>
        <v>67.962000000000018</v>
      </c>
      <c r="F31" s="77">
        <f>(IF(F$27="%w/w SAR",((F$28*10)*$B31),IF(F$27="%w/w DM",(((F$28*10)*($B$28/100))*$B31),IF(F$27="kg/t SAR",(F$28*$B31),IF(F$27="kg/t DM",((F$28*($B$28/100))*$B31),IF(F$27="mg/kg SAR",((F$28*0.001)*$B31),IF(F$27="mg/kg DM",(((F$28*0.001)*($B$28/100))*$B31),"0")))))))*1.658</f>
        <v>11.407039999999999</v>
      </c>
      <c r="G31" s="77">
        <f t="shared" ref="G31:P46" si="5">IF(G$27="%w/w SAR",((G$28*10)*$B31),IF(G$27="%w/w DM",(((G$28*10)*($B$28/100))*$B31),IF(G$27="kg/t SAR",(G$28*$B31),IF(G$27="kg/t DM",((G$28*($B$28/100))*$B31),IF(G$27="mg/kg SAR",((G$28*0.001)*$B31),IF(G$27="mg/kg DM",(((G$28*0.001)*($B$28/100))*$B31),0))))))</f>
        <v>0.32600000000000001</v>
      </c>
      <c r="H31" s="77">
        <f t="shared" si="5"/>
        <v>0.1</v>
      </c>
      <c r="I31" s="77">
        <f t="shared" si="5"/>
        <v>0.1</v>
      </c>
      <c r="J31" s="77">
        <f t="shared" si="5"/>
        <v>2E-3</v>
      </c>
      <c r="K31" s="77">
        <f t="shared" si="5"/>
        <v>0.01</v>
      </c>
      <c r="L31" s="77">
        <f t="shared" si="5"/>
        <v>0.04</v>
      </c>
      <c r="M31" s="77">
        <f t="shared" si="5"/>
        <v>0.04</v>
      </c>
      <c r="N31" s="77">
        <f t="shared" si="5"/>
        <v>0</v>
      </c>
      <c r="O31" s="77">
        <f t="shared" si="5"/>
        <v>0</v>
      </c>
      <c r="P31" s="77">
        <f t="shared" si="5"/>
        <v>177.6</v>
      </c>
      <c r="Q31" s="77">
        <f>(IF(Q$27="%w/w SAR",((Q$28*10)*$B31),IF(Q$27="%w/w DM",(((Q$28*10)*($B$28/100))*$B31),IF(Q$27="kg/t SAR",(Q$28*$B31),IF(Q$27="kg/t DM",((Q$28*($B$28/100))*$B31),IF(Q$27="mg/kg SAR",((Q$28*0.001)*$B31),IF(Q$27="mg/kg DM",(((Q$28*0.001)*($B$28/100))*$B31),0)))))))*2.5</f>
        <v>22.25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200</v>
      </c>
      <c r="C32" s="77">
        <f t="shared" ref="C32:C50" si="6">IF(C$27="%w/w SAR",((C$28*10)*$B32),IF(C$27="%w/w DM",(((C$28*10)*($B$28/100))*$B32),IF(C$27="kg/t SAR",(C$28*$B32),IF(C$27="kg/t DM",((C$28*($B$28/100))*$B32),IF(C$27="mg/kg SAR",((C$28*0.001)*$B32),IF(C$27="mg/kg DM",(((C$28*0.001)*($B$28/100))*$B32),0))))))</f>
        <v>80</v>
      </c>
      <c r="D32" s="77">
        <f t="shared" ref="D32:D50" si="7">(IF(D$27="%w/w SAR",((D$28*10)*$B32),IF(D$27="%w/w DM",(((D$28*10)*($B$28/100))*$B32),IF(D$27="kg/t SAR",(D$28*$B32),IF(D$27="kg/t DM",((D$28*($B$28/100))*$B32),IF(D$27="mg/kg SAR",((D$28*0.001)*$B32),IF(D$27="mg/kg DM",(((D$28*0.001)*($B$28/100))*$B32),"0")))))))*2.291</f>
        <v>64.14800000000001</v>
      </c>
      <c r="E32" s="77">
        <f t="shared" ref="E32:E50" si="8">(IF(E$27="%w/w SAR",((E$28*10)*$B32),IF(E$27="%w/w DM",(((E$28*10)*($B$28/100))*$B32),IF(E$27="kg/t SAR",(E$28*$B32),IF(E$27="kg/t DM",((E$28*($B$28/100))*$B32),IF(E$27="mg/kg SAR",((E$28*0.001)*$B32),IF(E$27="mg/kg DM",(((E$28*0.001)*($B$28/100))*$B32),"0")))))))*1.205</f>
        <v>67.962000000000018</v>
      </c>
      <c r="F32" s="77">
        <f t="shared" ref="F32:F50" si="9">(IF(F$27="%w/w SAR",((F$28*10)*$B32),IF(F$27="%w/w DM",(((F$28*10)*($B$28/100))*$B32),IF(F$27="kg/t SAR",(F$28*$B32),IF(F$27="kg/t DM",((F$28*($B$28/100))*$B32),IF(F$27="mg/kg SAR",((F$28*0.001)*$B32),IF(F$27="mg/kg DM",(((F$28*0.001)*($B$28/100))*$B32),"0")))))))*1.658</f>
        <v>11.407039999999999</v>
      </c>
      <c r="G32" s="77">
        <f t="shared" si="5"/>
        <v>0.32600000000000001</v>
      </c>
      <c r="H32" s="77">
        <f t="shared" si="5"/>
        <v>0.1</v>
      </c>
      <c r="I32" s="77">
        <f t="shared" si="5"/>
        <v>0.1</v>
      </c>
      <c r="J32" s="77">
        <f t="shared" si="5"/>
        <v>2E-3</v>
      </c>
      <c r="K32" s="77">
        <f t="shared" si="5"/>
        <v>0.01</v>
      </c>
      <c r="L32" s="77">
        <f t="shared" si="5"/>
        <v>0.04</v>
      </c>
      <c r="M32" s="77">
        <f t="shared" si="5"/>
        <v>0.04</v>
      </c>
      <c r="N32" s="77">
        <f t="shared" si="5"/>
        <v>0</v>
      </c>
      <c r="O32" s="77">
        <f t="shared" si="5"/>
        <v>0</v>
      </c>
      <c r="P32" s="77">
        <f t="shared" si="5"/>
        <v>177.6</v>
      </c>
      <c r="Q32" s="77">
        <f t="shared" ref="Q32:Q50" si="10">(IF(Q$27="%w/w SAR",((Q$28*10)*$B32),IF(Q$27="%w/w DM",(((Q$28*10)*($B$28/100))*$B32),IF(Q$27="kg/t SAR",(Q$28*$B32),IF(Q$27="kg/t DM",((Q$28*($B$28/100))*$B32),IF(Q$27="mg/kg SAR",((Q$28*0.001)*$B32),IF(Q$27="mg/kg DM",(((Q$28*0.001)*($B$28/100))*$B32),0)))))))*2.5</f>
        <v>22.25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200</v>
      </c>
      <c r="C33" s="77">
        <f t="shared" si="6"/>
        <v>80</v>
      </c>
      <c r="D33" s="77">
        <f t="shared" si="7"/>
        <v>64.14800000000001</v>
      </c>
      <c r="E33" s="77">
        <f t="shared" si="8"/>
        <v>67.962000000000018</v>
      </c>
      <c r="F33" s="77">
        <f t="shared" si="9"/>
        <v>11.407039999999999</v>
      </c>
      <c r="G33" s="77">
        <f t="shared" si="5"/>
        <v>0.32600000000000001</v>
      </c>
      <c r="H33" s="77">
        <f t="shared" si="5"/>
        <v>0.1</v>
      </c>
      <c r="I33" s="77">
        <f t="shared" si="5"/>
        <v>0.1</v>
      </c>
      <c r="J33" s="77">
        <f t="shared" si="5"/>
        <v>2E-3</v>
      </c>
      <c r="K33" s="77">
        <f t="shared" si="5"/>
        <v>0.01</v>
      </c>
      <c r="L33" s="77">
        <f t="shared" si="5"/>
        <v>0.04</v>
      </c>
      <c r="M33" s="77">
        <f t="shared" si="5"/>
        <v>0.04</v>
      </c>
      <c r="N33" s="77">
        <f t="shared" si="5"/>
        <v>0</v>
      </c>
      <c r="O33" s="77">
        <f t="shared" si="5"/>
        <v>0</v>
      </c>
      <c r="P33" s="77">
        <f t="shared" si="5"/>
        <v>177.6</v>
      </c>
      <c r="Q33" s="77">
        <f t="shared" si="10"/>
        <v>22.25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200</v>
      </c>
      <c r="C34" s="77">
        <f t="shared" si="6"/>
        <v>80</v>
      </c>
      <c r="D34" s="77">
        <f t="shared" si="7"/>
        <v>64.14800000000001</v>
      </c>
      <c r="E34" s="77">
        <f t="shared" si="8"/>
        <v>67.962000000000018</v>
      </c>
      <c r="F34" s="77">
        <f t="shared" si="9"/>
        <v>11.407039999999999</v>
      </c>
      <c r="G34" s="77">
        <f t="shared" si="5"/>
        <v>0.32600000000000001</v>
      </c>
      <c r="H34" s="77">
        <f t="shared" si="5"/>
        <v>0.1</v>
      </c>
      <c r="I34" s="77">
        <f t="shared" si="5"/>
        <v>0.1</v>
      </c>
      <c r="J34" s="77">
        <f t="shared" si="5"/>
        <v>2E-3</v>
      </c>
      <c r="K34" s="77">
        <f t="shared" si="5"/>
        <v>0.01</v>
      </c>
      <c r="L34" s="77">
        <f t="shared" si="5"/>
        <v>0.04</v>
      </c>
      <c r="M34" s="77">
        <f t="shared" si="5"/>
        <v>0.04</v>
      </c>
      <c r="N34" s="77">
        <f t="shared" si="5"/>
        <v>0</v>
      </c>
      <c r="O34" s="77">
        <f t="shared" si="5"/>
        <v>0</v>
      </c>
      <c r="P34" s="77">
        <f t="shared" si="5"/>
        <v>177.6</v>
      </c>
      <c r="Q34" s="77">
        <f t="shared" si="10"/>
        <v>22.25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200</v>
      </c>
      <c r="C35" s="77">
        <f t="shared" si="6"/>
        <v>80</v>
      </c>
      <c r="D35" s="77">
        <f t="shared" si="7"/>
        <v>64.14800000000001</v>
      </c>
      <c r="E35" s="77">
        <f t="shared" si="8"/>
        <v>67.962000000000018</v>
      </c>
      <c r="F35" s="77">
        <f t="shared" si="9"/>
        <v>11.407039999999999</v>
      </c>
      <c r="G35" s="77">
        <f t="shared" si="5"/>
        <v>0.32600000000000001</v>
      </c>
      <c r="H35" s="77">
        <f t="shared" si="5"/>
        <v>0.1</v>
      </c>
      <c r="I35" s="77">
        <f t="shared" si="5"/>
        <v>0.1</v>
      </c>
      <c r="J35" s="77">
        <f t="shared" si="5"/>
        <v>2E-3</v>
      </c>
      <c r="K35" s="77">
        <f t="shared" si="5"/>
        <v>0.01</v>
      </c>
      <c r="L35" s="77">
        <f t="shared" si="5"/>
        <v>0.04</v>
      </c>
      <c r="M35" s="77">
        <f t="shared" si="5"/>
        <v>0.04</v>
      </c>
      <c r="N35" s="77">
        <f t="shared" si="5"/>
        <v>0</v>
      </c>
      <c r="O35" s="77">
        <f t="shared" si="5"/>
        <v>0</v>
      </c>
      <c r="P35" s="77">
        <f t="shared" si="5"/>
        <v>177.6</v>
      </c>
      <c r="Q35" s="77">
        <f t="shared" si="10"/>
        <v>22.25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200</v>
      </c>
      <c r="C36" s="77">
        <f t="shared" si="6"/>
        <v>80</v>
      </c>
      <c r="D36" s="77">
        <f t="shared" si="7"/>
        <v>64.14800000000001</v>
      </c>
      <c r="E36" s="77">
        <f t="shared" si="8"/>
        <v>67.962000000000018</v>
      </c>
      <c r="F36" s="77">
        <f t="shared" si="9"/>
        <v>11.407039999999999</v>
      </c>
      <c r="G36" s="77">
        <f t="shared" si="5"/>
        <v>0.32600000000000001</v>
      </c>
      <c r="H36" s="77">
        <f t="shared" si="5"/>
        <v>0.1</v>
      </c>
      <c r="I36" s="77">
        <f t="shared" si="5"/>
        <v>0.1</v>
      </c>
      <c r="J36" s="77">
        <f t="shared" si="5"/>
        <v>2E-3</v>
      </c>
      <c r="K36" s="77">
        <f t="shared" si="5"/>
        <v>0.01</v>
      </c>
      <c r="L36" s="77">
        <f t="shared" si="5"/>
        <v>0.04</v>
      </c>
      <c r="M36" s="77">
        <f t="shared" si="5"/>
        <v>0.04</v>
      </c>
      <c r="N36" s="77">
        <f t="shared" si="5"/>
        <v>0</v>
      </c>
      <c r="O36" s="77">
        <f t="shared" si="5"/>
        <v>0</v>
      </c>
      <c r="P36" s="77">
        <f t="shared" si="5"/>
        <v>177.6</v>
      </c>
      <c r="Q36" s="77">
        <f t="shared" si="10"/>
        <v>22.25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200</v>
      </c>
      <c r="C37" s="77">
        <f t="shared" si="6"/>
        <v>80</v>
      </c>
      <c r="D37" s="77">
        <f t="shared" si="7"/>
        <v>64.14800000000001</v>
      </c>
      <c r="E37" s="77">
        <f t="shared" si="8"/>
        <v>67.962000000000018</v>
      </c>
      <c r="F37" s="77">
        <f t="shared" si="9"/>
        <v>11.407039999999999</v>
      </c>
      <c r="G37" s="77">
        <f t="shared" si="5"/>
        <v>0.32600000000000001</v>
      </c>
      <c r="H37" s="77">
        <f t="shared" si="5"/>
        <v>0.1</v>
      </c>
      <c r="I37" s="77">
        <f t="shared" si="5"/>
        <v>0.1</v>
      </c>
      <c r="J37" s="77">
        <f t="shared" si="5"/>
        <v>2E-3</v>
      </c>
      <c r="K37" s="77">
        <f t="shared" si="5"/>
        <v>0.01</v>
      </c>
      <c r="L37" s="77">
        <f t="shared" si="5"/>
        <v>0.04</v>
      </c>
      <c r="M37" s="77">
        <f t="shared" si="5"/>
        <v>0.04</v>
      </c>
      <c r="N37" s="77">
        <f t="shared" si="5"/>
        <v>0</v>
      </c>
      <c r="O37" s="77">
        <f t="shared" si="5"/>
        <v>0</v>
      </c>
      <c r="P37" s="77">
        <f t="shared" si="5"/>
        <v>177.6</v>
      </c>
      <c r="Q37" s="77">
        <f t="shared" si="10"/>
        <v>22.25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200</v>
      </c>
      <c r="C38" s="77">
        <f t="shared" si="6"/>
        <v>80</v>
      </c>
      <c r="D38" s="77">
        <f t="shared" si="7"/>
        <v>64.14800000000001</v>
      </c>
      <c r="E38" s="77">
        <f t="shared" si="8"/>
        <v>67.962000000000018</v>
      </c>
      <c r="F38" s="77">
        <f t="shared" si="9"/>
        <v>11.407039999999999</v>
      </c>
      <c r="G38" s="77">
        <f t="shared" si="5"/>
        <v>0.32600000000000001</v>
      </c>
      <c r="H38" s="77">
        <f t="shared" si="5"/>
        <v>0.1</v>
      </c>
      <c r="I38" s="77">
        <f t="shared" si="5"/>
        <v>0.1</v>
      </c>
      <c r="J38" s="77">
        <f t="shared" si="5"/>
        <v>2E-3</v>
      </c>
      <c r="K38" s="77">
        <f t="shared" si="5"/>
        <v>0.01</v>
      </c>
      <c r="L38" s="77">
        <f t="shared" si="5"/>
        <v>0.04</v>
      </c>
      <c r="M38" s="77">
        <f t="shared" si="5"/>
        <v>0.04</v>
      </c>
      <c r="N38" s="77">
        <f t="shared" si="5"/>
        <v>0</v>
      </c>
      <c r="O38" s="77">
        <f t="shared" si="5"/>
        <v>0</v>
      </c>
      <c r="P38" s="77">
        <f t="shared" si="5"/>
        <v>177.6</v>
      </c>
      <c r="Q38" s="77">
        <f t="shared" si="10"/>
        <v>22.25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200</v>
      </c>
      <c r="C39" s="77">
        <f t="shared" si="6"/>
        <v>80</v>
      </c>
      <c r="D39" s="77">
        <f t="shared" si="7"/>
        <v>64.14800000000001</v>
      </c>
      <c r="E39" s="77">
        <f t="shared" si="8"/>
        <v>67.962000000000018</v>
      </c>
      <c r="F39" s="77">
        <f t="shared" si="9"/>
        <v>11.407039999999999</v>
      </c>
      <c r="G39" s="77">
        <f t="shared" si="5"/>
        <v>0.32600000000000001</v>
      </c>
      <c r="H39" s="77">
        <f t="shared" si="5"/>
        <v>0.1</v>
      </c>
      <c r="I39" s="77">
        <f t="shared" si="5"/>
        <v>0.1</v>
      </c>
      <c r="J39" s="77">
        <f t="shared" si="5"/>
        <v>2E-3</v>
      </c>
      <c r="K39" s="77">
        <f t="shared" si="5"/>
        <v>0.01</v>
      </c>
      <c r="L39" s="77">
        <f t="shared" si="5"/>
        <v>0.04</v>
      </c>
      <c r="M39" s="77">
        <f t="shared" si="5"/>
        <v>0.04</v>
      </c>
      <c r="N39" s="77">
        <f t="shared" si="5"/>
        <v>0</v>
      </c>
      <c r="O39" s="77">
        <f t="shared" si="5"/>
        <v>0</v>
      </c>
      <c r="P39" s="77">
        <f t="shared" si="5"/>
        <v>177.6</v>
      </c>
      <c r="Q39" s="77">
        <f t="shared" si="10"/>
        <v>22.25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200</v>
      </c>
      <c r="C40" s="77">
        <f t="shared" si="6"/>
        <v>80</v>
      </c>
      <c r="D40" s="77">
        <f t="shared" si="7"/>
        <v>64.14800000000001</v>
      </c>
      <c r="E40" s="77">
        <f t="shared" si="8"/>
        <v>67.962000000000018</v>
      </c>
      <c r="F40" s="77">
        <f t="shared" si="9"/>
        <v>11.407039999999999</v>
      </c>
      <c r="G40" s="77">
        <f t="shared" si="5"/>
        <v>0.32600000000000001</v>
      </c>
      <c r="H40" s="77">
        <f t="shared" si="5"/>
        <v>0.1</v>
      </c>
      <c r="I40" s="77">
        <f t="shared" si="5"/>
        <v>0.1</v>
      </c>
      <c r="J40" s="77">
        <f t="shared" si="5"/>
        <v>2E-3</v>
      </c>
      <c r="K40" s="77">
        <f t="shared" si="5"/>
        <v>0.01</v>
      </c>
      <c r="L40" s="77">
        <f t="shared" si="5"/>
        <v>0.04</v>
      </c>
      <c r="M40" s="77">
        <f t="shared" si="5"/>
        <v>0.04</v>
      </c>
      <c r="N40" s="77">
        <f t="shared" si="5"/>
        <v>0</v>
      </c>
      <c r="O40" s="77">
        <f t="shared" si="5"/>
        <v>0</v>
      </c>
      <c r="P40" s="77">
        <f t="shared" si="5"/>
        <v>177.6</v>
      </c>
      <c r="Q40" s="77">
        <f t="shared" si="10"/>
        <v>22.25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200</v>
      </c>
      <c r="C41" s="77">
        <f t="shared" si="6"/>
        <v>80</v>
      </c>
      <c r="D41" s="77">
        <f t="shared" si="7"/>
        <v>64.14800000000001</v>
      </c>
      <c r="E41" s="77">
        <f t="shared" si="8"/>
        <v>67.962000000000018</v>
      </c>
      <c r="F41" s="77">
        <f t="shared" si="9"/>
        <v>11.407039999999999</v>
      </c>
      <c r="G41" s="77">
        <f t="shared" si="5"/>
        <v>0.32600000000000001</v>
      </c>
      <c r="H41" s="77">
        <f t="shared" si="5"/>
        <v>0.1</v>
      </c>
      <c r="I41" s="77">
        <f t="shared" si="5"/>
        <v>0.1</v>
      </c>
      <c r="J41" s="77">
        <f t="shared" si="5"/>
        <v>2E-3</v>
      </c>
      <c r="K41" s="77">
        <f t="shared" si="5"/>
        <v>0.01</v>
      </c>
      <c r="L41" s="77">
        <f t="shared" si="5"/>
        <v>0.04</v>
      </c>
      <c r="M41" s="77">
        <f t="shared" si="5"/>
        <v>0.04</v>
      </c>
      <c r="N41" s="77">
        <f t="shared" si="5"/>
        <v>0</v>
      </c>
      <c r="O41" s="77">
        <f t="shared" si="5"/>
        <v>0</v>
      </c>
      <c r="P41" s="77">
        <f t="shared" si="5"/>
        <v>177.6</v>
      </c>
      <c r="Q41" s="77">
        <f t="shared" si="10"/>
        <v>22.25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200</v>
      </c>
      <c r="C42" s="77">
        <f t="shared" si="6"/>
        <v>80</v>
      </c>
      <c r="D42" s="77">
        <f t="shared" si="7"/>
        <v>64.14800000000001</v>
      </c>
      <c r="E42" s="77">
        <f t="shared" si="8"/>
        <v>67.962000000000018</v>
      </c>
      <c r="F42" s="77">
        <f t="shared" si="9"/>
        <v>11.407039999999999</v>
      </c>
      <c r="G42" s="77">
        <f t="shared" si="5"/>
        <v>0.32600000000000001</v>
      </c>
      <c r="H42" s="77">
        <f t="shared" si="5"/>
        <v>0.1</v>
      </c>
      <c r="I42" s="77">
        <f t="shared" si="5"/>
        <v>0.1</v>
      </c>
      <c r="J42" s="77">
        <f t="shared" si="5"/>
        <v>2E-3</v>
      </c>
      <c r="K42" s="77">
        <f t="shared" si="5"/>
        <v>0.01</v>
      </c>
      <c r="L42" s="77">
        <f t="shared" si="5"/>
        <v>0.04</v>
      </c>
      <c r="M42" s="77">
        <f t="shared" si="5"/>
        <v>0.04</v>
      </c>
      <c r="N42" s="77">
        <f t="shared" si="5"/>
        <v>0</v>
      </c>
      <c r="O42" s="77">
        <f t="shared" si="5"/>
        <v>0</v>
      </c>
      <c r="P42" s="77">
        <f t="shared" si="5"/>
        <v>177.6</v>
      </c>
      <c r="Q42" s="77">
        <f t="shared" si="10"/>
        <v>22.25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200</v>
      </c>
      <c r="C43" s="77">
        <f t="shared" si="6"/>
        <v>80</v>
      </c>
      <c r="D43" s="77">
        <f t="shared" si="7"/>
        <v>64.14800000000001</v>
      </c>
      <c r="E43" s="77">
        <f t="shared" si="8"/>
        <v>67.962000000000018</v>
      </c>
      <c r="F43" s="77">
        <f t="shared" si="9"/>
        <v>11.407039999999999</v>
      </c>
      <c r="G43" s="77">
        <f t="shared" si="5"/>
        <v>0.32600000000000001</v>
      </c>
      <c r="H43" s="77">
        <f t="shared" si="5"/>
        <v>0.1</v>
      </c>
      <c r="I43" s="77">
        <f t="shared" si="5"/>
        <v>0.1</v>
      </c>
      <c r="J43" s="77">
        <f t="shared" si="5"/>
        <v>2E-3</v>
      </c>
      <c r="K43" s="77">
        <f t="shared" si="5"/>
        <v>0.01</v>
      </c>
      <c r="L43" s="77">
        <f t="shared" si="5"/>
        <v>0.04</v>
      </c>
      <c r="M43" s="77">
        <f t="shared" si="5"/>
        <v>0.04</v>
      </c>
      <c r="N43" s="77">
        <f t="shared" si="5"/>
        <v>0</v>
      </c>
      <c r="O43" s="77">
        <f t="shared" si="5"/>
        <v>0</v>
      </c>
      <c r="P43" s="77">
        <f t="shared" si="5"/>
        <v>177.6</v>
      </c>
      <c r="Q43" s="77">
        <f t="shared" si="10"/>
        <v>22.25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200</v>
      </c>
      <c r="C44" s="77">
        <f t="shared" si="6"/>
        <v>80</v>
      </c>
      <c r="D44" s="77">
        <f t="shared" si="7"/>
        <v>64.14800000000001</v>
      </c>
      <c r="E44" s="77">
        <f t="shared" si="8"/>
        <v>67.962000000000018</v>
      </c>
      <c r="F44" s="77">
        <f t="shared" si="9"/>
        <v>11.407039999999999</v>
      </c>
      <c r="G44" s="77">
        <f t="shared" si="5"/>
        <v>0.32600000000000001</v>
      </c>
      <c r="H44" s="77">
        <f t="shared" si="5"/>
        <v>0.1</v>
      </c>
      <c r="I44" s="77">
        <f t="shared" si="5"/>
        <v>0.1</v>
      </c>
      <c r="J44" s="77">
        <f t="shared" si="5"/>
        <v>2E-3</v>
      </c>
      <c r="K44" s="77">
        <f t="shared" si="5"/>
        <v>0.01</v>
      </c>
      <c r="L44" s="77">
        <f t="shared" si="5"/>
        <v>0.04</v>
      </c>
      <c r="M44" s="77">
        <f t="shared" si="5"/>
        <v>0.04</v>
      </c>
      <c r="N44" s="77">
        <f t="shared" si="5"/>
        <v>0</v>
      </c>
      <c r="O44" s="77">
        <f t="shared" si="5"/>
        <v>0</v>
      </c>
      <c r="P44" s="77">
        <f t="shared" si="5"/>
        <v>177.6</v>
      </c>
      <c r="Q44" s="77">
        <f t="shared" si="10"/>
        <v>22.25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16</v>
      </c>
      <c r="B45" s="15">
        <v>200</v>
      </c>
      <c r="C45" s="77">
        <f t="shared" si="6"/>
        <v>80</v>
      </c>
      <c r="D45" s="77">
        <f t="shared" si="7"/>
        <v>64.14800000000001</v>
      </c>
      <c r="E45" s="77">
        <f t="shared" si="8"/>
        <v>67.962000000000018</v>
      </c>
      <c r="F45" s="77">
        <f t="shared" si="9"/>
        <v>11.407039999999999</v>
      </c>
      <c r="G45" s="77">
        <f t="shared" si="5"/>
        <v>0.32600000000000001</v>
      </c>
      <c r="H45" s="77">
        <f t="shared" si="5"/>
        <v>0.1</v>
      </c>
      <c r="I45" s="77">
        <f t="shared" si="5"/>
        <v>0.1</v>
      </c>
      <c r="J45" s="77">
        <f t="shared" si="5"/>
        <v>2E-3</v>
      </c>
      <c r="K45" s="77">
        <f t="shared" si="5"/>
        <v>0.01</v>
      </c>
      <c r="L45" s="77">
        <f t="shared" si="5"/>
        <v>0.04</v>
      </c>
      <c r="M45" s="77">
        <f t="shared" si="5"/>
        <v>0.04</v>
      </c>
      <c r="N45" s="77">
        <f t="shared" si="5"/>
        <v>0</v>
      </c>
      <c r="O45" s="77">
        <f t="shared" si="5"/>
        <v>0</v>
      </c>
      <c r="P45" s="77">
        <f t="shared" si="5"/>
        <v>177.6</v>
      </c>
      <c r="Q45" s="77">
        <f t="shared" si="10"/>
        <v>22.25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17</v>
      </c>
      <c r="B46" s="15">
        <v>200</v>
      </c>
      <c r="C46" s="77">
        <f t="shared" si="6"/>
        <v>80</v>
      </c>
      <c r="D46" s="77">
        <f t="shared" si="7"/>
        <v>64.14800000000001</v>
      </c>
      <c r="E46" s="77">
        <f t="shared" si="8"/>
        <v>67.962000000000018</v>
      </c>
      <c r="F46" s="77">
        <f t="shared" si="9"/>
        <v>11.407039999999999</v>
      </c>
      <c r="G46" s="77">
        <f t="shared" si="5"/>
        <v>0.32600000000000001</v>
      </c>
      <c r="H46" s="77">
        <f t="shared" si="5"/>
        <v>0.1</v>
      </c>
      <c r="I46" s="77">
        <f t="shared" si="5"/>
        <v>0.1</v>
      </c>
      <c r="J46" s="77">
        <f t="shared" si="5"/>
        <v>2E-3</v>
      </c>
      <c r="K46" s="77">
        <f t="shared" si="5"/>
        <v>0.01</v>
      </c>
      <c r="L46" s="77">
        <f t="shared" si="5"/>
        <v>0.04</v>
      </c>
      <c r="M46" s="77">
        <f t="shared" si="5"/>
        <v>0.04</v>
      </c>
      <c r="N46" s="77">
        <f t="shared" si="5"/>
        <v>0</v>
      </c>
      <c r="O46" s="77">
        <f t="shared" si="5"/>
        <v>0</v>
      </c>
      <c r="P46" s="77">
        <f t="shared" si="5"/>
        <v>177.6</v>
      </c>
      <c r="Q46" s="77">
        <f t="shared" si="10"/>
        <v>22.25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18</v>
      </c>
      <c r="B47" s="15">
        <v>200</v>
      </c>
      <c r="C47" s="77">
        <f t="shared" si="6"/>
        <v>80</v>
      </c>
      <c r="D47" s="77">
        <f t="shared" si="7"/>
        <v>64.14800000000001</v>
      </c>
      <c r="E47" s="77">
        <f t="shared" si="8"/>
        <v>67.962000000000018</v>
      </c>
      <c r="F47" s="77">
        <f t="shared" si="9"/>
        <v>11.407039999999999</v>
      </c>
      <c r="G47" s="77">
        <f t="shared" ref="G47:P50" si="12">IF(G$27="%w/w SAR",((G$28*10)*$B47),IF(G$27="%w/w DM",(((G$28*10)*($B$28/100))*$B47),IF(G$27="kg/t SAR",(G$28*$B47),IF(G$27="kg/t DM",((G$28*($B$28/100))*$B47),IF(G$27="mg/kg SAR",((G$28*0.001)*$B47),IF(G$27="mg/kg DM",(((G$28*0.001)*($B$28/100))*$B47),0))))))</f>
        <v>0.32600000000000001</v>
      </c>
      <c r="H47" s="77">
        <f t="shared" si="12"/>
        <v>0.1</v>
      </c>
      <c r="I47" s="77">
        <f t="shared" si="12"/>
        <v>0.1</v>
      </c>
      <c r="J47" s="77">
        <f t="shared" si="12"/>
        <v>2E-3</v>
      </c>
      <c r="K47" s="77">
        <f t="shared" si="12"/>
        <v>0.01</v>
      </c>
      <c r="L47" s="77">
        <f t="shared" si="12"/>
        <v>0.04</v>
      </c>
      <c r="M47" s="77">
        <f t="shared" si="12"/>
        <v>0.04</v>
      </c>
      <c r="N47" s="77">
        <f t="shared" si="12"/>
        <v>0</v>
      </c>
      <c r="O47" s="77">
        <f t="shared" si="12"/>
        <v>0</v>
      </c>
      <c r="P47" s="77">
        <f t="shared" si="12"/>
        <v>177.6</v>
      </c>
      <c r="Q47" s="77">
        <f t="shared" si="10"/>
        <v>22.25</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19</v>
      </c>
      <c r="B48" s="15">
        <v>200</v>
      </c>
      <c r="C48" s="77">
        <f t="shared" si="6"/>
        <v>80</v>
      </c>
      <c r="D48" s="77">
        <f t="shared" si="7"/>
        <v>64.14800000000001</v>
      </c>
      <c r="E48" s="77">
        <f t="shared" si="8"/>
        <v>67.962000000000018</v>
      </c>
      <c r="F48" s="77">
        <f t="shared" si="9"/>
        <v>11.407039999999999</v>
      </c>
      <c r="G48" s="77">
        <f t="shared" si="12"/>
        <v>0.32600000000000001</v>
      </c>
      <c r="H48" s="77">
        <f t="shared" si="12"/>
        <v>0.1</v>
      </c>
      <c r="I48" s="77">
        <f t="shared" si="12"/>
        <v>0.1</v>
      </c>
      <c r="J48" s="77">
        <f t="shared" si="12"/>
        <v>2E-3</v>
      </c>
      <c r="K48" s="77">
        <f t="shared" si="12"/>
        <v>0.01</v>
      </c>
      <c r="L48" s="77">
        <f t="shared" si="12"/>
        <v>0.04</v>
      </c>
      <c r="M48" s="77">
        <f t="shared" si="12"/>
        <v>0.04</v>
      </c>
      <c r="N48" s="77">
        <f t="shared" si="12"/>
        <v>0</v>
      </c>
      <c r="O48" s="77">
        <f t="shared" si="12"/>
        <v>0</v>
      </c>
      <c r="P48" s="77">
        <f t="shared" si="12"/>
        <v>177.6</v>
      </c>
      <c r="Q48" s="77">
        <f t="shared" si="10"/>
        <v>22.25</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x14ac:dyDescent="0.2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str">
        <f>R16&amp;" I "&amp;(VLOOKUP(R14,Table2458[],6,FALSE))</f>
        <v>Medium/Clay I Grass</v>
      </c>
      <c r="R58" s="13" t="str">
        <f>S16&amp;" I "&amp;(VLOOKUP(S14,Table2458[],6,FALSE))</f>
        <v>Medium/Clay I Grass</v>
      </c>
      <c r="S58" s="13" t="str">
        <f>T16&amp;" I "&amp;(VLOOKUP(T14,Table2458[],6,FALSE))</f>
        <v>Medium/Clay I Grass</v>
      </c>
      <c r="T58" s="13" t="e">
        <f>U16&amp;" I "&amp;(VLOOKUP(U14,Table2458[],6,FALSE))</f>
        <v>#N/A</v>
      </c>
      <c r="U58" s="13" t="e">
        <f>V16&amp;" I "&amp;(VLOOKUP(V14,Table2458[],6,FALSE))</f>
        <v>#N/A</v>
      </c>
    </row>
    <row r="59" spans="1:35" s="19" customFormat="1" x14ac:dyDescent="0.2">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f>VLOOKUP(R$14,Table2458[],5,FALSE)</f>
        <v>6.2</v>
      </c>
      <c r="R59" s="76">
        <f>VLOOKUP(S$14,Table2458[],5,FALSE)</f>
        <v>6.2</v>
      </c>
      <c r="S59" s="76">
        <f>VLOOKUP(T$14,Table2458[],5,FALSE)</f>
        <v>6.2</v>
      </c>
      <c r="T59" s="76" t="e">
        <f>VLOOKUP(U$14,Table2458[],5,FALSE)</f>
        <v>#N/A</v>
      </c>
      <c r="U59" s="76" t="e">
        <f>VLOOKUP(V$14,Table2458[],5,FALSE)</f>
        <v>#N/A</v>
      </c>
    </row>
    <row r="60" spans="1:35" s="19" customFormat="1" x14ac:dyDescent="0.2">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t="e">
        <f t="shared" si="15"/>
        <v>#N/A</v>
      </c>
      <c r="U61" s="76" t="e">
        <f t="shared" si="15"/>
        <v>#N/A</v>
      </c>
    </row>
    <row r="62" spans="1:35" s="19" customFormat="1" x14ac:dyDescent="0.2">
      <c r="A62" s="111" t="s">
        <v>134</v>
      </c>
      <c r="B62" s="77">
        <f>B31</f>
        <v>200</v>
      </c>
      <c r="C62" s="77">
        <f>B32</f>
        <v>200</v>
      </c>
      <c r="D62" s="77">
        <f>B33</f>
        <v>200</v>
      </c>
      <c r="E62" s="77">
        <f>B34</f>
        <v>200</v>
      </c>
      <c r="F62" s="77">
        <f>B35</f>
        <v>200</v>
      </c>
      <c r="G62" s="77">
        <f>B36</f>
        <v>200</v>
      </c>
      <c r="H62" s="77">
        <f>B37</f>
        <v>200</v>
      </c>
      <c r="I62" s="77">
        <f>B38</f>
        <v>200</v>
      </c>
      <c r="J62" s="77">
        <f>B39</f>
        <v>200</v>
      </c>
      <c r="K62" s="77">
        <f>B40</f>
        <v>200</v>
      </c>
      <c r="L62" s="77">
        <f>B41</f>
        <v>200</v>
      </c>
      <c r="M62" s="77">
        <f>B42</f>
        <v>200</v>
      </c>
      <c r="N62" s="77">
        <f>B43</f>
        <v>200</v>
      </c>
      <c r="O62" s="77">
        <f>B44</f>
        <v>200</v>
      </c>
      <c r="P62" s="77">
        <f>B45</f>
        <v>200</v>
      </c>
      <c r="Q62" s="77">
        <f>B46</f>
        <v>200</v>
      </c>
      <c r="R62" s="77">
        <f>B47</f>
        <v>200</v>
      </c>
      <c r="S62" s="77">
        <f>B48</f>
        <v>200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-1.7999999999999989</v>
      </c>
      <c r="D64" s="77">
        <f t="shared" si="17"/>
        <v>0.6000000000000032</v>
      </c>
      <c r="E64" s="77">
        <f t="shared" si="17"/>
        <v>0</v>
      </c>
      <c r="F64" s="77">
        <f t="shared" si="17"/>
        <v>1.2000000000000011</v>
      </c>
      <c r="G64" s="77">
        <f t="shared" si="17"/>
        <v>0.6000000000000032</v>
      </c>
      <c r="H64" s="77">
        <f t="shared" si="17"/>
        <v>-3</v>
      </c>
      <c r="I64" s="77">
        <f t="shared" si="17"/>
        <v>0.6000000000000032</v>
      </c>
      <c r="J64" s="77">
        <f t="shared" si="17"/>
        <v>1.2000000000000011</v>
      </c>
      <c r="K64" s="77">
        <f t="shared" si="17"/>
        <v>1.7999999999999989</v>
      </c>
      <c r="L64" s="77">
        <f t="shared" si="17"/>
        <v>1.7999999999999989</v>
      </c>
      <c r="M64" s="77">
        <f t="shared" si="17"/>
        <v>2.4000000000000021</v>
      </c>
      <c r="N64" s="77">
        <f t="shared" si="17"/>
        <v>2.4000000000000021</v>
      </c>
      <c r="O64" s="77">
        <f t="shared" si="17"/>
        <v>-1.2000000000000011</v>
      </c>
      <c r="P64" s="77">
        <f t="shared" si="17"/>
        <v>-2.3999999999999968</v>
      </c>
      <c r="Q64" s="77">
        <f t="shared" si="17"/>
        <v>-1.7999999999999989</v>
      </c>
      <c r="R64" s="77">
        <f t="shared" si="17"/>
        <v>-6.5999999999999979</v>
      </c>
      <c r="S64" s="77">
        <f t="shared" si="17"/>
        <v>-5.3999999999999968</v>
      </c>
      <c r="T64" s="77" t="e">
        <f t="shared" si="17"/>
        <v>#N/A</v>
      </c>
      <c r="U64" s="77" t="e">
        <f t="shared" si="17"/>
        <v>#N/A</v>
      </c>
    </row>
    <row r="65" spans="1:21" s="19" customFormat="1" ht="51" x14ac:dyDescent="0.2">
      <c r="A65" s="112" t="s">
        <v>157</v>
      </c>
      <c r="B65" s="77">
        <f>B63-B64</f>
        <v>0</v>
      </c>
      <c r="C65" s="77">
        <f t="shared" ref="C65:U65" si="18">C63-C64</f>
        <v>1.7999999999999989</v>
      </c>
      <c r="D65" s="77">
        <f t="shared" si="18"/>
        <v>-0.6000000000000032</v>
      </c>
      <c r="E65" s="77">
        <f t="shared" si="18"/>
        <v>0</v>
      </c>
      <c r="F65" s="77">
        <f t="shared" si="18"/>
        <v>-1.2000000000000011</v>
      </c>
      <c r="G65" s="77">
        <f t="shared" si="18"/>
        <v>-0.6000000000000032</v>
      </c>
      <c r="H65" s="77">
        <f t="shared" si="18"/>
        <v>3</v>
      </c>
      <c r="I65" s="77">
        <f t="shared" si="18"/>
        <v>-0.6000000000000032</v>
      </c>
      <c r="J65" s="77">
        <f t="shared" si="18"/>
        <v>-1.2000000000000011</v>
      </c>
      <c r="K65" s="77">
        <f t="shared" si="18"/>
        <v>-1.7999999999999989</v>
      </c>
      <c r="L65" s="77">
        <f t="shared" si="18"/>
        <v>-1.7999999999999989</v>
      </c>
      <c r="M65" s="77">
        <f t="shared" si="18"/>
        <v>-2.4000000000000021</v>
      </c>
      <c r="N65" s="77">
        <f t="shared" si="18"/>
        <v>-2.4000000000000021</v>
      </c>
      <c r="O65" s="77">
        <f t="shared" si="18"/>
        <v>1.2000000000000011</v>
      </c>
      <c r="P65" s="77">
        <f t="shared" si="18"/>
        <v>2.3999999999999968</v>
      </c>
      <c r="Q65" s="77">
        <f t="shared" si="18"/>
        <v>1.7999999999999989</v>
      </c>
      <c r="R65" s="77">
        <f t="shared" si="18"/>
        <v>6.5999999999999979</v>
      </c>
      <c r="S65" s="77">
        <f t="shared" si="18"/>
        <v>5.3999999999999968</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29" sqref="A29:A3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PAN-018528</v>
      </c>
      <c r="D1" s="141"/>
      <c r="E1" s="93" t="s">
        <v>45</v>
      </c>
      <c r="F1" s="39">
        <f>Secanim!F1</f>
        <v>39.5</v>
      </c>
      <c r="G1" s="123" t="s">
        <v>43</v>
      </c>
      <c r="H1" s="124"/>
      <c r="I1" s="118">
        <v>3.94</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EPR-KP3594VE</v>
      </c>
      <c r="D2" s="143"/>
      <c r="E2" s="93" t="s">
        <v>109</v>
      </c>
      <c r="F2" s="96" t="s">
        <v>178</v>
      </c>
      <c r="G2" s="125" t="s">
        <v>110</v>
      </c>
      <c r="H2" s="126"/>
      <c r="I2" s="118">
        <v>252</v>
      </c>
      <c r="J2" s="127" t="s">
        <v>158</v>
      </c>
      <c r="K2" s="127"/>
      <c r="L2" s="97">
        <v>0.19</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7" t="s">
        <v>159</v>
      </c>
      <c r="H3" s="127"/>
      <c r="I3" s="118">
        <v>220</v>
      </c>
      <c r="J3" s="123" t="s">
        <v>154</v>
      </c>
      <c r="K3" s="124"/>
      <c r="L3" s="97">
        <f>(L1/(L2*10000))*100</f>
        <v>1.3157894736842104</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Fron Farm, Moel y Crio, CH7 5QW</v>
      </c>
      <c r="D4" s="141"/>
      <c r="E4" s="94" t="s">
        <v>1</v>
      </c>
      <c r="F4" s="96" t="s">
        <v>174</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8</v>
      </c>
      <c r="K8" s="60">
        <f>Secanim!K8</f>
        <v>9</v>
      </c>
      <c r="L8" s="60">
        <f>Secanim!L8</f>
        <v>10</v>
      </c>
      <c r="M8" s="60">
        <f>Secanim!M8</f>
        <v>11</v>
      </c>
      <c r="N8" s="60">
        <f>Secanim!N8</f>
        <v>12</v>
      </c>
      <c r="O8" s="60">
        <f>Secanim!O8</f>
        <v>13</v>
      </c>
      <c r="P8" s="60">
        <f>Secanim!P8</f>
        <v>14</v>
      </c>
      <c r="Q8" s="60">
        <f>Secanim!Q8</f>
        <v>16</v>
      </c>
      <c r="R8" s="60">
        <f>Secanim!R8</f>
        <v>17</v>
      </c>
      <c r="S8" s="60">
        <f>Secanim!S8</f>
        <v>18</v>
      </c>
      <c r="T8" s="60">
        <f>Secanim!T8</f>
        <v>19</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6.2</v>
      </c>
      <c r="D10" s="60">
        <f>Secanim!D10</f>
        <v>6.5</v>
      </c>
      <c r="E10" s="60">
        <f>Secanim!E10</f>
        <v>6.1</v>
      </c>
      <c r="F10" s="60">
        <f>Secanim!F10</f>
        <v>6.2</v>
      </c>
      <c r="G10" s="60">
        <f>Secanim!G10</f>
        <v>6</v>
      </c>
      <c r="H10" s="60">
        <f>Secanim!H10</f>
        <v>6.1</v>
      </c>
      <c r="I10" s="60">
        <f>Secanim!I10</f>
        <v>6.7</v>
      </c>
      <c r="J10" s="60">
        <f>Secanim!J10</f>
        <v>6.1</v>
      </c>
      <c r="K10" s="60">
        <f>Secanim!K10</f>
        <v>6</v>
      </c>
      <c r="L10" s="60">
        <f>Secanim!L10</f>
        <v>5.9</v>
      </c>
      <c r="M10" s="60">
        <f>Secanim!M10</f>
        <v>5.9</v>
      </c>
      <c r="N10" s="60">
        <f>Secanim!N10</f>
        <v>5.8</v>
      </c>
      <c r="O10" s="60">
        <f>Secanim!O10</f>
        <v>5.8</v>
      </c>
      <c r="P10" s="60">
        <f>Secanim!P10</f>
        <v>6.4</v>
      </c>
      <c r="Q10" s="60">
        <f>Secanim!Q10</f>
        <v>6.6</v>
      </c>
      <c r="R10" s="60">
        <f>Secanim!R10</f>
        <v>6.5</v>
      </c>
      <c r="S10" s="60">
        <f>Secanim!S10</f>
        <v>7.3</v>
      </c>
      <c r="T10" s="60">
        <f>Secanim!T10</f>
        <v>7.1</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2</v>
      </c>
      <c r="D11" s="60">
        <f>Secanim!D11</f>
        <v>3</v>
      </c>
      <c r="E11" s="60">
        <f>Secanim!E11</f>
        <v>2</v>
      </c>
      <c r="F11" s="60">
        <f>Secanim!F11</f>
        <v>1</v>
      </c>
      <c r="G11" s="60">
        <f>Secanim!G11</f>
        <v>1</v>
      </c>
      <c r="H11" s="60">
        <f>Secanim!H11</f>
        <v>1</v>
      </c>
      <c r="I11" s="60">
        <f>Secanim!I11</f>
        <v>1</v>
      </c>
      <c r="J11" s="60">
        <f>Secanim!J11</f>
        <v>1</v>
      </c>
      <c r="K11" s="60">
        <f>Secanim!K11</f>
        <v>1</v>
      </c>
      <c r="L11" s="60">
        <f>Secanim!L11</f>
        <v>1</v>
      </c>
      <c r="M11" s="60">
        <f>Secanim!M11</f>
        <v>1</v>
      </c>
      <c r="N11" s="60">
        <f>Secanim!N11</f>
        <v>0</v>
      </c>
      <c r="O11" s="60">
        <f>Secanim!O11</f>
        <v>0</v>
      </c>
      <c r="P11" s="60">
        <f>Secanim!P11</f>
        <v>1</v>
      </c>
      <c r="Q11" s="60">
        <f>Secanim!Q11</f>
        <v>3</v>
      </c>
      <c r="R11" s="60">
        <f>Secanim!R11</f>
        <v>2</v>
      </c>
      <c r="S11" s="60">
        <f>Secanim!S11</f>
        <v>3</v>
      </c>
      <c r="T11" s="60">
        <f>Secanim!T11</f>
        <v>1</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t="str">
        <f>Secanim!D12</f>
        <v>2-</v>
      </c>
      <c r="E12" s="60">
        <f>Secanim!E12</f>
        <v>1</v>
      </c>
      <c r="F12" s="60">
        <f>Secanim!F12</f>
        <v>0</v>
      </c>
      <c r="G12" s="60">
        <f>Secanim!G12</f>
        <v>1</v>
      </c>
      <c r="H12" s="60">
        <f>Secanim!H12</f>
        <v>1</v>
      </c>
      <c r="I12" s="60">
        <f>Secanim!I12</f>
        <v>1</v>
      </c>
      <c r="J12" s="60">
        <f>Secanim!J12</f>
        <v>1</v>
      </c>
      <c r="K12" s="60">
        <f>Secanim!K12</f>
        <v>0</v>
      </c>
      <c r="L12" s="60">
        <f>Secanim!L12</f>
        <v>0</v>
      </c>
      <c r="M12" s="60" t="str">
        <f>Secanim!M12</f>
        <v>2-</v>
      </c>
      <c r="N12" s="60">
        <f>Secanim!N12</f>
        <v>0</v>
      </c>
      <c r="O12" s="60">
        <f>Secanim!O12</f>
        <v>0</v>
      </c>
      <c r="P12" s="60">
        <f>Secanim!P12</f>
        <v>1</v>
      </c>
      <c r="Q12" s="60">
        <f>Secanim!Q12</f>
        <v>1</v>
      </c>
      <c r="R12" s="60">
        <f>Secanim!R12</f>
        <v>1</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2</v>
      </c>
      <c r="R13" s="60">
        <f>Secanim!R13</f>
        <v>2</v>
      </c>
      <c r="S13" s="60">
        <f>Secanim!S13</f>
        <v>1</v>
      </c>
      <c r="T13" s="60">
        <f>Secanim!T13</f>
        <v>1</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63.758529999999993</v>
      </c>
      <c r="D18" s="16">
        <f>$D32</f>
        <v>63.758529999999993</v>
      </c>
      <c r="E18" s="16">
        <f>$D33</f>
        <v>63.758529999999993</v>
      </c>
      <c r="F18" s="16">
        <f>$D34</f>
        <v>63.758529999999993</v>
      </c>
      <c r="G18" s="16">
        <f>$D35</f>
        <v>63.758529999999993</v>
      </c>
      <c r="H18" s="16">
        <f>$D36</f>
        <v>63.758529999999993</v>
      </c>
      <c r="I18" s="16">
        <f>$D37</f>
        <v>63.758529999999993</v>
      </c>
      <c r="J18" s="16">
        <f>$D38</f>
        <v>63.758529999999993</v>
      </c>
      <c r="K18" s="16">
        <f>$D39</f>
        <v>63.758529999999993</v>
      </c>
      <c r="L18" s="16">
        <f>$D40</f>
        <v>63.758529999999993</v>
      </c>
      <c r="M18" s="16">
        <f>$D41</f>
        <v>63.758529999999993</v>
      </c>
      <c r="N18" s="16">
        <f>$D42</f>
        <v>63.758529999999993</v>
      </c>
      <c r="O18" s="16">
        <f>$D43</f>
        <v>63.758529999999993</v>
      </c>
      <c r="P18" s="16">
        <f>$D44</f>
        <v>63.758529999999993</v>
      </c>
      <c r="Q18" s="16">
        <f>$D45</f>
        <v>63.758529999999993</v>
      </c>
      <c r="R18" s="16">
        <f>$D46</f>
        <v>63.758529999999993</v>
      </c>
      <c r="S18" s="16">
        <f>$D47</f>
        <v>63.758529999999993</v>
      </c>
      <c r="T18" s="16">
        <f>$D48</f>
        <v>63.758529999999993</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-0.84147000000000105</v>
      </c>
      <c r="D19" s="16">
        <f t="shared" ref="D19:V19" si="1">D18-D17</f>
        <v>-0.84147000000000105</v>
      </c>
      <c r="E19" s="16">
        <f t="shared" si="1"/>
        <v>-0.84147000000000105</v>
      </c>
      <c r="F19" s="16">
        <f t="shared" si="1"/>
        <v>-0.84147000000000105</v>
      </c>
      <c r="G19" s="16">
        <f t="shared" si="1"/>
        <v>-0.84147000000000105</v>
      </c>
      <c r="H19" s="16">
        <f t="shared" si="1"/>
        <v>-0.84147000000000105</v>
      </c>
      <c r="I19" s="16">
        <f t="shared" si="1"/>
        <v>-0.84147000000000105</v>
      </c>
      <c r="J19" s="16">
        <f t="shared" si="1"/>
        <v>-0.84147000000000105</v>
      </c>
      <c r="K19" s="16">
        <f t="shared" si="1"/>
        <v>-0.84147000000000105</v>
      </c>
      <c r="L19" s="16">
        <f t="shared" si="1"/>
        <v>-0.84147000000000105</v>
      </c>
      <c r="M19" s="16">
        <f t="shared" si="1"/>
        <v>-0.84147000000000105</v>
      </c>
      <c r="N19" s="16">
        <f t="shared" si="1"/>
        <v>-0.84147000000000105</v>
      </c>
      <c r="O19" s="16">
        <f t="shared" si="1"/>
        <v>-0.84147000000000105</v>
      </c>
      <c r="P19" s="16">
        <f t="shared" si="1"/>
        <v>-0.84147000000000105</v>
      </c>
      <c r="Q19" s="16">
        <f t="shared" si="1"/>
        <v>-0.84147000000000105</v>
      </c>
      <c r="R19" s="16">
        <f t="shared" si="1"/>
        <v>-0.84147000000000105</v>
      </c>
      <c r="S19" s="16">
        <f t="shared" si="1"/>
        <v>-0.84147000000000105</v>
      </c>
      <c r="T19" s="16">
        <f t="shared" si="1"/>
        <v>-0.84147000000000105</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21.201975000000001</v>
      </c>
      <c r="D22" s="16">
        <f>$E32</f>
        <v>21.201975000000001</v>
      </c>
      <c r="E22" s="16">
        <f>$E33</f>
        <v>21.201975000000001</v>
      </c>
      <c r="F22" s="16">
        <f>$E34</f>
        <v>21.201975000000001</v>
      </c>
      <c r="G22" s="16">
        <f>$E35</f>
        <v>21.201975000000001</v>
      </c>
      <c r="H22" s="16">
        <f>$E36</f>
        <v>21.201975000000001</v>
      </c>
      <c r="I22" s="16">
        <f>$E37</f>
        <v>21.201975000000001</v>
      </c>
      <c r="J22" s="16">
        <f>$E38</f>
        <v>21.201975000000001</v>
      </c>
      <c r="K22" s="16">
        <f>$E39</f>
        <v>21.201975000000001</v>
      </c>
      <c r="L22" s="16">
        <f>$E40</f>
        <v>21.201975000000001</v>
      </c>
      <c r="M22" s="16">
        <f>$E41</f>
        <v>21.201975000000001</v>
      </c>
      <c r="N22" s="16">
        <f>$E42</f>
        <v>21.201975000000001</v>
      </c>
      <c r="O22" s="16">
        <f>$E43</f>
        <v>21.201975000000001</v>
      </c>
      <c r="P22" s="16">
        <f>$E44</f>
        <v>21.201975000000001</v>
      </c>
      <c r="Q22" s="16">
        <f>$E45</f>
        <v>21.201975000000001</v>
      </c>
      <c r="R22" s="16">
        <f>$E46</f>
        <v>21.201975000000001</v>
      </c>
      <c r="S22" s="16">
        <f>$E47</f>
        <v>21.201975000000001</v>
      </c>
      <c r="T22" s="16">
        <f>$E48</f>
        <v>21.201975000000001</v>
      </c>
      <c r="U22" s="16">
        <f>$E49</f>
        <v>0</v>
      </c>
      <c r="V22" s="16">
        <f>$E50</f>
        <v>0</v>
      </c>
      <c r="AI22" s="63" t="s">
        <v>102</v>
      </c>
      <c r="AJ22" s="64">
        <v>1.2</v>
      </c>
      <c r="AK22" s="65">
        <v>5</v>
      </c>
      <c r="AL22" s="29">
        <v>20</v>
      </c>
      <c r="AM22" s="11">
        <v>6.7</v>
      </c>
      <c r="AN22" s="11" t="s">
        <v>135</v>
      </c>
    </row>
    <row r="23" spans="1:40" x14ac:dyDescent="0.2">
      <c r="A23" s="131" t="s">
        <v>92</v>
      </c>
      <c r="B23" s="132"/>
      <c r="C23" s="16">
        <f>C22-C21</f>
        <v>-206.798025</v>
      </c>
      <c r="D23" s="16">
        <f t="shared" ref="D23:V23" si="3">D22-D21</f>
        <v>-206.798025</v>
      </c>
      <c r="E23" s="16">
        <f t="shared" si="3"/>
        <v>-206.798025</v>
      </c>
      <c r="F23" s="16">
        <f t="shared" si="3"/>
        <v>-206.798025</v>
      </c>
      <c r="G23" s="16">
        <f t="shared" si="3"/>
        <v>-206.798025</v>
      </c>
      <c r="H23" s="16">
        <f t="shared" si="3"/>
        <v>-206.798025</v>
      </c>
      <c r="I23" s="16">
        <f t="shared" si="3"/>
        <v>-206.798025</v>
      </c>
      <c r="J23" s="16">
        <f t="shared" si="3"/>
        <v>-206.798025</v>
      </c>
      <c r="K23" s="16">
        <f t="shared" si="3"/>
        <v>-206.798025</v>
      </c>
      <c r="L23" s="16">
        <f t="shared" si="3"/>
        <v>-206.798025</v>
      </c>
      <c r="M23" s="16">
        <f t="shared" si="3"/>
        <v>-206.798025</v>
      </c>
      <c r="N23" s="16">
        <f t="shared" si="3"/>
        <v>-206.798025</v>
      </c>
      <c r="O23" s="16">
        <f t="shared" si="3"/>
        <v>-206.798025</v>
      </c>
      <c r="P23" s="16">
        <f t="shared" si="3"/>
        <v>-206.798025</v>
      </c>
      <c r="Q23" s="16">
        <f t="shared" si="3"/>
        <v>-206.798025</v>
      </c>
      <c r="R23" s="16">
        <f t="shared" si="3"/>
        <v>-206.798025</v>
      </c>
      <c r="S23" s="16">
        <f t="shared" si="3"/>
        <v>-206.798025</v>
      </c>
      <c r="T23" s="16">
        <f t="shared" si="3"/>
        <v>-206.798025</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3.25</v>
      </c>
      <c r="C28" s="15">
        <v>0.19</v>
      </c>
      <c r="D28" s="15">
        <v>242</v>
      </c>
      <c r="E28" s="15">
        <v>153</v>
      </c>
      <c r="F28" s="15">
        <v>28</v>
      </c>
      <c r="G28" s="15">
        <v>2.5</v>
      </c>
      <c r="H28" s="15">
        <v>1.87</v>
      </c>
      <c r="I28" s="15">
        <v>0.753</v>
      </c>
      <c r="J28" s="15">
        <v>0.01</v>
      </c>
      <c r="K28" s="23">
        <v>0.05</v>
      </c>
      <c r="L28" s="15">
        <v>0.2</v>
      </c>
      <c r="M28" s="15">
        <v>0.32300000000000001</v>
      </c>
      <c r="N28" s="15"/>
      <c r="O28" s="15"/>
      <c r="P28" s="15">
        <v>160</v>
      </c>
      <c r="Q28" s="15">
        <v>107</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115</v>
      </c>
      <c r="C31" s="77">
        <f>IF(C$27="%w/w SAR",((C$28*10)*$B31),IF(C$27="%w/w DM",(((C$28*10)*($B$28/100))*$B31),IF(C$27="kg/t SAR",(C$28*$B31),IF(C$27="kg/t DM",((C$28*($B$28/100))*$B31),IF(C$27="mg/kg SAR",((C$28*0.001)*$B31),IF(C$27="mg/kg DM",(((C$28*0.001)*($B$28/100))*$B31),0))))))</f>
        <v>218.5</v>
      </c>
      <c r="D31" s="77">
        <f>(IF(D$27="%w/w SAR",((D$28*10)*$B31),IF(D$27="%w/w DM",(((D$28*10)*($B$28/100))*$B31),IF(D$27="kg/t SAR",(D$28*$B31),IF(D$27="kg/t DM",((D$28*($B$28/100))*$B31),IF(D$27="mg/kg SAR",((D$28*0.001)*$B31),IF(D$27="mg/kg DM",(((D$28*0.001)*($B$28/100))*$B31),"0")))))))*2.291</f>
        <v>63.758529999999993</v>
      </c>
      <c r="E31" s="77">
        <f>(IF(E$27="%w/w SAR",((E$28*10)*$B31),IF(E$27="%w/w DM",(((E$28*10)*($B$28/100))*$B31),IF(E$27="kg/t SAR",(E$28*$B31),IF(E$27="kg/t DM",((E$28*($B$28/100))*$B31),IF(E$27="mg/kg SAR",((E$28*0.001)*$B31),IF(E$27="mg/kg DM",(((E$28*0.001)*($B$28/100))*$B31),"0")))))))*1.205</f>
        <v>21.201975000000001</v>
      </c>
      <c r="F31" s="77">
        <f>(IF(F$27="%w/w SAR",((F$28*10)*$B31),IF(F$27="%w/w DM",(((F$28*10)*($B$28/100))*$B31),IF(F$27="kg/t SAR",(F$28*$B31),IF(F$27="kg/t DM",((F$28*($B$28/100))*$B31),IF(F$27="mg/kg SAR",((F$28*0.001)*$B31),IF(F$27="mg/kg DM",(((F$28*0.001)*($B$28/100))*$B31),"0")))))))*1.658</f>
        <v>5.3387599999999997</v>
      </c>
      <c r="G31" s="77">
        <f t="shared" ref="G31:P46" si="5">IF(G$27="%w/w SAR",((G$28*10)*$B31),IF(G$27="%w/w DM",(((G$28*10)*($B$28/100))*$B31),IF(G$27="kg/t SAR",(G$28*$B31),IF(G$27="kg/t DM",((G$28*($B$28/100))*$B31),IF(G$27="mg/kg SAR",((G$28*0.001)*$B31),IF(G$27="mg/kg DM",(((G$28*0.001)*($B$28/100))*$B31),0))))))</f>
        <v>0.28750000000000003</v>
      </c>
      <c r="H31" s="77">
        <f t="shared" si="5"/>
        <v>0.21505000000000002</v>
      </c>
      <c r="I31" s="77">
        <f t="shared" si="5"/>
        <v>8.6594999999999991E-2</v>
      </c>
      <c r="J31" s="77">
        <f t="shared" si="5"/>
        <v>1.1500000000000002E-3</v>
      </c>
      <c r="K31" s="77">
        <f t="shared" si="5"/>
        <v>5.7499999999999999E-3</v>
      </c>
      <c r="L31" s="77">
        <f t="shared" si="5"/>
        <v>2.3E-2</v>
      </c>
      <c r="M31" s="77">
        <f t="shared" si="5"/>
        <v>3.7144999999999997E-2</v>
      </c>
      <c r="N31" s="77">
        <f t="shared" si="5"/>
        <v>0</v>
      </c>
      <c r="O31" s="77">
        <f t="shared" si="5"/>
        <v>0</v>
      </c>
      <c r="P31" s="77">
        <f t="shared" si="5"/>
        <v>18.400000000000002</v>
      </c>
      <c r="Q31" s="77">
        <f>(IF(Q$27="%w/w SAR",((Q$28*10)*$B31),IF(Q$27="%w/w DM",(((Q$28*10)*($B$28/100))*$B31),IF(Q$27="kg/t SAR",(Q$28*$B31),IF(Q$27="kg/t DM",((Q$28*($B$28/100))*$B31),IF(Q$27="mg/kg SAR",((Q$28*0.001)*$B31),IF(Q$27="mg/kg DM",(((Q$28*0.001)*($B$28/100))*$B31),0)))))))*2.5</f>
        <v>30.762499999999999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115</v>
      </c>
      <c r="C32" s="77">
        <f t="shared" ref="C32:C50" si="6">IF(C$27="%w/w SAR",((C$28*10)*$B32),IF(C$27="%w/w DM",(((C$28*10)*($B$28/100))*$B32),IF(C$27="kg/t SAR",(C$28*$B32),IF(C$27="kg/t DM",((C$28*($B$28/100))*$B32),IF(C$27="mg/kg SAR",((C$28*0.001)*$B32),IF(C$27="mg/kg DM",(((C$28*0.001)*($B$28/100))*$B32),0))))))</f>
        <v>218.5</v>
      </c>
      <c r="D32" s="77">
        <f t="shared" ref="D32:D50" si="7">(IF(D$27="%w/w SAR",((D$28*10)*$B32),IF(D$27="%w/w DM",(((D$28*10)*($B$28/100))*$B32),IF(D$27="kg/t SAR",(D$28*$B32),IF(D$27="kg/t DM",((D$28*($B$28/100))*$B32),IF(D$27="mg/kg SAR",((D$28*0.001)*$B32),IF(D$27="mg/kg DM",(((D$28*0.001)*($B$28/100))*$B32),"0")))))))*2.291</f>
        <v>63.758529999999993</v>
      </c>
      <c r="E32" s="77">
        <f t="shared" ref="E32:E50" si="8">(IF(E$27="%w/w SAR",((E$28*10)*$B32),IF(E$27="%w/w DM",(((E$28*10)*($B$28/100))*$B32),IF(E$27="kg/t SAR",(E$28*$B32),IF(E$27="kg/t DM",((E$28*($B$28/100))*$B32),IF(E$27="mg/kg SAR",((E$28*0.001)*$B32),IF(E$27="mg/kg DM",(((E$28*0.001)*($B$28/100))*$B32),"0")))))))*1.205</f>
        <v>21.201975000000001</v>
      </c>
      <c r="F32" s="77">
        <f t="shared" ref="F32:F50" si="9">(IF(F$27="%w/w SAR",((F$28*10)*$B32),IF(F$27="%w/w DM",(((F$28*10)*($B$28/100))*$B32),IF(F$27="kg/t SAR",(F$28*$B32),IF(F$27="kg/t DM",((F$28*($B$28/100))*$B32),IF(F$27="mg/kg SAR",((F$28*0.001)*$B32),IF(F$27="mg/kg DM",(((F$28*0.001)*($B$28/100))*$B32),"0")))))))*1.658</f>
        <v>5.3387599999999997</v>
      </c>
      <c r="G32" s="77">
        <f t="shared" si="5"/>
        <v>0.28750000000000003</v>
      </c>
      <c r="H32" s="77">
        <f t="shared" si="5"/>
        <v>0.21505000000000002</v>
      </c>
      <c r="I32" s="77">
        <f t="shared" si="5"/>
        <v>8.6594999999999991E-2</v>
      </c>
      <c r="J32" s="77">
        <f t="shared" si="5"/>
        <v>1.1500000000000002E-3</v>
      </c>
      <c r="K32" s="77">
        <f t="shared" si="5"/>
        <v>5.7499999999999999E-3</v>
      </c>
      <c r="L32" s="77">
        <f t="shared" si="5"/>
        <v>2.3E-2</v>
      </c>
      <c r="M32" s="77">
        <f t="shared" si="5"/>
        <v>3.7144999999999997E-2</v>
      </c>
      <c r="N32" s="77">
        <f t="shared" si="5"/>
        <v>0</v>
      </c>
      <c r="O32" s="77">
        <f t="shared" si="5"/>
        <v>0</v>
      </c>
      <c r="P32" s="77">
        <f t="shared" si="5"/>
        <v>18.400000000000002</v>
      </c>
      <c r="Q32" s="77">
        <f t="shared" ref="Q32:Q50" si="10">(IF(Q$27="%w/w SAR",((Q$28*10)*$B32),IF(Q$27="%w/w DM",(((Q$28*10)*($B$28/100))*$B32),IF(Q$27="kg/t SAR",(Q$28*$B32),IF(Q$27="kg/t DM",((Q$28*($B$28/100))*$B32),IF(Q$27="mg/kg SAR",((Q$28*0.001)*$B32),IF(Q$27="mg/kg DM",(((Q$28*0.001)*($B$28/100))*$B32),0)))))))*2.5</f>
        <v>30.762499999999999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115</v>
      </c>
      <c r="C33" s="77">
        <f t="shared" si="6"/>
        <v>218.5</v>
      </c>
      <c r="D33" s="77">
        <f t="shared" si="7"/>
        <v>63.758529999999993</v>
      </c>
      <c r="E33" s="77">
        <f t="shared" si="8"/>
        <v>21.201975000000001</v>
      </c>
      <c r="F33" s="77">
        <f t="shared" si="9"/>
        <v>5.3387599999999997</v>
      </c>
      <c r="G33" s="77">
        <f t="shared" si="5"/>
        <v>0.28750000000000003</v>
      </c>
      <c r="H33" s="77">
        <f t="shared" si="5"/>
        <v>0.21505000000000002</v>
      </c>
      <c r="I33" s="77">
        <f t="shared" si="5"/>
        <v>8.6594999999999991E-2</v>
      </c>
      <c r="J33" s="77">
        <f t="shared" si="5"/>
        <v>1.1500000000000002E-3</v>
      </c>
      <c r="K33" s="77">
        <f t="shared" si="5"/>
        <v>5.7499999999999999E-3</v>
      </c>
      <c r="L33" s="77">
        <f t="shared" si="5"/>
        <v>2.3E-2</v>
      </c>
      <c r="M33" s="77">
        <f t="shared" si="5"/>
        <v>3.7144999999999997E-2</v>
      </c>
      <c r="N33" s="77">
        <f t="shared" si="5"/>
        <v>0</v>
      </c>
      <c r="O33" s="77">
        <f t="shared" si="5"/>
        <v>0</v>
      </c>
      <c r="P33" s="77">
        <f t="shared" si="5"/>
        <v>18.400000000000002</v>
      </c>
      <c r="Q33" s="77">
        <f t="shared" si="10"/>
        <v>30.762499999999999</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115</v>
      </c>
      <c r="C34" s="77">
        <f t="shared" si="6"/>
        <v>218.5</v>
      </c>
      <c r="D34" s="77">
        <f t="shared" si="7"/>
        <v>63.758529999999993</v>
      </c>
      <c r="E34" s="77">
        <f t="shared" si="8"/>
        <v>21.201975000000001</v>
      </c>
      <c r="F34" s="77">
        <f t="shared" si="9"/>
        <v>5.3387599999999997</v>
      </c>
      <c r="G34" s="77">
        <f t="shared" si="5"/>
        <v>0.28750000000000003</v>
      </c>
      <c r="H34" s="77">
        <f t="shared" si="5"/>
        <v>0.21505000000000002</v>
      </c>
      <c r="I34" s="77">
        <f t="shared" si="5"/>
        <v>8.6594999999999991E-2</v>
      </c>
      <c r="J34" s="77">
        <f t="shared" si="5"/>
        <v>1.1500000000000002E-3</v>
      </c>
      <c r="K34" s="77">
        <f t="shared" si="5"/>
        <v>5.7499999999999999E-3</v>
      </c>
      <c r="L34" s="77">
        <f t="shared" si="5"/>
        <v>2.3E-2</v>
      </c>
      <c r="M34" s="77">
        <f t="shared" si="5"/>
        <v>3.7144999999999997E-2</v>
      </c>
      <c r="N34" s="77">
        <f t="shared" si="5"/>
        <v>0</v>
      </c>
      <c r="O34" s="77">
        <f t="shared" si="5"/>
        <v>0</v>
      </c>
      <c r="P34" s="77">
        <f t="shared" si="5"/>
        <v>18.400000000000002</v>
      </c>
      <c r="Q34" s="77">
        <f t="shared" si="10"/>
        <v>30.762499999999999</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115</v>
      </c>
      <c r="C35" s="77">
        <f t="shared" si="6"/>
        <v>218.5</v>
      </c>
      <c r="D35" s="77">
        <f t="shared" si="7"/>
        <v>63.758529999999993</v>
      </c>
      <c r="E35" s="77">
        <f t="shared" si="8"/>
        <v>21.201975000000001</v>
      </c>
      <c r="F35" s="77">
        <f t="shared" si="9"/>
        <v>5.3387599999999997</v>
      </c>
      <c r="G35" s="77">
        <f t="shared" si="5"/>
        <v>0.28750000000000003</v>
      </c>
      <c r="H35" s="77">
        <f t="shared" si="5"/>
        <v>0.21505000000000002</v>
      </c>
      <c r="I35" s="77">
        <f t="shared" si="5"/>
        <v>8.6594999999999991E-2</v>
      </c>
      <c r="J35" s="77">
        <f t="shared" si="5"/>
        <v>1.1500000000000002E-3</v>
      </c>
      <c r="K35" s="77">
        <f t="shared" si="5"/>
        <v>5.7499999999999999E-3</v>
      </c>
      <c r="L35" s="77">
        <f t="shared" si="5"/>
        <v>2.3E-2</v>
      </c>
      <c r="M35" s="77">
        <f t="shared" si="5"/>
        <v>3.7144999999999997E-2</v>
      </c>
      <c r="N35" s="77">
        <f t="shared" si="5"/>
        <v>0</v>
      </c>
      <c r="O35" s="77">
        <f t="shared" si="5"/>
        <v>0</v>
      </c>
      <c r="P35" s="77">
        <f t="shared" si="5"/>
        <v>18.400000000000002</v>
      </c>
      <c r="Q35" s="77">
        <f t="shared" si="10"/>
        <v>30.762499999999999</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115</v>
      </c>
      <c r="C36" s="77">
        <f t="shared" si="6"/>
        <v>218.5</v>
      </c>
      <c r="D36" s="77">
        <f t="shared" si="7"/>
        <v>63.758529999999993</v>
      </c>
      <c r="E36" s="77">
        <f t="shared" si="8"/>
        <v>21.201975000000001</v>
      </c>
      <c r="F36" s="77">
        <f t="shared" si="9"/>
        <v>5.3387599999999997</v>
      </c>
      <c r="G36" s="77">
        <f t="shared" si="5"/>
        <v>0.28750000000000003</v>
      </c>
      <c r="H36" s="77">
        <f t="shared" si="5"/>
        <v>0.21505000000000002</v>
      </c>
      <c r="I36" s="77">
        <f t="shared" si="5"/>
        <v>8.6594999999999991E-2</v>
      </c>
      <c r="J36" s="77">
        <f t="shared" si="5"/>
        <v>1.1500000000000002E-3</v>
      </c>
      <c r="K36" s="77">
        <f t="shared" si="5"/>
        <v>5.7499999999999999E-3</v>
      </c>
      <c r="L36" s="77">
        <f t="shared" si="5"/>
        <v>2.3E-2</v>
      </c>
      <c r="M36" s="77">
        <f t="shared" si="5"/>
        <v>3.7144999999999997E-2</v>
      </c>
      <c r="N36" s="77">
        <f t="shared" si="5"/>
        <v>0</v>
      </c>
      <c r="O36" s="77">
        <f t="shared" si="5"/>
        <v>0</v>
      </c>
      <c r="P36" s="77">
        <f t="shared" si="5"/>
        <v>18.400000000000002</v>
      </c>
      <c r="Q36" s="77">
        <f t="shared" si="10"/>
        <v>30.762499999999999</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115</v>
      </c>
      <c r="C37" s="77">
        <f t="shared" si="6"/>
        <v>218.5</v>
      </c>
      <c r="D37" s="77">
        <f t="shared" si="7"/>
        <v>63.758529999999993</v>
      </c>
      <c r="E37" s="77">
        <f t="shared" si="8"/>
        <v>21.201975000000001</v>
      </c>
      <c r="F37" s="77">
        <f t="shared" si="9"/>
        <v>5.3387599999999997</v>
      </c>
      <c r="G37" s="77">
        <f t="shared" si="5"/>
        <v>0.28750000000000003</v>
      </c>
      <c r="H37" s="77">
        <f t="shared" si="5"/>
        <v>0.21505000000000002</v>
      </c>
      <c r="I37" s="77">
        <f t="shared" si="5"/>
        <v>8.6594999999999991E-2</v>
      </c>
      <c r="J37" s="77">
        <f t="shared" si="5"/>
        <v>1.1500000000000002E-3</v>
      </c>
      <c r="K37" s="77">
        <f t="shared" si="5"/>
        <v>5.7499999999999999E-3</v>
      </c>
      <c r="L37" s="77">
        <f t="shared" si="5"/>
        <v>2.3E-2</v>
      </c>
      <c r="M37" s="77">
        <f t="shared" si="5"/>
        <v>3.7144999999999997E-2</v>
      </c>
      <c r="N37" s="77">
        <f t="shared" si="5"/>
        <v>0</v>
      </c>
      <c r="O37" s="77">
        <f t="shared" si="5"/>
        <v>0</v>
      </c>
      <c r="P37" s="77">
        <f t="shared" si="5"/>
        <v>18.400000000000002</v>
      </c>
      <c r="Q37" s="77">
        <f t="shared" si="10"/>
        <v>30.762499999999999</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115</v>
      </c>
      <c r="C38" s="77">
        <f t="shared" si="6"/>
        <v>218.5</v>
      </c>
      <c r="D38" s="77">
        <f t="shared" si="7"/>
        <v>63.758529999999993</v>
      </c>
      <c r="E38" s="77">
        <f t="shared" si="8"/>
        <v>21.201975000000001</v>
      </c>
      <c r="F38" s="77">
        <f t="shared" si="9"/>
        <v>5.3387599999999997</v>
      </c>
      <c r="G38" s="77">
        <f t="shared" si="5"/>
        <v>0.28750000000000003</v>
      </c>
      <c r="H38" s="77">
        <f t="shared" si="5"/>
        <v>0.21505000000000002</v>
      </c>
      <c r="I38" s="77">
        <f t="shared" si="5"/>
        <v>8.6594999999999991E-2</v>
      </c>
      <c r="J38" s="77">
        <f t="shared" si="5"/>
        <v>1.1500000000000002E-3</v>
      </c>
      <c r="K38" s="77">
        <f t="shared" si="5"/>
        <v>5.7499999999999999E-3</v>
      </c>
      <c r="L38" s="77">
        <f t="shared" si="5"/>
        <v>2.3E-2</v>
      </c>
      <c r="M38" s="77">
        <f t="shared" si="5"/>
        <v>3.7144999999999997E-2</v>
      </c>
      <c r="N38" s="77">
        <f t="shared" si="5"/>
        <v>0</v>
      </c>
      <c r="O38" s="77">
        <f t="shared" si="5"/>
        <v>0</v>
      </c>
      <c r="P38" s="77">
        <f t="shared" si="5"/>
        <v>18.400000000000002</v>
      </c>
      <c r="Q38" s="77">
        <f t="shared" si="10"/>
        <v>30.762499999999999</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115</v>
      </c>
      <c r="C39" s="77">
        <f t="shared" si="6"/>
        <v>218.5</v>
      </c>
      <c r="D39" s="77">
        <f t="shared" si="7"/>
        <v>63.758529999999993</v>
      </c>
      <c r="E39" s="77">
        <f t="shared" si="8"/>
        <v>21.201975000000001</v>
      </c>
      <c r="F39" s="77">
        <f t="shared" si="9"/>
        <v>5.3387599999999997</v>
      </c>
      <c r="G39" s="77">
        <f t="shared" si="5"/>
        <v>0.28750000000000003</v>
      </c>
      <c r="H39" s="77">
        <f t="shared" si="5"/>
        <v>0.21505000000000002</v>
      </c>
      <c r="I39" s="77">
        <f t="shared" si="5"/>
        <v>8.6594999999999991E-2</v>
      </c>
      <c r="J39" s="77">
        <f t="shared" si="5"/>
        <v>1.1500000000000002E-3</v>
      </c>
      <c r="K39" s="77">
        <f t="shared" si="5"/>
        <v>5.7499999999999999E-3</v>
      </c>
      <c r="L39" s="77">
        <f t="shared" si="5"/>
        <v>2.3E-2</v>
      </c>
      <c r="M39" s="77">
        <f t="shared" si="5"/>
        <v>3.7144999999999997E-2</v>
      </c>
      <c r="N39" s="77">
        <f t="shared" si="5"/>
        <v>0</v>
      </c>
      <c r="O39" s="77">
        <f t="shared" si="5"/>
        <v>0</v>
      </c>
      <c r="P39" s="77">
        <f t="shared" si="5"/>
        <v>18.400000000000002</v>
      </c>
      <c r="Q39" s="77">
        <f t="shared" si="10"/>
        <v>30.762499999999999</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115</v>
      </c>
      <c r="C40" s="77">
        <f t="shared" si="6"/>
        <v>218.5</v>
      </c>
      <c r="D40" s="77">
        <f t="shared" si="7"/>
        <v>63.758529999999993</v>
      </c>
      <c r="E40" s="77">
        <f t="shared" si="8"/>
        <v>21.201975000000001</v>
      </c>
      <c r="F40" s="77">
        <f t="shared" si="9"/>
        <v>5.3387599999999997</v>
      </c>
      <c r="G40" s="77">
        <f t="shared" si="5"/>
        <v>0.28750000000000003</v>
      </c>
      <c r="H40" s="77">
        <f t="shared" si="5"/>
        <v>0.21505000000000002</v>
      </c>
      <c r="I40" s="77">
        <f t="shared" si="5"/>
        <v>8.6594999999999991E-2</v>
      </c>
      <c r="J40" s="77">
        <f t="shared" si="5"/>
        <v>1.1500000000000002E-3</v>
      </c>
      <c r="K40" s="77">
        <f t="shared" si="5"/>
        <v>5.7499999999999999E-3</v>
      </c>
      <c r="L40" s="77">
        <f t="shared" si="5"/>
        <v>2.3E-2</v>
      </c>
      <c r="M40" s="77">
        <f t="shared" si="5"/>
        <v>3.7144999999999997E-2</v>
      </c>
      <c r="N40" s="77">
        <f t="shared" si="5"/>
        <v>0</v>
      </c>
      <c r="O40" s="77">
        <f t="shared" si="5"/>
        <v>0</v>
      </c>
      <c r="P40" s="77">
        <f t="shared" si="5"/>
        <v>18.400000000000002</v>
      </c>
      <c r="Q40" s="77">
        <f t="shared" si="10"/>
        <v>30.762499999999999</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115</v>
      </c>
      <c r="C41" s="77">
        <f t="shared" si="6"/>
        <v>218.5</v>
      </c>
      <c r="D41" s="77">
        <f t="shared" si="7"/>
        <v>63.758529999999993</v>
      </c>
      <c r="E41" s="77">
        <f t="shared" si="8"/>
        <v>21.201975000000001</v>
      </c>
      <c r="F41" s="77">
        <f t="shared" si="9"/>
        <v>5.3387599999999997</v>
      </c>
      <c r="G41" s="77">
        <f t="shared" si="5"/>
        <v>0.28750000000000003</v>
      </c>
      <c r="H41" s="77">
        <f t="shared" si="5"/>
        <v>0.21505000000000002</v>
      </c>
      <c r="I41" s="77">
        <f t="shared" si="5"/>
        <v>8.6594999999999991E-2</v>
      </c>
      <c r="J41" s="77">
        <f t="shared" si="5"/>
        <v>1.1500000000000002E-3</v>
      </c>
      <c r="K41" s="77">
        <f t="shared" si="5"/>
        <v>5.7499999999999999E-3</v>
      </c>
      <c r="L41" s="77">
        <f t="shared" si="5"/>
        <v>2.3E-2</v>
      </c>
      <c r="M41" s="77">
        <f t="shared" si="5"/>
        <v>3.7144999999999997E-2</v>
      </c>
      <c r="N41" s="77">
        <f t="shared" si="5"/>
        <v>0</v>
      </c>
      <c r="O41" s="77">
        <f t="shared" si="5"/>
        <v>0</v>
      </c>
      <c r="P41" s="77">
        <f t="shared" si="5"/>
        <v>18.400000000000002</v>
      </c>
      <c r="Q41" s="77">
        <f t="shared" si="10"/>
        <v>30.762499999999999</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115</v>
      </c>
      <c r="C42" s="77">
        <f t="shared" si="6"/>
        <v>218.5</v>
      </c>
      <c r="D42" s="77">
        <f t="shared" si="7"/>
        <v>63.758529999999993</v>
      </c>
      <c r="E42" s="77">
        <f t="shared" si="8"/>
        <v>21.201975000000001</v>
      </c>
      <c r="F42" s="77">
        <f t="shared" si="9"/>
        <v>5.3387599999999997</v>
      </c>
      <c r="G42" s="77">
        <f t="shared" si="5"/>
        <v>0.28750000000000003</v>
      </c>
      <c r="H42" s="77">
        <f t="shared" si="5"/>
        <v>0.21505000000000002</v>
      </c>
      <c r="I42" s="77">
        <f t="shared" si="5"/>
        <v>8.6594999999999991E-2</v>
      </c>
      <c r="J42" s="77">
        <f t="shared" si="5"/>
        <v>1.1500000000000002E-3</v>
      </c>
      <c r="K42" s="77">
        <f t="shared" si="5"/>
        <v>5.7499999999999999E-3</v>
      </c>
      <c r="L42" s="77">
        <f t="shared" si="5"/>
        <v>2.3E-2</v>
      </c>
      <c r="M42" s="77">
        <f t="shared" si="5"/>
        <v>3.7144999999999997E-2</v>
      </c>
      <c r="N42" s="77">
        <f t="shared" si="5"/>
        <v>0</v>
      </c>
      <c r="O42" s="77">
        <f t="shared" si="5"/>
        <v>0</v>
      </c>
      <c r="P42" s="77">
        <f t="shared" si="5"/>
        <v>18.400000000000002</v>
      </c>
      <c r="Q42" s="77">
        <f t="shared" si="10"/>
        <v>30.762499999999999</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115</v>
      </c>
      <c r="C43" s="77">
        <f t="shared" si="6"/>
        <v>218.5</v>
      </c>
      <c r="D43" s="77">
        <f t="shared" si="7"/>
        <v>63.758529999999993</v>
      </c>
      <c r="E43" s="77">
        <f t="shared" si="8"/>
        <v>21.201975000000001</v>
      </c>
      <c r="F43" s="77">
        <f t="shared" si="9"/>
        <v>5.3387599999999997</v>
      </c>
      <c r="G43" s="77">
        <f t="shared" si="5"/>
        <v>0.28750000000000003</v>
      </c>
      <c r="H43" s="77">
        <f t="shared" si="5"/>
        <v>0.21505000000000002</v>
      </c>
      <c r="I43" s="77">
        <f t="shared" si="5"/>
        <v>8.6594999999999991E-2</v>
      </c>
      <c r="J43" s="77">
        <f t="shared" si="5"/>
        <v>1.1500000000000002E-3</v>
      </c>
      <c r="K43" s="77">
        <f t="shared" si="5"/>
        <v>5.7499999999999999E-3</v>
      </c>
      <c r="L43" s="77">
        <f t="shared" si="5"/>
        <v>2.3E-2</v>
      </c>
      <c r="M43" s="77">
        <f t="shared" si="5"/>
        <v>3.7144999999999997E-2</v>
      </c>
      <c r="N43" s="77">
        <f t="shared" si="5"/>
        <v>0</v>
      </c>
      <c r="O43" s="77">
        <f t="shared" si="5"/>
        <v>0</v>
      </c>
      <c r="P43" s="77">
        <f t="shared" si="5"/>
        <v>18.400000000000002</v>
      </c>
      <c r="Q43" s="77">
        <f t="shared" si="10"/>
        <v>30.762499999999999</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115</v>
      </c>
      <c r="C44" s="77">
        <f t="shared" si="6"/>
        <v>218.5</v>
      </c>
      <c r="D44" s="77">
        <f t="shared" si="7"/>
        <v>63.758529999999993</v>
      </c>
      <c r="E44" s="77">
        <f t="shared" si="8"/>
        <v>21.201975000000001</v>
      </c>
      <c r="F44" s="77">
        <f t="shared" si="9"/>
        <v>5.3387599999999997</v>
      </c>
      <c r="G44" s="77">
        <f t="shared" si="5"/>
        <v>0.28750000000000003</v>
      </c>
      <c r="H44" s="77">
        <f t="shared" si="5"/>
        <v>0.21505000000000002</v>
      </c>
      <c r="I44" s="77">
        <f t="shared" si="5"/>
        <v>8.6594999999999991E-2</v>
      </c>
      <c r="J44" s="77">
        <f t="shared" si="5"/>
        <v>1.1500000000000002E-3</v>
      </c>
      <c r="K44" s="77">
        <f t="shared" si="5"/>
        <v>5.7499999999999999E-3</v>
      </c>
      <c r="L44" s="77">
        <f t="shared" si="5"/>
        <v>2.3E-2</v>
      </c>
      <c r="M44" s="77">
        <f t="shared" si="5"/>
        <v>3.7144999999999997E-2</v>
      </c>
      <c r="N44" s="77">
        <f t="shared" si="5"/>
        <v>0</v>
      </c>
      <c r="O44" s="77">
        <f t="shared" si="5"/>
        <v>0</v>
      </c>
      <c r="P44" s="77">
        <f t="shared" si="5"/>
        <v>18.400000000000002</v>
      </c>
      <c r="Q44" s="77">
        <f t="shared" si="10"/>
        <v>30.762499999999999</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16</v>
      </c>
      <c r="B45" s="15">
        <v>115</v>
      </c>
      <c r="C45" s="77">
        <f t="shared" si="6"/>
        <v>218.5</v>
      </c>
      <c r="D45" s="77">
        <f t="shared" si="7"/>
        <v>63.758529999999993</v>
      </c>
      <c r="E45" s="77">
        <f t="shared" si="8"/>
        <v>21.201975000000001</v>
      </c>
      <c r="F45" s="77">
        <f t="shared" si="9"/>
        <v>5.3387599999999997</v>
      </c>
      <c r="G45" s="77">
        <f t="shared" si="5"/>
        <v>0.28750000000000003</v>
      </c>
      <c r="H45" s="77">
        <f t="shared" si="5"/>
        <v>0.21505000000000002</v>
      </c>
      <c r="I45" s="77">
        <f t="shared" si="5"/>
        <v>8.6594999999999991E-2</v>
      </c>
      <c r="J45" s="77">
        <f t="shared" si="5"/>
        <v>1.1500000000000002E-3</v>
      </c>
      <c r="K45" s="77">
        <f t="shared" si="5"/>
        <v>5.7499999999999999E-3</v>
      </c>
      <c r="L45" s="77">
        <f t="shared" si="5"/>
        <v>2.3E-2</v>
      </c>
      <c r="M45" s="77">
        <f t="shared" si="5"/>
        <v>3.7144999999999997E-2</v>
      </c>
      <c r="N45" s="77">
        <f t="shared" si="5"/>
        <v>0</v>
      </c>
      <c r="O45" s="77">
        <f t="shared" si="5"/>
        <v>0</v>
      </c>
      <c r="P45" s="77">
        <f t="shared" si="5"/>
        <v>18.400000000000002</v>
      </c>
      <c r="Q45" s="77">
        <f t="shared" si="10"/>
        <v>30.762499999999999</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17</v>
      </c>
      <c r="B46" s="15">
        <v>115</v>
      </c>
      <c r="C46" s="77">
        <f t="shared" si="6"/>
        <v>218.5</v>
      </c>
      <c r="D46" s="77">
        <f t="shared" si="7"/>
        <v>63.758529999999993</v>
      </c>
      <c r="E46" s="77">
        <f t="shared" si="8"/>
        <v>21.201975000000001</v>
      </c>
      <c r="F46" s="77">
        <f t="shared" si="9"/>
        <v>5.3387599999999997</v>
      </c>
      <c r="G46" s="77">
        <f t="shared" si="5"/>
        <v>0.28750000000000003</v>
      </c>
      <c r="H46" s="77">
        <f t="shared" si="5"/>
        <v>0.21505000000000002</v>
      </c>
      <c r="I46" s="77">
        <f t="shared" si="5"/>
        <v>8.6594999999999991E-2</v>
      </c>
      <c r="J46" s="77">
        <f t="shared" si="5"/>
        <v>1.1500000000000002E-3</v>
      </c>
      <c r="K46" s="77">
        <f t="shared" si="5"/>
        <v>5.7499999999999999E-3</v>
      </c>
      <c r="L46" s="77">
        <f t="shared" si="5"/>
        <v>2.3E-2</v>
      </c>
      <c r="M46" s="77">
        <f t="shared" si="5"/>
        <v>3.7144999999999997E-2</v>
      </c>
      <c r="N46" s="77">
        <f t="shared" si="5"/>
        <v>0</v>
      </c>
      <c r="O46" s="77">
        <f t="shared" si="5"/>
        <v>0</v>
      </c>
      <c r="P46" s="77">
        <f t="shared" si="5"/>
        <v>18.400000000000002</v>
      </c>
      <c r="Q46" s="77">
        <f t="shared" si="10"/>
        <v>30.762499999999999</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18</v>
      </c>
      <c r="B47" s="15">
        <v>115</v>
      </c>
      <c r="C47" s="77">
        <f t="shared" si="6"/>
        <v>218.5</v>
      </c>
      <c r="D47" s="77">
        <f t="shared" si="7"/>
        <v>63.758529999999993</v>
      </c>
      <c r="E47" s="77">
        <f t="shared" si="8"/>
        <v>21.201975000000001</v>
      </c>
      <c r="F47" s="77">
        <f t="shared" si="9"/>
        <v>5.3387599999999997</v>
      </c>
      <c r="G47" s="77">
        <f t="shared" ref="G47:P50" si="12">IF(G$27="%w/w SAR",((G$28*10)*$B47),IF(G$27="%w/w DM",(((G$28*10)*($B$28/100))*$B47),IF(G$27="kg/t SAR",(G$28*$B47),IF(G$27="kg/t DM",((G$28*($B$28/100))*$B47),IF(G$27="mg/kg SAR",((G$28*0.001)*$B47),IF(G$27="mg/kg DM",(((G$28*0.001)*($B$28/100))*$B47),0))))))</f>
        <v>0.28750000000000003</v>
      </c>
      <c r="H47" s="77">
        <f t="shared" si="12"/>
        <v>0.21505000000000002</v>
      </c>
      <c r="I47" s="77">
        <f t="shared" si="12"/>
        <v>8.6594999999999991E-2</v>
      </c>
      <c r="J47" s="77">
        <f t="shared" si="12"/>
        <v>1.1500000000000002E-3</v>
      </c>
      <c r="K47" s="77">
        <f t="shared" si="12"/>
        <v>5.7499999999999999E-3</v>
      </c>
      <c r="L47" s="77">
        <f t="shared" si="12"/>
        <v>2.3E-2</v>
      </c>
      <c r="M47" s="77">
        <f t="shared" si="12"/>
        <v>3.7144999999999997E-2</v>
      </c>
      <c r="N47" s="77">
        <f t="shared" si="12"/>
        <v>0</v>
      </c>
      <c r="O47" s="77">
        <f t="shared" si="12"/>
        <v>0</v>
      </c>
      <c r="P47" s="77">
        <f t="shared" si="12"/>
        <v>18.400000000000002</v>
      </c>
      <c r="Q47" s="77">
        <f t="shared" si="10"/>
        <v>30.762499999999999</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19</v>
      </c>
      <c r="B48" s="15">
        <v>115</v>
      </c>
      <c r="C48" s="77">
        <f t="shared" si="6"/>
        <v>218.5</v>
      </c>
      <c r="D48" s="77">
        <f t="shared" si="7"/>
        <v>63.758529999999993</v>
      </c>
      <c r="E48" s="77">
        <f t="shared" si="8"/>
        <v>21.201975000000001</v>
      </c>
      <c r="F48" s="77">
        <f t="shared" si="9"/>
        <v>5.3387599999999997</v>
      </c>
      <c r="G48" s="77">
        <f t="shared" si="12"/>
        <v>0.28750000000000003</v>
      </c>
      <c r="H48" s="77">
        <f t="shared" si="12"/>
        <v>0.21505000000000002</v>
      </c>
      <c r="I48" s="77">
        <f t="shared" si="12"/>
        <v>8.6594999999999991E-2</v>
      </c>
      <c r="J48" s="77">
        <f t="shared" si="12"/>
        <v>1.1500000000000002E-3</v>
      </c>
      <c r="K48" s="77">
        <f t="shared" si="12"/>
        <v>5.7499999999999999E-3</v>
      </c>
      <c r="L48" s="77">
        <f t="shared" si="12"/>
        <v>2.3E-2</v>
      </c>
      <c r="M48" s="77">
        <f t="shared" si="12"/>
        <v>3.7144999999999997E-2</v>
      </c>
      <c r="N48" s="77">
        <f t="shared" si="12"/>
        <v>0</v>
      </c>
      <c r="O48" s="77">
        <f t="shared" si="12"/>
        <v>0</v>
      </c>
      <c r="P48" s="77">
        <f t="shared" si="12"/>
        <v>18.400000000000002</v>
      </c>
      <c r="Q48" s="77">
        <f t="shared" si="10"/>
        <v>30.762499999999999</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x14ac:dyDescent="0.2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str">
        <f>R16&amp;" I "&amp;(VLOOKUP(R14,Table24581113[],6,FALSE))</f>
        <v>Medium/Clay I Grass</v>
      </c>
      <c r="R58" s="13" t="str">
        <f>S16&amp;" I "&amp;(VLOOKUP(S14,Table24581113[],6,FALSE))</f>
        <v>Medium/Clay I Grass</v>
      </c>
      <c r="S58" s="13" t="str">
        <f>T16&amp;" I "&amp;(VLOOKUP(T14,Table24581113[],6,FALSE))</f>
        <v>Medium/Clay I Grass</v>
      </c>
      <c r="T58" s="13" t="e">
        <f>U16&amp;" I "&amp;(VLOOKUP(U14,Table24581113[],6,FALSE))</f>
        <v>#N/A</v>
      </c>
      <c r="U58" s="13" t="e">
        <f>V16&amp;" I "&amp;(VLOOKUP(V14,Table24581113[],6,FALSE))</f>
        <v>#N/A</v>
      </c>
    </row>
    <row r="59" spans="1:35" s="19" customFormat="1" x14ac:dyDescent="0.2">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f>VLOOKUP(R$14,Table24581113[],5,FALSE)</f>
        <v>6.2</v>
      </c>
      <c r="R59" s="76">
        <f>VLOOKUP(S$14,Table24581113[],5,FALSE)</f>
        <v>6.2</v>
      </c>
      <c r="S59" s="76">
        <f>VLOOKUP(T$14,Table24581113[],5,FALSE)</f>
        <v>6.2</v>
      </c>
      <c r="T59" s="76" t="e">
        <f>VLOOKUP(U$14,Table24581113[],5,FALSE)</f>
        <v>#N/A</v>
      </c>
      <c r="U59" s="76" t="e">
        <f>VLOOKUP(V$14,Table24581113[],5,FALSE)</f>
        <v>#N/A</v>
      </c>
    </row>
    <row r="60" spans="1:35" s="19" customFormat="1" x14ac:dyDescent="0.2">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t="e">
        <f t="shared" si="15"/>
        <v>#N/A</v>
      </c>
      <c r="U61" s="76" t="e">
        <f t="shared" si="15"/>
        <v>#N/A</v>
      </c>
    </row>
    <row r="62" spans="1:35" s="19" customFormat="1" x14ac:dyDescent="0.2">
      <c r="A62" s="111" t="s">
        <v>134</v>
      </c>
      <c r="B62" s="77">
        <f>B31</f>
        <v>115</v>
      </c>
      <c r="C62" s="77">
        <f>B32</f>
        <v>115</v>
      </c>
      <c r="D62" s="77">
        <f>B33</f>
        <v>115</v>
      </c>
      <c r="E62" s="77">
        <f>B34</f>
        <v>115</v>
      </c>
      <c r="F62" s="77">
        <f>B35</f>
        <v>115</v>
      </c>
      <c r="G62" s="77">
        <f>B36</f>
        <v>115</v>
      </c>
      <c r="H62" s="77">
        <f>B37</f>
        <v>115</v>
      </c>
      <c r="I62" s="77">
        <f>B38</f>
        <v>115</v>
      </c>
      <c r="J62" s="77">
        <f>B39</f>
        <v>115</v>
      </c>
      <c r="K62" s="77">
        <f>B40</f>
        <v>115</v>
      </c>
      <c r="L62" s="77">
        <f>B41</f>
        <v>115</v>
      </c>
      <c r="M62" s="77">
        <f>B42</f>
        <v>115</v>
      </c>
      <c r="N62" s="77">
        <f>B43</f>
        <v>115</v>
      </c>
      <c r="O62" s="77">
        <f>B44</f>
        <v>115</v>
      </c>
      <c r="P62" s="77">
        <f>B45</f>
        <v>115</v>
      </c>
      <c r="Q62" s="77">
        <f>B46</f>
        <v>115</v>
      </c>
      <c r="R62" s="77">
        <f>B47</f>
        <v>115</v>
      </c>
      <c r="S62" s="77">
        <f>B48</f>
        <v>115</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-1.7999999999999989</v>
      </c>
      <c r="D64" s="77">
        <f t="shared" si="17"/>
        <v>0.6000000000000032</v>
      </c>
      <c r="E64" s="77">
        <f t="shared" si="17"/>
        <v>0</v>
      </c>
      <c r="F64" s="77">
        <f t="shared" si="17"/>
        <v>1.2000000000000011</v>
      </c>
      <c r="G64" s="77">
        <f t="shared" si="17"/>
        <v>0.6000000000000032</v>
      </c>
      <c r="H64" s="77">
        <f t="shared" si="17"/>
        <v>-3</v>
      </c>
      <c r="I64" s="77">
        <f t="shared" si="17"/>
        <v>0.6000000000000032</v>
      </c>
      <c r="J64" s="77">
        <f t="shared" si="17"/>
        <v>1.2000000000000011</v>
      </c>
      <c r="K64" s="77">
        <f t="shared" si="17"/>
        <v>1.7999999999999989</v>
      </c>
      <c r="L64" s="77">
        <f t="shared" si="17"/>
        <v>1.7999999999999989</v>
      </c>
      <c r="M64" s="77">
        <f t="shared" si="17"/>
        <v>2.4000000000000021</v>
      </c>
      <c r="N64" s="77">
        <f t="shared" si="17"/>
        <v>2.4000000000000021</v>
      </c>
      <c r="O64" s="77">
        <f t="shared" si="17"/>
        <v>-1.2000000000000011</v>
      </c>
      <c r="P64" s="77">
        <f t="shared" si="17"/>
        <v>-2.3999999999999968</v>
      </c>
      <c r="Q64" s="77">
        <f t="shared" si="17"/>
        <v>-1.7999999999999989</v>
      </c>
      <c r="R64" s="77">
        <f t="shared" si="17"/>
        <v>-6.5999999999999979</v>
      </c>
      <c r="S64" s="77">
        <f t="shared" si="17"/>
        <v>-5.3999999999999968</v>
      </c>
      <c r="T64" s="77" t="e">
        <f t="shared" si="17"/>
        <v>#N/A</v>
      </c>
      <c r="U64" s="77" t="e">
        <f t="shared" si="17"/>
        <v>#N/A</v>
      </c>
    </row>
    <row r="65" spans="1:21" s="19" customFormat="1" ht="51" x14ac:dyDescent="0.2">
      <c r="A65" s="112" t="s">
        <v>157</v>
      </c>
      <c r="B65" s="77">
        <f>B63-B64</f>
        <v>0</v>
      </c>
      <c r="C65" s="77">
        <f t="shared" ref="C65:U65" si="18">C63-C64</f>
        <v>1.7999999999999989</v>
      </c>
      <c r="D65" s="77">
        <f t="shared" si="18"/>
        <v>-0.6000000000000032</v>
      </c>
      <c r="E65" s="77">
        <f t="shared" si="18"/>
        <v>0</v>
      </c>
      <c r="F65" s="77">
        <f t="shared" si="18"/>
        <v>-1.2000000000000011</v>
      </c>
      <c r="G65" s="77">
        <f t="shared" si="18"/>
        <v>-0.6000000000000032</v>
      </c>
      <c r="H65" s="77">
        <f t="shared" si="18"/>
        <v>3</v>
      </c>
      <c r="I65" s="77">
        <f t="shared" si="18"/>
        <v>-0.6000000000000032</v>
      </c>
      <c r="J65" s="77">
        <f t="shared" si="18"/>
        <v>-1.2000000000000011</v>
      </c>
      <c r="K65" s="77">
        <f t="shared" si="18"/>
        <v>-1.7999999999999989</v>
      </c>
      <c r="L65" s="77">
        <f t="shared" si="18"/>
        <v>-1.7999999999999989</v>
      </c>
      <c r="M65" s="77">
        <f t="shared" si="18"/>
        <v>-2.4000000000000021</v>
      </c>
      <c r="N65" s="77">
        <f t="shared" si="18"/>
        <v>-2.4000000000000021</v>
      </c>
      <c r="O65" s="77">
        <f t="shared" si="18"/>
        <v>1.2000000000000011</v>
      </c>
      <c r="P65" s="77">
        <f t="shared" si="18"/>
        <v>2.3999999999999968</v>
      </c>
      <c r="Q65" s="77">
        <f t="shared" si="18"/>
        <v>1.7999999999999989</v>
      </c>
      <c r="R65" s="77">
        <f t="shared" si="18"/>
        <v>6.5999999999999979</v>
      </c>
      <c r="S65" s="77">
        <f t="shared" si="18"/>
        <v>5.3999999999999968</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C40" sqref="C4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PAN-018528</v>
      </c>
      <c r="D1" s="141"/>
      <c r="E1" s="93" t="s">
        <v>45</v>
      </c>
      <c r="F1" s="39">
        <f>Secanim!F1</f>
        <v>39.5</v>
      </c>
      <c r="G1" s="123" t="s">
        <v>43</v>
      </c>
      <c r="H1" s="124"/>
      <c r="I1" s="118">
        <v>3.82</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EPR-KP3594VE</v>
      </c>
      <c r="D2" s="143"/>
      <c r="E2" s="93" t="s">
        <v>109</v>
      </c>
      <c r="F2" s="96" t="s">
        <v>178</v>
      </c>
      <c r="G2" s="125" t="s">
        <v>110</v>
      </c>
      <c r="H2" s="126"/>
      <c r="I2" s="118">
        <v>598</v>
      </c>
      <c r="J2" s="127" t="s">
        <v>158</v>
      </c>
      <c r="K2" s="127"/>
      <c r="L2" s="97">
        <v>0.17</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7" t="s">
        <v>159</v>
      </c>
      <c r="H3" s="127"/>
      <c r="I3" s="118">
        <v>31020</v>
      </c>
      <c r="J3" s="123" t="s">
        <v>154</v>
      </c>
      <c r="K3" s="124"/>
      <c r="L3" s="97">
        <f>(L1/(L2*10000))*100</f>
        <v>1.4705882352941175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Fron Farm, Moel y Crio, CH7 5QW</v>
      </c>
      <c r="D4" s="141"/>
      <c r="E4" s="94" t="s">
        <v>1</v>
      </c>
      <c r="F4" s="96" t="s">
        <v>175</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8</v>
      </c>
      <c r="K8" s="60">
        <f>Secanim!K8</f>
        <v>9</v>
      </c>
      <c r="L8" s="60">
        <f>Secanim!L8</f>
        <v>10</v>
      </c>
      <c r="M8" s="60">
        <f>Secanim!M8</f>
        <v>11</v>
      </c>
      <c r="N8" s="60">
        <f>Secanim!N8</f>
        <v>12</v>
      </c>
      <c r="O8" s="60">
        <f>Secanim!O8</f>
        <v>13</v>
      </c>
      <c r="P8" s="60">
        <f>Secanim!P8</f>
        <v>14</v>
      </c>
      <c r="Q8" s="60">
        <f>Secanim!Q8</f>
        <v>16</v>
      </c>
      <c r="R8" s="60">
        <f>Secanim!R8</f>
        <v>17</v>
      </c>
      <c r="S8" s="60">
        <f>Secanim!S8</f>
        <v>18</v>
      </c>
      <c r="T8" s="60">
        <f>Secanim!T8</f>
        <v>19</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6.2</v>
      </c>
      <c r="D10" s="60">
        <f>Secanim!D10</f>
        <v>6.5</v>
      </c>
      <c r="E10" s="60">
        <f>Secanim!E10</f>
        <v>6.1</v>
      </c>
      <c r="F10" s="60">
        <f>Secanim!F10</f>
        <v>6.2</v>
      </c>
      <c r="G10" s="60">
        <f>Secanim!G10</f>
        <v>6</v>
      </c>
      <c r="H10" s="60">
        <f>Secanim!H10</f>
        <v>6.1</v>
      </c>
      <c r="I10" s="60">
        <f>Secanim!I10</f>
        <v>6.7</v>
      </c>
      <c r="J10" s="60">
        <f>Secanim!J10</f>
        <v>6.1</v>
      </c>
      <c r="K10" s="60">
        <f>Secanim!K10</f>
        <v>6</v>
      </c>
      <c r="L10" s="60">
        <f>Secanim!L10</f>
        <v>5.9</v>
      </c>
      <c r="M10" s="60">
        <f>Secanim!M10</f>
        <v>5.9</v>
      </c>
      <c r="N10" s="60">
        <f>Secanim!N10</f>
        <v>5.8</v>
      </c>
      <c r="O10" s="60">
        <f>Secanim!O10</f>
        <v>5.8</v>
      </c>
      <c r="P10" s="60">
        <f>Secanim!P10</f>
        <v>6.4</v>
      </c>
      <c r="Q10" s="60">
        <f>Secanim!Q10</f>
        <v>6.6</v>
      </c>
      <c r="R10" s="60">
        <f>Secanim!R10</f>
        <v>6.5</v>
      </c>
      <c r="S10" s="60">
        <f>Secanim!S10</f>
        <v>7.3</v>
      </c>
      <c r="T10" s="60">
        <f>Secanim!T10</f>
        <v>7.1</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2</v>
      </c>
      <c r="D11" s="60">
        <f>Secanim!D11</f>
        <v>3</v>
      </c>
      <c r="E11" s="60">
        <f>Secanim!E11</f>
        <v>2</v>
      </c>
      <c r="F11" s="60">
        <f>Secanim!F11</f>
        <v>1</v>
      </c>
      <c r="G11" s="60">
        <f>Secanim!G11</f>
        <v>1</v>
      </c>
      <c r="H11" s="60">
        <f>Secanim!H11</f>
        <v>1</v>
      </c>
      <c r="I11" s="60">
        <f>Secanim!I11</f>
        <v>1</v>
      </c>
      <c r="J11" s="60">
        <f>Secanim!J11</f>
        <v>1</v>
      </c>
      <c r="K11" s="60">
        <f>Secanim!K11</f>
        <v>1</v>
      </c>
      <c r="L11" s="60">
        <f>Secanim!L11</f>
        <v>1</v>
      </c>
      <c r="M11" s="60">
        <f>Secanim!M11</f>
        <v>1</v>
      </c>
      <c r="N11" s="60">
        <f>Secanim!N11</f>
        <v>0</v>
      </c>
      <c r="O11" s="60">
        <f>Secanim!O11</f>
        <v>0</v>
      </c>
      <c r="P11" s="60">
        <f>Secanim!P11</f>
        <v>1</v>
      </c>
      <c r="Q11" s="60">
        <f>Secanim!Q11</f>
        <v>3</v>
      </c>
      <c r="R11" s="60">
        <f>Secanim!R11</f>
        <v>2</v>
      </c>
      <c r="S11" s="60">
        <f>Secanim!S11</f>
        <v>3</v>
      </c>
      <c r="T11" s="60">
        <f>Secanim!T11</f>
        <v>1</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t="str">
        <f>Secanim!D12</f>
        <v>2-</v>
      </c>
      <c r="E12" s="60">
        <f>Secanim!E12</f>
        <v>1</v>
      </c>
      <c r="F12" s="60">
        <f>Secanim!F12</f>
        <v>0</v>
      </c>
      <c r="G12" s="60">
        <f>Secanim!G12</f>
        <v>1</v>
      </c>
      <c r="H12" s="60">
        <f>Secanim!H12</f>
        <v>1</v>
      </c>
      <c r="I12" s="60">
        <f>Secanim!I12</f>
        <v>1</v>
      </c>
      <c r="J12" s="60">
        <f>Secanim!J12</f>
        <v>1</v>
      </c>
      <c r="K12" s="60">
        <f>Secanim!K12</f>
        <v>0</v>
      </c>
      <c r="L12" s="60">
        <f>Secanim!L12</f>
        <v>0</v>
      </c>
      <c r="M12" s="60" t="str">
        <f>Secanim!M12</f>
        <v>2-</v>
      </c>
      <c r="N12" s="60">
        <f>Secanim!N12</f>
        <v>0</v>
      </c>
      <c r="O12" s="60">
        <f>Secanim!O12</f>
        <v>0</v>
      </c>
      <c r="P12" s="60">
        <f>Secanim!P12</f>
        <v>1</v>
      </c>
      <c r="Q12" s="60">
        <f>Secanim!Q12</f>
        <v>1</v>
      </c>
      <c r="R12" s="60">
        <f>Secanim!R12</f>
        <v>1</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2</v>
      </c>
      <c r="R13" s="60">
        <f>Secanim!R13</f>
        <v>2</v>
      </c>
      <c r="S13" s="60">
        <f>Secanim!S13</f>
        <v>1</v>
      </c>
      <c r="T13" s="60">
        <f>Secanim!T13</f>
        <v>1</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56.640393000000003</v>
      </c>
      <c r="D18" s="16">
        <f>$D32</f>
        <v>56.640393000000003</v>
      </c>
      <c r="E18" s="16">
        <f>$D33</f>
        <v>56.640393000000003</v>
      </c>
      <c r="F18" s="16">
        <f>$D34</f>
        <v>56.640393000000003</v>
      </c>
      <c r="G18" s="16">
        <f>$D35</f>
        <v>56.640393000000003</v>
      </c>
      <c r="H18" s="16">
        <f>$D36</f>
        <v>56.640393000000003</v>
      </c>
      <c r="I18" s="16">
        <f>$D37</f>
        <v>56.640393000000003</v>
      </c>
      <c r="J18" s="16">
        <f>$D38</f>
        <v>56.640393000000003</v>
      </c>
      <c r="K18" s="16">
        <f>$D39</f>
        <v>56.640393000000003</v>
      </c>
      <c r="L18" s="16">
        <f>$D40</f>
        <v>56.640393000000003</v>
      </c>
      <c r="M18" s="16">
        <f>$D41</f>
        <v>56.640393000000003</v>
      </c>
      <c r="N18" s="16">
        <f>$D42</f>
        <v>56.640393000000003</v>
      </c>
      <c r="O18" s="16">
        <f>$D43</f>
        <v>56.640393000000003</v>
      </c>
      <c r="P18" s="16">
        <f>$D44</f>
        <v>56.640393000000003</v>
      </c>
      <c r="Q18" s="16">
        <f>$D45</f>
        <v>56.640393000000003</v>
      </c>
      <c r="R18" s="16">
        <f>$D46</f>
        <v>56.640393000000003</v>
      </c>
      <c r="S18" s="16">
        <f>$D47</f>
        <v>56.640393000000003</v>
      </c>
      <c r="T18" s="16">
        <f>$D48</f>
        <v>56.640393000000003</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-7.9596069999999912</v>
      </c>
      <c r="D19" s="16">
        <f t="shared" ref="D19:V19" si="1">D18-D17</f>
        <v>-7.9596069999999912</v>
      </c>
      <c r="E19" s="16">
        <f t="shared" si="1"/>
        <v>-7.9596069999999912</v>
      </c>
      <c r="F19" s="16">
        <f t="shared" si="1"/>
        <v>-7.9596069999999912</v>
      </c>
      <c r="G19" s="16">
        <f t="shared" si="1"/>
        <v>-7.9596069999999912</v>
      </c>
      <c r="H19" s="16">
        <f t="shared" si="1"/>
        <v>-7.9596069999999912</v>
      </c>
      <c r="I19" s="16">
        <f t="shared" si="1"/>
        <v>-7.9596069999999912</v>
      </c>
      <c r="J19" s="16">
        <f t="shared" si="1"/>
        <v>-7.9596069999999912</v>
      </c>
      <c r="K19" s="16">
        <f t="shared" si="1"/>
        <v>-7.9596069999999912</v>
      </c>
      <c r="L19" s="16">
        <f t="shared" si="1"/>
        <v>-7.9596069999999912</v>
      </c>
      <c r="M19" s="16">
        <f t="shared" si="1"/>
        <v>-7.9596069999999912</v>
      </c>
      <c r="N19" s="16">
        <f t="shared" si="1"/>
        <v>-7.9596069999999912</v>
      </c>
      <c r="O19" s="16">
        <f t="shared" si="1"/>
        <v>-7.9596069999999912</v>
      </c>
      <c r="P19" s="16">
        <f t="shared" si="1"/>
        <v>-7.9596069999999912</v>
      </c>
      <c r="Q19" s="16">
        <f t="shared" si="1"/>
        <v>-7.9596069999999912</v>
      </c>
      <c r="R19" s="16">
        <f t="shared" si="1"/>
        <v>-7.9596069999999912</v>
      </c>
      <c r="S19" s="16">
        <f t="shared" si="1"/>
        <v>-7.9596069999999912</v>
      </c>
      <c r="T19" s="16">
        <f t="shared" si="1"/>
        <v>-7.9596069999999912</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30.532290000000003</v>
      </c>
      <c r="D22" s="16">
        <f>$E32</f>
        <v>30.532290000000003</v>
      </c>
      <c r="E22" s="16">
        <f>$E33</f>
        <v>30.532290000000003</v>
      </c>
      <c r="F22" s="16">
        <f>$E34</f>
        <v>30.532290000000003</v>
      </c>
      <c r="G22" s="16">
        <f>$E35</f>
        <v>30.532290000000003</v>
      </c>
      <c r="H22" s="16">
        <f>$E36</f>
        <v>30.532290000000003</v>
      </c>
      <c r="I22" s="16">
        <f>$E37</f>
        <v>30.532290000000003</v>
      </c>
      <c r="J22" s="16">
        <f>$E38</f>
        <v>30.532290000000003</v>
      </c>
      <c r="K22" s="16">
        <f>$E39</f>
        <v>30.532290000000003</v>
      </c>
      <c r="L22" s="16">
        <f>$E40</f>
        <v>30.532290000000003</v>
      </c>
      <c r="M22" s="16">
        <f>$E41</f>
        <v>30.532290000000003</v>
      </c>
      <c r="N22" s="16">
        <f>$E42</f>
        <v>30.532290000000003</v>
      </c>
      <c r="O22" s="16">
        <f>$E43</f>
        <v>30.532290000000003</v>
      </c>
      <c r="P22" s="16">
        <f>$E44</f>
        <v>30.532290000000003</v>
      </c>
      <c r="Q22" s="16">
        <f>$E45</f>
        <v>30.532290000000003</v>
      </c>
      <c r="R22" s="16">
        <f>$E46</f>
        <v>30.532290000000003</v>
      </c>
      <c r="S22" s="16">
        <f>$E47</f>
        <v>30.532290000000003</v>
      </c>
      <c r="T22" s="16">
        <f>$E48</f>
        <v>30.532290000000003</v>
      </c>
      <c r="U22" s="16">
        <f>$E49</f>
        <v>0</v>
      </c>
      <c r="V22" s="16">
        <f>$E50</f>
        <v>0</v>
      </c>
      <c r="AI22" s="63" t="s">
        <v>102</v>
      </c>
      <c r="AJ22" s="64">
        <v>1.2</v>
      </c>
      <c r="AK22" s="65">
        <v>5</v>
      </c>
      <c r="AL22" s="29">
        <v>20</v>
      </c>
      <c r="AM22" s="11">
        <v>6.7</v>
      </c>
      <c r="AN22" s="11" t="s">
        <v>135</v>
      </c>
    </row>
    <row r="23" spans="1:40" x14ac:dyDescent="0.2">
      <c r="A23" s="131" t="s">
        <v>92</v>
      </c>
      <c r="B23" s="132"/>
      <c r="C23" s="16">
        <f>C22-C21</f>
        <v>-197.46771000000001</v>
      </c>
      <c r="D23" s="16">
        <f t="shared" ref="D23:V23" si="3">D22-D21</f>
        <v>-197.46771000000001</v>
      </c>
      <c r="E23" s="16">
        <f t="shared" si="3"/>
        <v>-197.46771000000001</v>
      </c>
      <c r="F23" s="16">
        <f t="shared" si="3"/>
        <v>-197.46771000000001</v>
      </c>
      <c r="G23" s="16">
        <f t="shared" si="3"/>
        <v>-197.46771000000001</v>
      </c>
      <c r="H23" s="16">
        <f t="shared" si="3"/>
        <v>-197.46771000000001</v>
      </c>
      <c r="I23" s="16">
        <f t="shared" si="3"/>
        <v>-197.46771000000001</v>
      </c>
      <c r="J23" s="16">
        <f t="shared" si="3"/>
        <v>-197.46771000000001</v>
      </c>
      <c r="K23" s="16">
        <f t="shared" si="3"/>
        <v>-197.46771000000001</v>
      </c>
      <c r="L23" s="16">
        <f t="shared" si="3"/>
        <v>-197.46771000000001</v>
      </c>
      <c r="M23" s="16">
        <f t="shared" si="3"/>
        <v>-197.46771000000001</v>
      </c>
      <c r="N23" s="16">
        <f t="shared" si="3"/>
        <v>-197.46771000000001</v>
      </c>
      <c r="O23" s="16">
        <f t="shared" si="3"/>
        <v>-197.46771000000001</v>
      </c>
      <c r="P23" s="16">
        <f t="shared" si="3"/>
        <v>-197.46771000000001</v>
      </c>
      <c r="Q23" s="16">
        <f t="shared" si="3"/>
        <v>-197.46771000000001</v>
      </c>
      <c r="R23" s="16">
        <f t="shared" si="3"/>
        <v>-197.46771000000001</v>
      </c>
      <c r="S23" s="16">
        <f t="shared" si="3"/>
        <v>-197.46771000000001</v>
      </c>
      <c r="T23" s="16">
        <f t="shared" si="3"/>
        <v>-197.46771000000001</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7.29</v>
      </c>
      <c r="C28" s="15">
        <v>0.17</v>
      </c>
      <c r="D28" s="15">
        <v>201</v>
      </c>
      <c r="E28" s="15">
        <v>206</v>
      </c>
      <c r="F28" s="15">
        <v>52.5</v>
      </c>
      <c r="G28" s="15">
        <v>0.35</v>
      </c>
      <c r="H28" s="15">
        <v>2.33</v>
      </c>
      <c r="I28" s="15">
        <v>0.5</v>
      </c>
      <c r="J28" s="15">
        <v>0.01</v>
      </c>
      <c r="K28" s="23">
        <v>0.05</v>
      </c>
      <c r="L28" s="15">
        <v>0.21</v>
      </c>
      <c r="M28" s="15">
        <v>0.51</v>
      </c>
      <c r="N28" s="15"/>
      <c r="O28" s="15"/>
      <c r="P28" s="15">
        <v>414</v>
      </c>
      <c r="Q28" s="15">
        <v>229</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123</v>
      </c>
      <c r="C31" s="77">
        <f>IF(C$27="%w/w SAR",((C$28*10)*$B31),IF(C$27="%w/w DM",(((C$28*10)*($B$28/100))*$B31),IF(C$27="kg/t SAR",(C$28*$B31),IF(C$27="kg/t DM",((C$28*($B$28/100))*$B31),IF(C$27="mg/kg SAR",((C$28*0.001)*$B31),IF(C$27="mg/kg DM",(((C$28*0.001)*($B$28/100))*$B31),0))))))</f>
        <v>209.10000000000002</v>
      </c>
      <c r="D31" s="77">
        <f>(IF(D$27="%w/w SAR",((D$28*10)*$B31),IF(D$27="%w/w DM",(((D$28*10)*($B$28/100))*$B31),IF(D$27="kg/t SAR",(D$28*$B31),IF(D$27="kg/t DM",((D$28*($B$28/100))*$B31),IF(D$27="mg/kg SAR",((D$28*0.001)*$B31),IF(D$27="mg/kg DM",(((D$28*0.001)*($B$28/100))*$B31),"0")))))))*2.291</f>
        <v>56.640393000000003</v>
      </c>
      <c r="E31" s="77">
        <f>(IF(E$27="%w/w SAR",((E$28*10)*$B31),IF(E$27="%w/w DM",(((E$28*10)*($B$28/100))*$B31),IF(E$27="kg/t SAR",(E$28*$B31),IF(E$27="kg/t DM",((E$28*($B$28/100))*$B31),IF(E$27="mg/kg SAR",((E$28*0.001)*$B31),IF(E$27="mg/kg DM",(((E$28*0.001)*($B$28/100))*$B31),"0")))))))*1.205</f>
        <v>30.532290000000003</v>
      </c>
      <c r="F31" s="77">
        <f>(IF(F$27="%w/w SAR",((F$28*10)*$B31),IF(F$27="%w/w DM",(((F$28*10)*($B$28/100))*$B31),IF(F$27="kg/t SAR",(F$28*$B31),IF(F$27="kg/t DM",((F$28*($B$28/100))*$B31),IF(F$27="mg/kg SAR",((F$28*0.001)*$B31),IF(F$27="mg/kg DM",(((F$28*0.001)*($B$28/100))*$B31),"0")))))))*1.658</f>
        <v>10.706534999999999</v>
      </c>
      <c r="G31" s="77">
        <f t="shared" ref="G31:P46" si="5">IF(G$27="%w/w SAR",((G$28*10)*$B31),IF(G$27="%w/w DM",(((G$28*10)*($B$28/100))*$B31),IF(G$27="kg/t SAR",(G$28*$B31),IF(G$27="kg/t DM",((G$28*($B$28/100))*$B31),IF(G$27="mg/kg SAR",((G$28*0.001)*$B31),IF(G$27="mg/kg DM",(((G$28*0.001)*($B$28/100))*$B31),0))))))</f>
        <v>4.3049999999999998E-2</v>
      </c>
      <c r="H31" s="77">
        <f t="shared" si="5"/>
        <v>0.28659000000000001</v>
      </c>
      <c r="I31" s="77">
        <f t="shared" si="5"/>
        <v>6.1499999999999999E-2</v>
      </c>
      <c r="J31" s="77">
        <f t="shared" si="5"/>
        <v>1.2300000000000002E-3</v>
      </c>
      <c r="K31" s="77">
        <f t="shared" si="5"/>
        <v>6.1500000000000001E-3</v>
      </c>
      <c r="L31" s="77">
        <f t="shared" si="5"/>
        <v>2.5830000000000002E-2</v>
      </c>
      <c r="M31" s="77">
        <f t="shared" si="5"/>
        <v>6.2730000000000008E-2</v>
      </c>
      <c r="N31" s="77">
        <f t="shared" si="5"/>
        <v>0</v>
      </c>
      <c r="O31" s="77">
        <f t="shared" si="5"/>
        <v>0</v>
      </c>
      <c r="P31" s="77">
        <f t="shared" si="5"/>
        <v>50.922000000000004</v>
      </c>
      <c r="Q31" s="77">
        <f>(IF(Q$27="%w/w SAR",((Q$28*10)*$B31),IF(Q$27="%w/w DM",(((Q$28*10)*($B$28/100))*$B31),IF(Q$27="kg/t SAR",(Q$28*$B31),IF(Q$27="kg/t DM",((Q$28*($B$28/100))*$B31),IF(Q$27="mg/kg SAR",((Q$28*0.001)*$B31),IF(Q$27="mg/kg DM",(((Q$28*0.001)*($B$28/100))*$B31),0)))))))*2.5</f>
        <v>70.417500000000004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123</v>
      </c>
      <c r="C32" s="77">
        <f t="shared" ref="C32:C50" si="6">IF(C$27="%w/w SAR",((C$28*10)*$B32),IF(C$27="%w/w DM",(((C$28*10)*($B$28/100))*$B32),IF(C$27="kg/t SAR",(C$28*$B32),IF(C$27="kg/t DM",((C$28*($B$28/100))*$B32),IF(C$27="mg/kg SAR",((C$28*0.001)*$B32),IF(C$27="mg/kg DM",(((C$28*0.001)*($B$28/100))*$B32),0))))))</f>
        <v>209.10000000000002</v>
      </c>
      <c r="D32" s="77">
        <f t="shared" ref="D32:D50" si="7">(IF(D$27="%w/w SAR",((D$28*10)*$B32),IF(D$27="%w/w DM",(((D$28*10)*($B$28/100))*$B32),IF(D$27="kg/t SAR",(D$28*$B32),IF(D$27="kg/t DM",((D$28*($B$28/100))*$B32),IF(D$27="mg/kg SAR",((D$28*0.001)*$B32),IF(D$27="mg/kg DM",(((D$28*0.001)*($B$28/100))*$B32),"0")))))))*2.291</f>
        <v>56.640393000000003</v>
      </c>
      <c r="E32" s="77">
        <f t="shared" ref="E32:E50" si="8">(IF(E$27="%w/w SAR",((E$28*10)*$B32),IF(E$27="%w/w DM",(((E$28*10)*($B$28/100))*$B32),IF(E$27="kg/t SAR",(E$28*$B32),IF(E$27="kg/t DM",((E$28*($B$28/100))*$B32),IF(E$27="mg/kg SAR",((E$28*0.001)*$B32),IF(E$27="mg/kg DM",(((E$28*0.001)*($B$28/100))*$B32),"0")))))))*1.205</f>
        <v>30.532290000000003</v>
      </c>
      <c r="F32" s="77">
        <f t="shared" ref="F32:F50" si="9">(IF(F$27="%w/w SAR",((F$28*10)*$B32),IF(F$27="%w/w DM",(((F$28*10)*($B$28/100))*$B32),IF(F$27="kg/t SAR",(F$28*$B32),IF(F$27="kg/t DM",((F$28*($B$28/100))*$B32),IF(F$27="mg/kg SAR",((F$28*0.001)*$B32),IF(F$27="mg/kg DM",(((F$28*0.001)*($B$28/100))*$B32),"0")))))))*1.658</f>
        <v>10.706534999999999</v>
      </c>
      <c r="G32" s="77">
        <f t="shared" si="5"/>
        <v>4.3049999999999998E-2</v>
      </c>
      <c r="H32" s="77">
        <f t="shared" si="5"/>
        <v>0.28659000000000001</v>
      </c>
      <c r="I32" s="77">
        <f t="shared" si="5"/>
        <v>6.1499999999999999E-2</v>
      </c>
      <c r="J32" s="77">
        <f t="shared" si="5"/>
        <v>1.2300000000000002E-3</v>
      </c>
      <c r="K32" s="77">
        <f t="shared" si="5"/>
        <v>6.1500000000000001E-3</v>
      </c>
      <c r="L32" s="77">
        <f t="shared" si="5"/>
        <v>2.5830000000000002E-2</v>
      </c>
      <c r="M32" s="77">
        <f t="shared" si="5"/>
        <v>6.2730000000000008E-2</v>
      </c>
      <c r="N32" s="77">
        <f t="shared" si="5"/>
        <v>0</v>
      </c>
      <c r="O32" s="77">
        <f t="shared" si="5"/>
        <v>0</v>
      </c>
      <c r="P32" s="77">
        <f t="shared" si="5"/>
        <v>50.922000000000004</v>
      </c>
      <c r="Q32" s="77">
        <f t="shared" ref="Q32:Q50" si="10">(IF(Q$27="%w/w SAR",((Q$28*10)*$B32),IF(Q$27="%w/w DM",(((Q$28*10)*($B$28/100))*$B32),IF(Q$27="kg/t SAR",(Q$28*$B32),IF(Q$27="kg/t DM",((Q$28*($B$28/100))*$B32),IF(Q$27="mg/kg SAR",((Q$28*0.001)*$B32),IF(Q$27="mg/kg DM",(((Q$28*0.001)*($B$28/100))*$B32),0)))))))*2.5</f>
        <v>70.417500000000004</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123</v>
      </c>
      <c r="C33" s="77">
        <f t="shared" si="6"/>
        <v>209.10000000000002</v>
      </c>
      <c r="D33" s="77">
        <f t="shared" si="7"/>
        <v>56.640393000000003</v>
      </c>
      <c r="E33" s="77">
        <f t="shared" si="8"/>
        <v>30.532290000000003</v>
      </c>
      <c r="F33" s="77">
        <f t="shared" si="9"/>
        <v>10.706534999999999</v>
      </c>
      <c r="G33" s="77">
        <f t="shared" si="5"/>
        <v>4.3049999999999998E-2</v>
      </c>
      <c r="H33" s="77">
        <f t="shared" si="5"/>
        <v>0.28659000000000001</v>
      </c>
      <c r="I33" s="77">
        <f t="shared" si="5"/>
        <v>6.1499999999999999E-2</v>
      </c>
      <c r="J33" s="77">
        <f t="shared" si="5"/>
        <v>1.2300000000000002E-3</v>
      </c>
      <c r="K33" s="77">
        <f t="shared" si="5"/>
        <v>6.1500000000000001E-3</v>
      </c>
      <c r="L33" s="77">
        <f t="shared" si="5"/>
        <v>2.5830000000000002E-2</v>
      </c>
      <c r="M33" s="77">
        <f t="shared" si="5"/>
        <v>6.2730000000000008E-2</v>
      </c>
      <c r="N33" s="77">
        <f t="shared" si="5"/>
        <v>0</v>
      </c>
      <c r="O33" s="77">
        <f t="shared" si="5"/>
        <v>0</v>
      </c>
      <c r="P33" s="77">
        <f t="shared" si="5"/>
        <v>50.922000000000004</v>
      </c>
      <c r="Q33" s="77">
        <f t="shared" si="10"/>
        <v>70.417500000000004</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123</v>
      </c>
      <c r="C34" s="77">
        <f t="shared" si="6"/>
        <v>209.10000000000002</v>
      </c>
      <c r="D34" s="77">
        <f t="shared" si="7"/>
        <v>56.640393000000003</v>
      </c>
      <c r="E34" s="77">
        <f t="shared" si="8"/>
        <v>30.532290000000003</v>
      </c>
      <c r="F34" s="77">
        <f t="shared" si="9"/>
        <v>10.706534999999999</v>
      </c>
      <c r="G34" s="77">
        <f t="shared" si="5"/>
        <v>4.3049999999999998E-2</v>
      </c>
      <c r="H34" s="77">
        <f t="shared" si="5"/>
        <v>0.28659000000000001</v>
      </c>
      <c r="I34" s="77">
        <f t="shared" si="5"/>
        <v>6.1499999999999999E-2</v>
      </c>
      <c r="J34" s="77">
        <f t="shared" si="5"/>
        <v>1.2300000000000002E-3</v>
      </c>
      <c r="K34" s="77">
        <f t="shared" si="5"/>
        <v>6.1500000000000001E-3</v>
      </c>
      <c r="L34" s="77">
        <f t="shared" si="5"/>
        <v>2.5830000000000002E-2</v>
      </c>
      <c r="M34" s="77">
        <f t="shared" si="5"/>
        <v>6.2730000000000008E-2</v>
      </c>
      <c r="N34" s="77">
        <f t="shared" si="5"/>
        <v>0</v>
      </c>
      <c r="O34" s="77">
        <f t="shared" si="5"/>
        <v>0</v>
      </c>
      <c r="P34" s="77">
        <f t="shared" si="5"/>
        <v>50.922000000000004</v>
      </c>
      <c r="Q34" s="77">
        <f t="shared" si="10"/>
        <v>70.417500000000004</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123</v>
      </c>
      <c r="C35" s="77">
        <f t="shared" si="6"/>
        <v>209.10000000000002</v>
      </c>
      <c r="D35" s="77">
        <f t="shared" si="7"/>
        <v>56.640393000000003</v>
      </c>
      <c r="E35" s="77">
        <f t="shared" si="8"/>
        <v>30.532290000000003</v>
      </c>
      <c r="F35" s="77">
        <f t="shared" si="9"/>
        <v>10.706534999999999</v>
      </c>
      <c r="G35" s="77">
        <f t="shared" si="5"/>
        <v>4.3049999999999998E-2</v>
      </c>
      <c r="H35" s="77">
        <f t="shared" si="5"/>
        <v>0.28659000000000001</v>
      </c>
      <c r="I35" s="77">
        <f t="shared" si="5"/>
        <v>6.1499999999999999E-2</v>
      </c>
      <c r="J35" s="77">
        <f t="shared" si="5"/>
        <v>1.2300000000000002E-3</v>
      </c>
      <c r="K35" s="77">
        <f t="shared" si="5"/>
        <v>6.1500000000000001E-3</v>
      </c>
      <c r="L35" s="77">
        <f t="shared" si="5"/>
        <v>2.5830000000000002E-2</v>
      </c>
      <c r="M35" s="77">
        <f t="shared" si="5"/>
        <v>6.2730000000000008E-2</v>
      </c>
      <c r="N35" s="77">
        <f t="shared" si="5"/>
        <v>0</v>
      </c>
      <c r="O35" s="77">
        <f t="shared" si="5"/>
        <v>0</v>
      </c>
      <c r="P35" s="77">
        <f t="shared" si="5"/>
        <v>50.922000000000004</v>
      </c>
      <c r="Q35" s="77">
        <f t="shared" si="10"/>
        <v>70.417500000000004</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123</v>
      </c>
      <c r="C36" s="77">
        <f t="shared" si="6"/>
        <v>209.10000000000002</v>
      </c>
      <c r="D36" s="77">
        <f t="shared" si="7"/>
        <v>56.640393000000003</v>
      </c>
      <c r="E36" s="77">
        <f t="shared" si="8"/>
        <v>30.532290000000003</v>
      </c>
      <c r="F36" s="77">
        <f t="shared" si="9"/>
        <v>10.706534999999999</v>
      </c>
      <c r="G36" s="77">
        <f t="shared" si="5"/>
        <v>4.3049999999999998E-2</v>
      </c>
      <c r="H36" s="77">
        <f t="shared" si="5"/>
        <v>0.28659000000000001</v>
      </c>
      <c r="I36" s="77">
        <f t="shared" si="5"/>
        <v>6.1499999999999999E-2</v>
      </c>
      <c r="J36" s="77">
        <f t="shared" si="5"/>
        <v>1.2300000000000002E-3</v>
      </c>
      <c r="K36" s="77">
        <f t="shared" si="5"/>
        <v>6.1500000000000001E-3</v>
      </c>
      <c r="L36" s="77">
        <f t="shared" si="5"/>
        <v>2.5830000000000002E-2</v>
      </c>
      <c r="M36" s="77">
        <f t="shared" si="5"/>
        <v>6.2730000000000008E-2</v>
      </c>
      <c r="N36" s="77">
        <f t="shared" si="5"/>
        <v>0</v>
      </c>
      <c r="O36" s="77">
        <f t="shared" si="5"/>
        <v>0</v>
      </c>
      <c r="P36" s="77">
        <f t="shared" si="5"/>
        <v>50.922000000000004</v>
      </c>
      <c r="Q36" s="77">
        <f t="shared" si="10"/>
        <v>70.417500000000004</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123</v>
      </c>
      <c r="C37" s="77">
        <f t="shared" si="6"/>
        <v>209.10000000000002</v>
      </c>
      <c r="D37" s="77">
        <f t="shared" si="7"/>
        <v>56.640393000000003</v>
      </c>
      <c r="E37" s="77">
        <f t="shared" si="8"/>
        <v>30.532290000000003</v>
      </c>
      <c r="F37" s="77">
        <f t="shared" si="9"/>
        <v>10.706534999999999</v>
      </c>
      <c r="G37" s="77">
        <f t="shared" si="5"/>
        <v>4.3049999999999998E-2</v>
      </c>
      <c r="H37" s="77">
        <f t="shared" si="5"/>
        <v>0.28659000000000001</v>
      </c>
      <c r="I37" s="77">
        <f t="shared" si="5"/>
        <v>6.1499999999999999E-2</v>
      </c>
      <c r="J37" s="77">
        <f t="shared" si="5"/>
        <v>1.2300000000000002E-3</v>
      </c>
      <c r="K37" s="77">
        <f t="shared" si="5"/>
        <v>6.1500000000000001E-3</v>
      </c>
      <c r="L37" s="77">
        <f t="shared" si="5"/>
        <v>2.5830000000000002E-2</v>
      </c>
      <c r="M37" s="77">
        <f t="shared" si="5"/>
        <v>6.2730000000000008E-2</v>
      </c>
      <c r="N37" s="77">
        <f t="shared" si="5"/>
        <v>0</v>
      </c>
      <c r="O37" s="77">
        <f t="shared" si="5"/>
        <v>0</v>
      </c>
      <c r="P37" s="77">
        <f t="shared" si="5"/>
        <v>50.922000000000004</v>
      </c>
      <c r="Q37" s="77">
        <f t="shared" si="10"/>
        <v>70.417500000000004</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123</v>
      </c>
      <c r="C38" s="77">
        <f t="shared" si="6"/>
        <v>209.10000000000002</v>
      </c>
      <c r="D38" s="77">
        <f t="shared" si="7"/>
        <v>56.640393000000003</v>
      </c>
      <c r="E38" s="77">
        <f t="shared" si="8"/>
        <v>30.532290000000003</v>
      </c>
      <c r="F38" s="77">
        <f t="shared" si="9"/>
        <v>10.706534999999999</v>
      </c>
      <c r="G38" s="77">
        <f t="shared" si="5"/>
        <v>4.3049999999999998E-2</v>
      </c>
      <c r="H38" s="77">
        <f t="shared" si="5"/>
        <v>0.28659000000000001</v>
      </c>
      <c r="I38" s="77">
        <f t="shared" si="5"/>
        <v>6.1499999999999999E-2</v>
      </c>
      <c r="J38" s="77">
        <f t="shared" si="5"/>
        <v>1.2300000000000002E-3</v>
      </c>
      <c r="K38" s="77">
        <f t="shared" si="5"/>
        <v>6.1500000000000001E-3</v>
      </c>
      <c r="L38" s="77">
        <f t="shared" si="5"/>
        <v>2.5830000000000002E-2</v>
      </c>
      <c r="M38" s="77">
        <f t="shared" si="5"/>
        <v>6.2730000000000008E-2</v>
      </c>
      <c r="N38" s="77">
        <f t="shared" si="5"/>
        <v>0</v>
      </c>
      <c r="O38" s="77">
        <f t="shared" si="5"/>
        <v>0</v>
      </c>
      <c r="P38" s="77">
        <f t="shared" si="5"/>
        <v>50.922000000000004</v>
      </c>
      <c r="Q38" s="77">
        <f t="shared" si="10"/>
        <v>70.417500000000004</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123</v>
      </c>
      <c r="C39" s="77">
        <f t="shared" si="6"/>
        <v>209.10000000000002</v>
      </c>
      <c r="D39" s="77">
        <f t="shared" si="7"/>
        <v>56.640393000000003</v>
      </c>
      <c r="E39" s="77">
        <f t="shared" si="8"/>
        <v>30.532290000000003</v>
      </c>
      <c r="F39" s="77">
        <f t="shared" si="9"/>
        <v>10.706534999999999</v>
      </c>
      <c r="G39" s="77">
        <f t="shared" si="5"/>
        <v>4.3049999999999998E-2</v>
      </c>
      <c r="H39" s="77">
        <f t="shared" si="5"/>
        <v>0.28659000000000001</v>
      </c>
      <c r="I39" s="77">
        <f t="shared" si="5"/>
        <v>6.1499999999999999E-2</v>
      </c>
      <c r="J39" s="77">
        <f t="shared" si="5"/>
        <v>1.2300000000000002E-3</v>
      </c>
      <c r="K39" s="77">
        <f t="shared" si="5"/>
        <v>6.1500000000000001E-3</v>
      </c>
      <c r="L39" s="77">
        <f t="shared" si="5"/>
        <v>2.5830000000000002E-2</v>
      </c>
      <c r="M39" s="77">
        <f t="shared" si="5"/>
        <v>6.2730000000000008E-2</v>
      </c>
      <c r="N39" s="77">
        <f t="shared" si="5"/>
        <v>0</v>
      </c>
      <c r="O39" s="77">
        <f t="shared" si="5"/>
        <v>0</v>
      </c>
      <c r="P39" s="77">
        <f t="shared" si="5"/>
        <v>50.922000000000004</v>
      </c>
      <c r="Q39" s="77">
        <f t="shared" si="10"/>
        <v>70.417500000000004</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123</v>
      </c>
      <c r="C40" s="77">
        <f t="shared" si="6"/>
        <v>209.10000000000002</v>
      </c>
      <c r="D40" s="77">
        <f t="shared" si="7"/>
        <v>56.640393000000003</v>
      </c>
      <c r="E40" s="77">
        <f t="shared" si="8"/>
        <v>30.532290000000003</v>
      </c>
      <c r="F40" s="77">
        <f t="shared" si="9"/>
        <v>10.706534999999999</v>
      </c>
      <c r="G40" s="77">
        <f t="shared" si="5"/>
        <v>4.3049999999999998E-2</v>
      </c>
      <c r="H40" s="77">
        <f t="shared" si="5"/>
        <v>0.28659000000000001</v>
      </c>
      <c r="I40" s="77">
        <f t="shared" si="5"/>
        <v>6.1499999999999999E-2</v>
      </c>
      <c r="J40" s="77">
        <f t="shared" si="5"/>
        <v>1.2300000000000002E-3</v>
      </c>
      <c r="K40" s="77">
        <f t="shared" si="5"/>
        <v>6.1500000000000001E-3</v>
      </c>
      <c r="L40" s="77">
        <f t="shared" si="5"/>
        <v>2.5830000000000002E-2</v>
      </c>
      <c r="M40" s="77">
        <f t="shared" si="5"/>
        <v>6.2730000000000008E-2</v>
      </c>
      <c r="N40" s="77">
        <f t="shared" si="5"/>
        <v>0</v>
      </c>
      <c r="O40" s="77">
        <f t="shared" si="5"/>
        <v>0</v>
      </c>
      <c r="P40" s="77">
        <f t="shared" si="5"/>
        <v>50.922000000000004</v>
      </c>
      <c r="Q40" s="77">
        <f t="shared" si="10"/>
        <v>70.417500000000004</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123</v>
      </c>
      <c r="C41" s="77">
        <f t="shared" si="6"/>
        <v>209.10000000000002</v>
      </c>
      <c r="D41" s="77">
        <f t="shared" si="7"/>
        <v>56.640393000000003</v>
      </c>
      <c r="E41" s="77">
        <f t="shared" si="8"/>
        <v>30.532290000000003</v>
      </c>
      <c r="F41" s="77">
        <f t="shared" si="9"/>
        <v>10.706534999999999</v>
      </c>
      <c r="G41" s="77">
        <f t="shared" si="5"/>
        <v>4.3049999999999998E-2</v>
      </c>
      <c r="H41" s="77">
        <f t="shared" si="5"/>
        <v>0.28659000000000001</v>
      </c>
      <c r="I41" s="77">
        <f t="shared" si="5"/>
        <v>6.1499999999999999E-2</v>
      </c>
      <c r="J41" s="77">
        <f t="shared" si="5"/>
        <v>1.2300000000000002E-3</v>
      </c>
      <c r="K41" s="77">
        <f t="shared" si="5"/>
        <v>6.1500000000000001E-3</v>
      </c>
      <c r="L41" s="77">
        <f t="shared" si="5"/>
        <v>2.5830000000000002E-2</v>
      </c>
      <c r="M41" s="77">
        <f t="shared" si="5"/>
        <v>6.2730000000000008E-2</v>
      </c>
      <c r="N41" s="77">
        <f t="shared" si="5"/>
        <v>0</v>
      </c>
      <c r="O41" s="77">
        <f t="shared" si="5"/>
        <v>0</v>
      </c>
      <c r="P41" s="77">
        <f t="shared" si="5"/>
        <v>50.922000000000004</v>
      </c>
      <c r="Q41" s="77">
        <f t="shared" si="10"/>
        <v>70.417500000000004</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123</v>
      </c>
      <c r="C42" s="77">
        <f t="shared" si="6"/>
        <v>209.10000000000002</v>
      </c>
      <c r="D42" s="77">
        <f t="shared" si="7"/>
        <v>56.640393000000003</v>
      </c>
      <c r="E42" s="77">
        <f t="shared" si="8"/>
        <v>30.532290000000003</v>
      </c>
      <c r="F42" s="77">
        <f t="shared" si="9"/>
        <v>10.706534999999999</v>
      </c>
      <c r="G42" s="77">
        <f t="shared" si="5"/>
        <v>4.3049999999999998E-2</v>
      </c>
      <c r="H42" s="77">
        <f t="shared" si="5"/>
        <v>0.28659000000000001</v>
      </c>
      <c r="I42" s="77">
        <f t="shared" si="5"/>
        <v>6.1499999999999999E-2</v>
      </c>
      <c r="J42" s="77">
        <f t="shared" si="5"/>
        <v>1.2300000000000002E-3</v>
      </c>
      <c r="K42" s="77">
        <f t="shared" si="5"/>
        <v>6.1500000000000001E-3</v>
      </c>
      <c r="L42" s="77">
        <f t="shared" si="5"/>
        <v>2.5830000000000002E-2</v>
      </c>
      <c r="M42" s="77">
        <f t="shared" si="5"/>
        <v>6.2730000000000008E-2</v>
      </c>
      <c r="N42" s="77">
        <f t="shared" si="5"/>
        <v>0</v>
      </c>
      <c r="O42" s="77">
        <f t="shared" si="5"/>
        <v>0</v>
      </c>
      <c r="P42" s="77">
        <f t="shared" si="5"/>
        <v>50.922000000000004</v>
      </c>
      <c r="Q42" s="77">
        <f t="shared" si="10"/>
        <v>70.417500000000004</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123</v>
      </c>
      <c r="C43" s="77">
        <f t="shared" si="6"/>
        <v>209.10000000000002</v>
      </c>
      <c r="D43" s="77">
        <f t="shared" si="7"/>
        <v>56.640393000000003</v>
      </c>
      <c r="E43" s="77">
        <f t="shared" si="8"/>
        <v>30.532290000000003</v>
      </c>
      <c r="F43" s="77">
        <f t="shared" si="9"/>
        <v>10.706534999999999</v>
      </c>
      <c r="G43" s="77">
        <f t="shared" si="5"/>
        <v>4.3049999999999998E-2</v>
      </c>
      <c r="H43" s="77">
        <f t="shared" si="5"/>
        <v>0.28659000000000001</v>
      </c>
      <c r="I43" s="77">
        <f t="shared" si="5"/>
        <v>6.1499999999999999E-2</v>
      </c>
      <c r="J43" s="77">
        <f t="shared" si="5"/>
        <v>1.2300000000000002E-3</v>
      </c>
      <c r="K43" s="77">
        <f t="shared" si="5"/>
        <v>6.1500000000000001E-3</v>
      </c>
      <c r="L43" s="77">
        <f t="shared" si="5"/>
        <v>2.5830000000000002E-2</v>
      </c>
      <c r="M43" s="77">
        <f t="shared" si="5"/>
        <v>6.2730000000000008E-2</v>
      </c>
      <c r="N43" s="77">
        <f t="shared" si="5"/>
        <v>0</v>
      </c>
      <c r="O43" s="77">
        <f t="shared" si="5"/>
        <v>0</v>
      </c>
      <c r="P43" s="77">
        <f t="shared" si="5"/>
        <v>50.922000000000004</v>
      </c>
      <c r="Q43" s="77">
        <f t="shared" si="10"/>
        <v>70.417500000000004</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123</v>
      </c>
      <c r="C44" s="77">
        <f t="shared" si="6"/>
        <v>209.10000000000002</v>
      </c>
      <c r="D44" s="77">
        <f t="shared" si="7"/>
        <v>56.640393000000003</v>
      </c>
      <c r="E44" s="77">
        <f t="shared" si="8"/>
        <v>30.532290000000003</v>
      </c>
      <c r="F44" s="77">
        <f t="shared" si="9"/>
        <v>10.706534999999999</v>
      </c>
      <c r="G44" s="77">
        <f t="shared" si="5"/>
        <v>4.3049999999999998E-2</v>
      </c>
      <c r="H44" s="77">
        <f t="shared" si="5"/>
        <v>0.28659000000000001</v>
      </c>
      <c r="I44" s="77">
        <f t="shared" si="5"/>
        <v>6.1499999999999999E-2</v>
      </c>
      <c r="J44" s="77">
        <f t="shared" si="5"/>
        <v>1.2300000000000002E-3</v>
      </c>
      <c r="K44" s="77">
        <f t="shared" si="5"/>
        <v>6.1500000000000001E-3</v>
      </c>
      <c r="L44" s="77">
        <f t="shared" si="5"/>
        <v>2.5830000000000002E-2</v>
      </c>
      <c r="M44" s="77">
        <f t="shared" si="5"/>
        <v>6.2730000000000008E-2</v>
      </c>
      <c r="N44" s="77">
        <f t="shared" si="5"/>
        <v>0</v>
      </c>
      <c r="O44" s="77">
        <f t="shared" si="5"/>
        <v>0</v>
      </c>
      <c r="P44" s="77">
        <f t="shared" si="5"/>
        <v>50.922000000000004</v>
      </c>
      <c r="Q44" s="77">
        <f t="shared" si="10"/>
        <v>70.417500000000004</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16</v>
      </c>
      <c r="B45" s="15">
        <v>123</v>
      </c>
      <c r="C45" s="77">
        <f t="shared" si="6"/>
        <v>209.10000000000002</v>
      </c>
      <c r="D45" s="77">
        <f t="shared" si="7"/>
        <v>56.640393000000003</v>
      </c>
      <c r="E45" s="77">
        <f t="shared" si="8"/>
        <v>30.532290000000003</v>
      </c>
      <c r="F45" s="77">
        <f t="shared" si="9"/>
        <v>10.706534999999999</v>
      </c>
      <c r="G45" s="77">
        <f t="shared" si="5"/>
        <v>4.3049999999999998E-2</v>
      </c>
      <c r="H45" s="77">
        <f t="shared" si="5"/>
        <v>0.28659000000000001</v>
      </c>
      <c r="I45" s="77">
        <f t="shared" si="5"/>
        <v>6.1499999999999999E-2</v>
      </c>
      <c r="J45" s="77">
        <f t="shared" si="5"/>
        <v>1.2300000000000002E-3</v>
      </c>
      <c r="K45" s="77">
        <f t="shared" si="5"/>
        <v>6.1500000000000001E-3</v>
      </c>
      <c r="L45" s="77">
        <f t="shared" si="5"/>
        <v>2.5830000000000002E-2</v>
      </c>
      <c r="M45" s="77">
        <f t="shared" si="5"/>
        <v>6.2730000000000008E-2</v>
      </c>
      <c r="N45" s="77">
        <f t="shared" si="5"/>
        <v>0</v>
      </c>
      <c r="O45" s="77">
        <f t="shared" si="5"/>
        <v>0</v>
      </c>
      <c r="P45" s="77">
        <f t="shared" si="5"/>
        <v>50.922000000000004</v>
      </c>
      <c r="Q45" s="77">
        <f t="shared" si="10"/>
        <v>70.417500000000004</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17</v>
      </c>
      <c r="B46" s="15">
        <v>123</v>
      </c>
      <c r="C46" s="77">
        <f t="shared" si="6"/>
        <v>209.10000000000002</v>
      </c>
      <c r="D46" s="77">
        <f t="shared" si="7"/>
        <v>56.640393000000003</v>
      </c>
      <c r="E46" s="77">
        <f t="shared" si="8"/>
        <v>30.532290000000003</v>
      </c>
      <c r="F46" s="77">
        <f t="shared" si="9"/>
        <v>10.706534999999999</v>
      </c>
      <c r="G46" s="77">
        <f t="shared" si="5"/>
        <v>4.3049999999999998E-2</v>
      </c>
      <c r="H46" s="77">
        <f t="shared" si="5"/>
        <v>0.28659000000000001</v>
      </c>
      <c r="I46" s="77">
        <f t="shared" si="5"/>
        <v>6.1499999999999999E-2</v>
      </c>
      <c r="J46" s="77">
        <f t="shared" si="5"/>
        <v>1.2300000000000002E-3</v>
      </c>
      <c r="K46" s="77">
        <f t="shared" si="5"/>
        <v>6.1500000000000001E-3</v>
      </c>
      <c r="L46" s="77">
        <f t="shared" si="5"/>
        <v>2.5830000000000002E-2</v>
      </c>
      <c r="M46" s="77">
        <f t="shared" si="5"/>
        <v>6.2730000000000008E-2</v>
      </c>
      <c r="N46" s="77">
        <f t="shared" si="5"/>
        <v>0</v>
      </c>
      <c r="O46" s="77">
        <f t="shared" si="5"/>
        <v>0</v>
      </c>
      <c r="P46" s="77">
        <f t="shared" si="5"/>
        <v>50.922000000000004</v>
      </c>
      <c r="Q46" s="77">
        <f t="shared" si="10"/>
        <v>70.417500000000004</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18</v>
      </c>
      <c r="B47" s="15">
        <v>123</v>
      </c>
      <c r="C47" s="77">
        <f t="shared" si="6"/>
        <v>209.10000000000002</v>
      </c>
      <c r="D47" s="77">
        <f t="shared" si="7"/>
        <v>56.640393000000003</v>
      </c>
      <c r="E47" s="77">
        <f t="shared" si="8"/>
        <v>30.532290000000003</v>
      </c>
      <c r="F47" s="77">
        <f t="shared" si="9"/>
        <v>10.706534999999999</v>
      </c>
      <c r="G47" s="77">
        <f t="shared" ref="G47:P50" si="12">IF(G$27="%w/w SAR",((G$28*10)*$B47),IF(G$27="%w/w DM",(((G$28*10)*($B$28/100))*$B47),IF(G$27="kg/t SAR",(G$28*$B47),IF(G$27="kg/t DM",((G$28*($B$28/100))*$B47),IF(G$27="mg/kg SAR",((G$28*0.001)*$B47),IF(G$27="mg/kg DM",(((G$28*0.001)*($B$28/100))*$B47),0))))))</f>
        <v>4.3049999999999998E-2</v>
      </c>
      <c r="H47" s="77">
        <f t="shared" si="12"/>
        <v>0.28659000000000001</v>
      </c>
      <c r="I47" s="77">
        <f t="shared" si="12"/>
        <v>6.1499999999999999E-2</v>
      </c>
      <c r="J47" s="77">
        <f t="shared" si="12"/>
        <v>1.2300000000000002E-3</v>
      </c>
      <c r="K47" s="77">
        <f t="shared" si="12"/>
        <v>6.1500000000000001E-3</v>
      </c>
      <c r="L47" s="77">
        <f t="shared" si="12"/>
        <v>2.5830000000000002E-2</v>
      </c>
      <c r="M47" s="77">
        <f t="shared" si="12"/>
        <v>6.2730000000000008E-2</v>
      </c>
      <c r="N47" s="77">
        <f t="shared" si="12"/>
        <v>0</v>
      </c>
      <c r="O47" s="77">
        <f t="shared" si="12"/>
        <v>0</v>
      </c>
      <c r="P47" s="77">
        <f t="shared" si="12"/>
        <v>50.922000000000004</v>
      </c>
      <c r="Q47" s="77">
        <f t="shared" si="10"/>
        <v>70.417500000000004</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19</v>
      </c>
      <c r="B48" s="15">
        <v>123</v>
      </c>
      <c r="C48" s="77">
        <f t="shared" si="6"/>
        <v>209.10000000000002</v>
      </c>
      <c r="D48" s="77">
        <f t="shared" si="7"/>
        <v>56.640393000000003</v>
      </c>
      <c r="E48" s="77">
        <f t="shared" si="8"/>
        <v>30.532290000000003</v>
      </c>
      <c r="F48" s="77">
        <f t="shared" si="9"/>
        <v>10.706534999999999</v>
      </c>
      <c r="G48" s="77">
        <f t="shared" si="12"/>
        <v>4.3049999999999998E-2</v>
      </c>
      <c r="H48" s="77">
        <f t="shared" si="12"/>
        <v>0.28659000000000001</v>
      </c>
      <c r="I48" s="77">
        <f t="shared" si="12"/>
        <v>6.1499999999999999E-2</v>
      </c>
      <c r="J48" s="77">
        <f t="shared" si="12"/>
        <v>1.2300000000000002E-3</v>
      </c>
      <c r="K48" s="77">
        <f t="shared" si="12"/>
        <v>6.1500000000000001E-3</v>
      </c>
      <c r="L48" s="77">
        <f t="shared" si="12"/>
        <v>2.5830000000000002E-2</v>
      </c>
      <c r="M48" s="77">
        <f t="shared" si="12"/>
        <v>6.2730000000000008E-2</v>
      </c>
      <c r="N48" s="77">
        <f t="shared" si="12"/>
        <v>0</v>
      </c>
      <c r="O48" s="77">
        <f t="shared" si="12"/>
        <v>0</v>
      </c>
      <c r="P48" s="77">
        <f t="shared" si="12"/>
        <v>50.922000000000004</v>
      </c>
      <c r="Q48" s="77">
        <f t="shared" si="10"/>
        <v>70.417500000000004</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x14ac:dyDescent="0.2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str">
        <f>R16&amp;" I "&amp;(VLOOKUP(R14,Table24567[],6,FALSE))</f>
        <v>Medium/Clay I Grass</v>
      </c>
      <c r="R58" s="13" t="str">
        <f>S16&amp;" I "&amp;(VLOOKUP(S14,Table24567[],6,FALSE))</f>
        <v>Medium/Clay I Grass</v>
      </c>
      <c r="S58" s="13" t="str">
        <f>T16&amp;" I "&amp;(VLOOKUP(T14,Table24567[],6,FALSE))</f>
        <v>Medium/Clay I Grass</v>
      </c>
      <c r="T58" s="13" t="e">
        <f>U16&amp;" I "&amp;(VLOOKUP(U14,Table24567[],6,FALSE))</f>
        <v>#N/A</v>
      </c>
      <c r="U58" s="13" t="e">
        <f>V16&amp;" I "&amp;(VLOOKUP(V14,Table24567[],6,FALSE))</f>
        <v>#N/A</v>
      </c>
    </row>
    <row r="59" spans="1:35" s="19" customFormat="1" x14ac:dyDescent="0.2">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f>VLOOKUP(R$14,Table24567[],5,FALSE)</f>
        <v>6.2</v>
      </c>
      <c r="R59" s="76">
        <f>VLOOKUP(S$14,Table24567[],5,FALSE)</f>
        <v>6.2</v>
      </c>
      <c r="S59" s="76">
        <f>VLOOKUP(T$14,Table24567[],5,FALSE)</f>
        <v>6.2</v>
      </c>
      <c r="T59" s="76" t="e">
        <f>VLOOKUP(U$14,Table24567[],5,FALSE)</f>
        <v>#N/A</v>
      </c>
      <c r="U59" s="76" t="e">
        <f>VLOOKUP(V$14,Table24567[],5,FALSE)</f>
        <v>#N/A</v>
      </c>
    </row>
    <row r="60" spans="1:35" s="19" customFormat="1" x14ac:dyDescent="0.2">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t="e">
        <f t="shared" si="15"/>
        <v>#N/A</v>
      </c>
      <c r="U61" s="76" t="e">
        <f t="shared" si="15"/>
        <v>#N/A</v>
      </c>
    </row>
    <row r="62" spans="1:35" s="19" customFormat="1" x14ac:dyDescent="0.2">
      <c r="A62" s="111" t="s">
        <v>134</v>
      </c>
      <c r="B62" s="77">
        <f>B31</f>
        <v>123</v>
      </c>
      <c r="C62" s="77">
        <f>B32</f>
        <v>123</v>
      </c>
      <c r="D62" s="77">
        <f>B33</f>
        <v>123</v>
      </c>
      <c r="E62" s="77">
        <f>B34</f>
        <v>123</v>
      </c>
      <c r="F62" s="77">
        <f>B35</f>
        <v>123</v>
      </c>
      <c r="G62" s="77">
        <f>B36</f>
        <v>123</v>
      </c>
      <c r="H62" s="77">
        <f>B37</f>
        <v>123</v>
      </c>
      <c r="I62" s="77">
        <f>B38</f>
        <v>123</v>
      </c>
      <c r="J62" s="77">
        <f>B39</f>
        <v>123</v>
      </c>
      <c r="K62" s="77">
        <f>B40</f>
        <v>123</v>
      </c>
      <c r="L62" s="77">
        <f>B41</f>
        <v>123</v>
      </c>
      <c r="M62" s="77">
        <f>B42</f>
        <v>123</v>
      </c>
      <c r="N62" s="77">
        <f>B43</f>
        <v>123</v>
      </c>
      <c r="O62" s="77">
        <f>B44</f>
        <v>123</v>
      </c>
      <c r="P62" s="77">
        <f>B45</f>
        <v>123</v>
      </c>
      <c r="Q62" s="77">
        <f>B46</f>
        <v>123</v>
      </c>
      <c r="R62" s="77">
        <f>B47</f>
        <v>123</v>
      </c>
      <c r="S62" s="77">
        <f>B48</f>
        <v>123</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-1.7999999999999989</v>
      </c>
      <c r="D64" s="77">
        <f t="shared" si="17"/>
        <v>0.6000000000000032</v>
      </c>
      <c r="E64" s="77">
        <f t="shared" si="17"/>
        <v>0</v>
      </c>
      <c r="F64" s="77">
        <f t="shared" si="17"/>
        <v>1.2000000000000011</v>
      </c>
      <c r="G64" s="77">
        <f t="shared" si="17"/>
        <v>0.6000000000000032</v>
      </c>
      <c r="H64" s="77">
        <f t="shared" si="17"/>
        <v>-3</v>
      </c>
      <c r="I64" s="77">
        <f t="shared" si="17"/>
        <v>0.6000000000000032</v>
      </c>
      <c r="J64" s="77">
        <f t="shared" si="17"/>
        <v>1.2000000000000011</v>
      </c>
      <c r="K64" s="77">
        <f t="shared" si="17"/>
        <v>1.7999999999999989</v>
      </c>
      <c r="L64" s="77">
        <f t="shared" si="17"/>
        <v>1.7999999999999989</v>
      </c>
      <c r="M64" s="77">
        <f t="shared" si="17"/>
        <v>2.4000000000000021</v>
      </c>
      <c r="N64" s="77">
        <f t="shared" si="17"/>
        <v>2.4000000000000021</v>
      </c>
      <c r="O64" s="77">
        <f t="shared" si="17"/>
        <v>-1.2000000000000011</v>
      </c>
      <c r="P64" s="77">
        <f t="shared" si="17"/>
        <v>-2.3999999999999968</v>
      </c>
      <c r="Q64" s="77">
        <f t="shared" si="17"/>
        <v>-1.7999999999999989</v>
      </c>
      <c r="R64" s="77">
        <f t="shared" si="17"/>
        <v>-6.5999999999999979</v>
      </c>
      <c r="S64" s="77">
        <f t="shared" si="17"/>
        <v>-5.3999999999999968</v>
      </c>
      <c r="T64" s="77" t="e">
        <f t="shared" si="17"/>
        <v>#N/A</v>
      </c>
      <c r="U64" s="77" t="e">
        <f t="shared" si="17"/>
        <v>#N/A</v>
      </c>
    </row>
    <row r="65" spans="1:21" s="19" customFormat="1" ht="51" x14ac:dyDescent="0.2">
      <c r="A65" s="112" t="s">
        <v>157</v>
      </c>
      <c r="B65" s="77">
        <f>B63-B64</f>
        <v>0</v>
      </c>
      <c r="C65" s="77">
        <f t="shared" ref="C65:U65" si="18">C63-C64</f>
        <v>1.7999999999999989</v>
      </c>
      <c r="D65" s="77">
        <f t="shared" si="18"/>
        <v>-0.6000000000000032</v>
      </c>
      <c r="E65" s="77">
        <f t="shared" si="18"/>
        <v>0</v>
      </c>
      <c r="F65" s="77">
        <f t="shared" si="18"/>
        <v>-1.2000000000000011</v>
      </c>
      <c r="G65" s="77">
        <f t="shared" si="18"/>
        <v>-0.6000000000000032</v>
      </c>
      <c r="H65" s="77">
        <f t="shared" si="18"/>
        <v>3</v>
      </c>
      <c r="I65" s="77">
        <f t="shared" si="18"/>
        <v>-0.6000000000000032</v>
      </c>
      <c r="J65" s="77">
        <f t="shared" si="18"/>
        <v>-1.2000000000000011</v>
      </c>
      <c r="K65" s="77">
        <f t="shared" si="18"/>
        <v>-1.7999999999999989</v>
      </c>
      <c r="L65" s="77">
        <f t="shared" si="18"/>
        <v>-1.7999999999999989</v>
      </c>
      <c r="M65" s="77">
        <f t="shared" si="18"/>
        <v>-2.4000000000000021</v>
      </c>
      <c r="N65" s="77">
        <f t="shared" si="18"/>
        <v>-2.4000000000000021</v>
      </c>
      <c r="O65" s="77">
        <f t="shared" si="18"/>
        <v>1.2000000000000011</v>
      </c>
      <c r="P65" s="77">
        <f t="shared" si="18"/>
        <v>2.3999999999999968</v>
      </c>
      <c r="Q65" s="77">
        <f t="shared" si="18"/>
        <v>1.7999999999999989</v>
      </c>
      <c r="R65" s="77">
        <f t="shared" si="18"/>
        <v>6.5999999999999979</v>
      </c>
      <c r="S65" s="77">
        <f t="shared" si="18"/>
        <v>5.3999999999999968</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PAN-018528</v>
      </c>
      <c r="D1" s="141"/>
      <c r="E1" s="93" t="s">
        <v>45</v>
      </c>
      <c r="F1" s="39">
        <f>Secanim!F1</f>
        <v>39.5</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EPR-KP3594VE</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Fron Farm, Moel y Crio, CH7 5QW</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8</v>
      </c>
      <c r="K8" s="60">
        <f>Secanim!K8</f>
        <v>9</v>
      </c>
      <c r="L8" s="60">
        <f>Secanim!L8</f>
        <v>10</v>
      </c>
      <c r="M8" s="60">
        <f>Secanim!M8</f>
        <v>11</v>
      </c>
      <c r="N8" s="60">
        <f>Secanim!N8</f>
        <v>12</v>
      </c>
      <c r="O8" s="60">
        <f>Secanim!O8</f>
        <v>13</v>
      </c>
      <c r="P8" s="60">
        <f>Secanim!P8</f>
        <v>14</v>
      </c>
      <c r="Q8" s="60">
        <f>Secanim!Q8</f>
        <v>16</v>
      </c>
      <c r="R8" s="60">
        <f>Secanim!R8</f>
        <v>17</v>
      </c>
      <c r="S8" s="60">
        <f>Secanim!S8</f>
        <v>18</v>
      </c>
      <c r="T8" s="60">
        <f>Secanim!T8</f>
        <v>19</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6.2</v>
      </c>
      <c r="D10" s="60">
        <f>Secanim!D10</f>
        <v>6.5</v>
      </c>
      <c r="E10" s="60">
        <f>Secanim!E10</f>
        <v>6.1</v>
      </c>
      <c r="F10" s="60">
        <f>Secanim!F10</f>
        <v>6.2</v>
      </c>
      <c r="G10" s="60">
        <f>Secanim!G10</f>
        <v>6</v>
      </c>
      <c r="H10" s="60">
        <f>Secanim!H10</f>
        <v>6.1</v>
      </c>
      <c r="I10" s="60">
        <f>Secanim!I10</f>
        <v>6.7</v>
      </c>
      <c r="J10" s="60">
        <f>Secanim!J10</f>
        <v>6.1</v>
      </c>
      <c r="K10" s="60">
        <f>Secanim!K10</f>
        <v>6</v>
      </c>
      <c r="L10" s="60">
        <f>Secanim!L10</f>
        <v>5.9</v>
      </c>
      <c r="M10" s="60">
        <f>Secanim!M10</f>
        <v>5.9</v>
      </c>
      <c r="N10" s="60">
        <f>Secanim!N10</f>
        <v>5.8</v>
      </c>
      <c r="O10" s="60">
        <f>Secanim!O10</f>
        <v>5.8</v>
      </c>
      <c r="P10" s="60">
        <f>Secanim!P10</f>
        <v>6.4</v>
      </c>
      <c r="Q10" s="60">
        <f>Secanim!Q10</f>
        <v>6.6</v>
      </c>
      <c r="R10" s="60">
        <f>Secanim!R10</f>
        <v>6.5</v>
      </c>
      <c r="S10" s="60">
        <f>Secanim!S10</f>
        <v>7.3</v>
      </c>
      <c r="T10" s="60">
        <f>Secanim!T10</f>
        <v>7.1</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2</v>
      </c>
      <c r="D11" s="60">
        <f>Secanim!D11</f>
        <v>3</v>
      </c>
      <c r="E11" s="60">
        <f>Secanim!E11</f>
        <v>2</v>
      </c>
      <c r="F11" s="60">
        <f>Secanim!F11</f>
        <v>1</v>
      </c>
      <c r="G11" s="60">
        <f>Secanim!G11</f>
        <v>1</v>
      </c>
      <c r="H11" s="60">
        <f>Secanim!H11</f>
        <v>1</v>
      </c>
      <c r="I11" s="60">
        <f>Secanim!I11</f>
        <v>1</v>
      </c>
      <c r="J11" s="60">
        <f>Secanim!J11</f>
        <v>1</v>
      </c>
      <c r="K11" s="60">
        <f>Secanim!K11</f>
        <v>1</v>
      </c>
      <c r="L11" s="60">
        <f>Secanim!L11</f>
        <v>1</v>
      </c>
      <c r="M11" s="60">
        <f>Secanim!M11</f>
        <v>1</v>
      </c>
      <c r="N11" s="60">
        <f>Secanim!N11</f>
        <v>0</v>
      </c>
      <c r="O11" s="60">
        <f>Secanim!O11</f>
        <v>0</v>
      </c>
      <c r="P11" s="60">
        <f>Secanim!P11</f>
        <v>1</v>
      </c>
      <c r="Q11" s="60">
        <f>Secanim!Q11</f>
        <v>3</v>
      </c>
      <c r="R11" s="60">
        <f>Secanim!R11</f>
        <v>2</v>
      </c>
      <c r="S11" s="60">
        <f>Secanim!S11</f>
        <v>3</v>
      </c>
      <c r="T11" s="60">
        <f>Secanim!T11</f>
        <v>1</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t="str">
        <f>Secanim!D12</f>
        <v>2-</v>
      </c>
      <c r="E12" s="60">
        <f>Secanim!E12</f>
        <v>1</v>
      </c>
      <c r="F12" s="60">
        <f>Secanim!F12</f>
        <v>0</v>
      </c>
      <c r="G12" s="60">
        <f>Secanim!G12</f>
        <v>1</v>
      </c>
      <c r="H12" s="60">
        <f>Secanim!H12</f>
        <v>1</v>
      </c>
      <c r="I12" s="60">
        <f>Secanim!I12</f>
        <v>1</v>
      </c>
      <c r="J12" s="60">
        <f>Secanim!J12</f>
        <v>1</v>
      </c>
      <c r="K12" s="60">
        <f>Secanim!K12</f>
        <v>0</v>
      </c>
      <c r="L12" s="60">
        <f>Secanim!L12</f>
        <v>0</v>
      </c>
      <c r="M12" s="60" t="str">
        <f>Secanim!M12</f>
        <v>2-</v>
      </c>
      <c r="N12" s="60">
        <f>Secanim!N12</f>
        <v>0</v>
      </c>
      <c r="O12" s="60">
        <f>Secanim!O12</f>
        <v>0</v>
      </c>
      <c r="P12" s="60">
        <f>Secanim!P12</f>
        <v>1</v>
      </c>
      <c r="Q12" s="60">
        <f>Secanim!Q12</f>
        <v>1</v>
      </c>
      <c r="R12" s="60">
        <f>Secanim!R12</f>
        <v>1</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2</v>
      </c>
      <c r="R13" s="60">
        <f>Secanim!R13</f>
        <v>2</v>
      </c>
      <c r="S13" s="60">
        <f>Secanim!S13</f>
        <v>1</v>
      </c>
      <c r="T13" s="60">
        <f>Secanim!T13</f>
        <v>1</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19</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x14ac:dyDescent="0.2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str">
        <f>R16&amp;" I "&amp;(VLOOKUP(R14,Table2456[],6,FALSE))</f>
        <v>Medium/Clay I Grass</v>
      </c>
      <c r="R58" s="13" t="str">
        <f>S16&amp;" I "&amp;(VLOOKUP(S14,Table2456[],6,FALSE))</f>
        <v>Medium/Clay I Grass</v>
      </c>
      <c r="S58" s="13" t="str">
        <f>T16&amp;" I "&amp;(VLOOKUP(T14,Table2456[],6,FALSE))</f>
        <v>Medium/Clay I Grass</v>
      </c>
      <c r="T58" s="13" t="e">
        <f>U16&amp;" I "&amp;(VLOOKUP(U14,Table2456[],6,FALSE))</f>
        <v>#N/A</v>
      </c>
      <c r="U58" s="13" t="e">
        <f>V16&amp;" I "&amp;(VLOOKUP(V14,Table2456[],6,FALSE))</f>
        <v>#N/A</v>
      </c>
    </row>
    <row r="59" spans="1:35" s="19" customFormat="1" x14ac:dyDescent="0.2">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f>VLOOKUP(R$14,Table2456[],5,FALSE)</f>
        <v>6.2</v>
      </c>
      <c r="R59" s="76">
        <f>VLOOKUP(S$14,Table2456[],5,FALSE)</f>
        <v>6.2</v>
      </c>
      <c r="S59" s="76">
        <f>VLOOKUP(T$14,Table2456[],5,FALSE)</f>
        <v>6.2</v>
      </c>
      <c r="T59" s="76" t="e">
        <f>VLOOKUP(U$14,Table2456[],5,FALSE)</f>
        <v>#N/A</v>
      </c>
      <c r="U59" s="76" t="e">
        <f>VLOOKUP(V$14,Table2456[],5,FALSE)</f>
        <v>#N/A</v>
      </c>
    </row>
    <row r="60" spans="1:35" s="19" customFormat="1" x14ac:dyDescent="0.2">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-1.7999999999999989</v>
      </c>
      <c r="D64" s="77">
        <f t="shared" si="17"/>
        <v>0.6000000000000032</v>
      </c>
      <c r="E64" s="77">
        <f t="shared" si="17"/>
        <v>0</v>
      </c>
      <c r="F64" s="77">
        <f t="shared" si="17"/>
        <v>1.2000000000000011</v>
      </c>
      <c r="G64" s="77">
        <f t="shared" si="17"/>
        <v>0.6000000000000032</v>
      </c>
      <c r="H64" s="77">
        <f t="shared" si="17"/>
        <v>-3</v>
      </c>
      <c r="I64" s="77">
        <f t="shared" si="17"/>
        <v>0.6000000000000032</v>
      </c>
      <c r="J64" s="77">
        <f t="shared" si="17"/>
        <v>1.2000000000000011</v>
      </c>
      <c r="K64" s="77">
        <f t="shared" si="17"/>
        <v>1.7999999999999989</v>
      </c>
      <c r="L64" s="77">
        <f t="shared" si="17"/>
        <v>1.7999999999999989</v>
      </c>
      <c r="M64" s="77">
        <f t="shared" si="17"/>
        <v>2.4000000000000021</v>
      </c>
      <c r="N64" s="77">
        <f t="shared" si="17"/>
        <v>2.4000000000000021</v>
      </c>
      <c r="O64" s="77">
        <f t="shared" si="17"/>
        <v>-1.2000000000000011</v>
      </c>
      <c r="P64" s="77">
        <f t="shared" si="17"/>
        <v>-2.3999999999999968</v>
      </c>
      <c r="Q64" s="77">
        <f t="shared" si="17"/>
        <v>-1.7999999999999989</v>
      </c>
      <c r="R64" s="77">
        <f t="shared" si="17"/>
        <v>-6.5999999999999979</v>
      </c>
      <c r="S64" s="77">
        <f t="shared" si="17"/>
        <v>-5.3999999999999968</v>
      </c>
      <c r="T64" s="77" t="e">
        <f t="shared" si="17"/>
        <v>#N/A</v>
      </c>
      <c r="U64" s="77" t="e">
        <f t="shared" si="17"/>
        <v>#N/A</v>
      </c>
    </row>
    <row r="65" spans="1:21" s="19" customFormat="1" ht="51" x14ac:dyDescent="0.2">
      <c r="A65" s="112" t="s">
        <v>157</v>
      </c>
      <c r="B65" s="77">
        <f>B63-B64</f>
        <v>0</v>
      </c>
      <c r="C65" s="77">
        <f t="shared" ref="C65:U65" si="18">C63-C64</f>
        <v>1.7999999999999989</v>
      </c>
      <c r="D65" s="77">
        <f t="shared" si="18"/>
        <v>-0.6000000000000032</v>
      </c>
      <c r="E65" s="77">
        <f t="shared" si="18"/>
        <v>0</v>
      </c>
      <c r="F65" s="77">
        <f t="shared" si="18"/>
        <v>-1.2000000000000011</v>
      </c>
      <c r="G65" s="77">
        <f t="shared" si="18"/>
        <v>-0.6000000000000032</v>
      </c>
      <c r="H65" s="77">
        <f t="shared" si="18"/>
        <v>3</v>
      </c>
      <c r="I65" s="77">
        <f t="shared" si="18"/>
        <v>-0.6000000000000032</v>
      </c>
      <c r="J65" s="77">
        <f t="shared" si="18"/>
        <v>-1.2000000000000011</v>
      </c>
      <c r="K65" s="77">
        <f t="shared" si="18"/>
        <v>-1.7999999999999989</v>
      </c>
      <c r="L65" s="77">
        <f t="shared" si="18"/>
        <v>-1.7999999999999989</v>
      </c>
      <c r="M65" s="77">
        <f t="shared" si="18"/>
        <v>-2.4000000000000021</v>
      </c>
      <c r="N65" s="77">
        <f t="shared" si="18"/>
        <v>-2.4000000000000021</v>
      </c>
      <c r="O65" s="77">
        <f t="shared" si="18"/>
        <v>1.2000000000000011</v>
      </c>
      <c r="P65" s="77">
        <f t="shared" si="18"/>
        <v>2.3999999999999968</v>
      </c>
      <c r="Q65" s="77">
        <f t="shared" si="18"/>
        <v>1.7999999999999989</v>
      </c>
      <c r="R65" s="77">
        <f t="shared" si="18"/>
        <v>6.5999999999999979</v>
      </c>
      <c r="S65" s="77">
        <f t="shared" si="18"/>
        <v>5.3999999999999968</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Secanim!B29</f>
        <v>Application Rate</v>
      </c>
      <c r="C1" s="38" t="str">
        <f>Secanim!C29</f>
        <v>Nitrogen Addition</v>
      </c>
      <c r="D1" s="38" t="str">
        <f>Secanim!D29</f>
        <v>Phosphate Addition</v>
      </c>
      <c r="E1" s="38" t="str">
        <f>Secanim!E29</f>
        <v>Potash  Addition</v>
      </c>
      <c r="F1" s="38" t="str">
        <f>Secanim!F29</f>
        <v>Mg Oxide Addition</v>
      </c>
      <c r="G1" s="38" t="str">
        <f>Secanim!G29</f>
        <v>Copper Addition</v>
      </c>
      <c r="H1" s="38" t="str">
        <f>Secanim!H29</f>
        <v>Zinc Addition</v>
      </c>
      <c r="I1" s="38" t="str">
        <f>Secanim!I29</f>
        <v>Lead Addition</v>
      </c>
      <c r="J1" s="38" t="str">
        <f>Secanim!J29</f>
        <v>Cadmium Addition</v>
      </c>
      <c r="K1" s="38" t="str">
        <f>Secanim!K29</f>
        <v>Mercury Addition</v>
      </c>
      <c r="L1" s="38" t="str">
        <f>Secanim!L29</f>
        <v>Nickel Addition</v>
      </c>
      <c r="M1" s="38" t="str">
        <f>Secanim!M29</f>
        <v>Chromium Addition</v>
      </c>
      <c r="N1" s="38" t="str">
        <f>Secanim!N29</f>
        <v>Aluminium Addition</v>
      </c>
      <c r="O1" s="38" t="str">
        <f>Secanim!O29</f>
        <v>Iron Addition</v>
      </c>
      <c r="P1" s="38" t="str">
        <f>Secanim!P29</f>
        <v xml:space="preserve">Sodium Addition                 </v>
      </c>
      <c r="Q1" s="38" t="str">
        <f>Secanim!Q29</f>
        <v>SO3  Addition                             kg/ha</v>
      </c>
      <c r="R1" s="38" t="str">
        <f>Secanim!R29</f>
        <v xml:space="preserve">Selenium Addition </v>
      </c>
      <c r="S1" s="38" t="str">
        <f>Secanim!S29</f>
        <v xml:space="preserve">Arsenic  Addition  </v>
      </c>
      <c r="T1" s="38" t="str">
        <f>Secanim!T29</f>
        <v xml:space="preserve">Molybdenum Addition  </v>
      </c>
      <c r="U1" s="38" t="str">
        <f>Secanim!U29</f>
        <v xml:space="preserve">Fluoride Addition </v>
      </c>
    </row>
    <row r="2" spans="1:21" ht="25.5" x14ac:dyDescent="0.2">
      <c r="A2" s="144"/>
      <c r="B2" s="38" t="str">
        <f>Secanim!B30</f>
        <v>tonnes/ha</v>
      </c>
      <c r="C2" s="38" t="str">
        <f>Secanim!C30</f>
        <v>kg/ha</v>
      </c>
      <c r="D2" s="38" t="str">
        <f>Secanim!D30</f>
        <v>P2O5 
kg/ha</v>
      </c>
      <c r="E2" s="38" t="str">
        <f>Secanim!E30</f>
        <v>K2O 
kg/ha</v>
      </c>
      <c r="F2" s="38" t="str">
        <f>Secanim!F30</f>
        <v>MgO 
kg/ha</v>
      </c>
      <c r="G2" s="38" t="str">
        <f>Secanim!G30</f>
        <v>kg/ha</v>
      </c>
      <c r="H2" s="38" t="str">
        <f>Secanim!H30</f>
        <v>kg/ha</v>
      </c>
      <c r="I2" s="38" t="str">
        <f>Secanim!I30</f>
        <v>kg/ha</v>
      </c>
      <c r="J2" s="38" t="str">
        <f>Secanim!J30</f>
        <v>kg/ha</v>
      </c>
      <c r="K2" s="38" t="str">
        <f>Secanim!K30</f>
        <v>kg/ha</v>
      </c>
      <c r="L2" s="38" t="str">
        <f>Secanim!L30</f>
        <v>kg/ha</v>
      </c>
      <c r="M2" s="38" t="str">
        <f>Secanim!M30</f>
        <v>kg/ha</v>
      </c>
      <c r="N2" s="38" t="str">
        <f>Secanim!N30</f>
        <v>kg/ha</v>
      </c>
      <c r="O2" s="38" t="str">
        <f>Secanim!O30</f>
        <v>kg/ha</v>
      </c>
      <c r="P2" s="38" t="str">
        <f>Secanim!P30</f>
        <v>kg/ha</v>
      </c>
      <c r="Q2" s="38" t="str">
        <f>Secanim!Q30</f>
        <v>kg/ha</v>
      </c>
      <c r="R2" s="38" t="str">
        <f>Secanim!R30</f>
        <v>kg/ha</v>
      </c>
      <c r="S2" s="38" t="str">
        <f>Secanim!S30</f>
        <v>kg/ha</v>
      </c>
      <c r="T2" s="38" t="str">
        <f>Secanim!T30</f>
        <v>kg/ha</v>
      </c>
      <c r="U2" s="38" t="str">
        <f>Secanim!U30</f>
        <v>kg/ha</v>
      </c>
    </row>
    <row r="3" spans="1:21" x14ac:dyDescent="0.2">
      <c r="A3" s="36">
        <v>1</v>
      </c>
      <c r="B3" s="33">
        <f>Secanim!B31</f>
        <v>232</v>
      </c>
      <c r="C3" s="33">
        <f>Secanim!C31</f>
        <v>162.4</v>
      </c>
      <c r="D3" s="33">
        <f>Secanim!D31</f>
        <v>63.781439999999996</v>
      </c>
      <c r="E3" s="33">
        <f>Secanim!E31</f>
        <v>49.761680000000005</v>
      </c>
      <c r="F3" s="33">
        <f>Secanim!F31</f>
        <v>8.7316912000000002</v>
      </c>
      <c r="G3" s="33">
        <f>Secanim!G31</f>
        <v>0.179336</v>
      </c>
      <c r="H3" s="33">
        <f>Secanim!H31</f>
        <v>0.49647999999999998</v>
      </c>
      <c r="I3" s="33">
        <f>Secanim!I31</f>
        <v>0.11600000000000001</v>
      </c>
      <c r="J3" s="33">
        <f>Secanim!J31</f>
        <v>2.32E-3</v>
      </c>
      <c r="K3" s="33">
        <f>Secanim!K31</f>
        <v>1.1600000000000001E-2</v>
      </c>
      <c r="L3" s="33">
        <f>Secanim!L31</f>
        <v>4.6400000000000004E-2</v>
      </c>
      <c r="M3" s="33">
        <f>Secanim!M31</f>
        <v>4.6400000000000004E-2</v>
      </c>
      <c r="N3" s="33">
        <f>Secanim!N31</f>
        <v>0</v>
      </c>
      <c r="O3" s="33">
        <f>Secanim!O31</f>
        <v>0</v>
      </c>
      <c r="P3" s="33">
        <f>Secanim!P31</f>
        <v>301.13600000000002</v>
      </c>
      <c r="Q3" s="33">
        <f>Secanim!Q31</f>
        <v>256.94</v>
      </c>
      <c r="R3" s="33">
        <f>Secanim!R31</f>
        <v>0</v>
      </c>
      <c r="S3" s="33">
        <f>Secanim!S31</f>
        <v>0</v>
      </c>
      <c r="T3" s="33">
        <f>Secanim!T31</f>
        <v>0</v>
      </c>
      <c r="U3" s="33">
        <f>Secanim!U31</f>
        <v>0</v>
      </c>
    </row>
    <row r="4" spans="1:21" x14ac:dyDescent="0.2">
      <c r="A4" s="36">
        <v>2</v>
      </c>
      <c r="B4" s="33">
        <f>'Croda Goole'!B31</f>
        <v>53</v>
      </c>
      <c r="C4" s="33">
        <f>'Croda Goole'!C31</f>
        <v>116.60000000000001</v>
      </c>
      <c r="D4" s="33">
        <f>'Croda Goole'!D31</f>
        <v>63.868497999999995</v>
      </c>
      <c r="E4" s="33">
        <f>'Croda Goole'!E31</f>
        <v>13.667110000000001</v>
      </c>
      <c r="F4" s="33">
        <f>'Croda Goole'!F31</f>
        <v>8.0844079999999998</v>
      </c>
      <c r="G4" s="33">
        <f>'Croda Goole'!G31</f>
        <v>5.194E-2</v>
      </c>
      <c r="H4" s="33">
        <f>'Croda Goole'!H31</f>
        <v>0.58830000000000005</v>
      </c>
      <c r="I4" s="33">
        <f>'Croda Goole'!I31</f>
        <v>2.6499999999999999E-2</v>
      </c>
      <c r="J4" s="33">
        <f>'Croda Goole'!J31</f>
        <v>5.3E-3</v>
      </c>
      <c r="K4" s="33">
        <f>'Croda Goole'!K31</f>
        <v>2.65E-3</v>
      </c>
      <c r="L4" s="33">
        <f>'Croda Goole'!L31</f>
        <v>3.4609000000000001E-2</v>
      </c>
      <c r="M4" s="33">
        <f>'Croda Goole'!M31</f>
        <v>0.27083000000000007</v>
      </c>
      <c r="N4" s="33">
        <f>'Croda Goole'!N31</f>
        <v>0</v>
      </c>
      <c r="O4" s="33">
        <f>'Croda Goole'!O31</f>
        <v>0</v>
      </c>
      <c r="P4" s="33">
        <f>'Croda Goole'!P31</f>
        <v>231.76900000000001</v>
      </c>
      <c r="Q4" s="33">
        <f>'Croda Goole'!Q31</f>
        <v>277.58750000000003</v>
      </c>
      <c r="R4" s="33">
        <f>'Croda Goole'!R31</f>
        <v>0</v>
      </c>
      <c r="S4" s="33">
        <f>'Croda Goole'!S31</f>
        <v>0</v>
      </c>
      <c r="T4" s="33">
        <f>'Croda Goole'!T31</f>
        <v>0</v>
      </c>
      <c r="U4" s="33">
        <f>'Croda Goole'!U31</f>
        <v>0</v>
      </c>
    </row>
    <row r="5" spans="1:21" x14ac:dyDescent="0.2">
      <c r="A5" s="36">
        <v>3</v>
      </c>
      <c r="B5" s="33">
        <f>'Croda Widnes'!B31</f>
        <v>41</v>
      </c>
      <c r="C5" s="33">
        <f>'Croda Widnes'!C31</f>
        <v>147.6</v>
      </c>
      <c r="D5" s="33">
        <f>'Croda Widnes'!D31</f>
        <v>63.967011000000007</v>
      </c>
      <c r="E5" s="33">
        <f>'Croda Widnes'!E31</f>
        <v>13.586375000000002</v>
      </c>
      <c r="F5" s="33">
        <f>'Croda Widnes'!F31</f>
        <v>14.411336</v>
      </c>
      <c r="G5" s="33">
        <f>'Croda Widnes'!G31</f>
        <v>6.0679999999999998E-2</v>
      </c>
      <c r="H5" s="33">
        <f>'Croda Widnes'!H31</f>
        <v>0.4592</v>
      </c>
      <c r="I5" s="33">
        <f>'Croda Widnes'!I31</f>
        <v>2.0500000000000001E-2</v>
      </c>
      <c r="J5" s="33">
        <f>'Croda Widnes'!J31</f>
        <v>6.5600000000000001E-4</v>
      </c>
      <c r="K5" s="33">
        <f>'Croda Widnes'!K31</f>
        <v>2.0500000000000001E-2</v>
      </c>
      <c r="L5" s="33">
        <f>'Croda Widnes'!L31</f>
        <v>1.3038000000000001E-2</v>
      </c>
      <c r="M5" s="33">
        <f>'Croda Widnes'!M31</f>
        <v>2.1853000000000001E-2</v>
      </c>
      <c r="N5" s="33">
        <f>'Croda Widnes'!N31</f>
        <v>0</v>
      </c>
      <c r="O5" s="33">
        <f>'Croda Widnes'!O31</f>
        <v>0</v>
      </c>
      <c r="P5" s="33">
        <f>'Croda Widnes'!P31</f>
        <v>17.015000000000001</v>
      </c>
      <c r="Q5" s="33">
        <f>'Croda Widnes'!Q31</f>
        <v>72.877499999999998</v>
      </c>
      <c r="R5" s="33">
        <f>'Croda Widnes'!R31</f>
        <v>0</v>
      </c>
      <c r="S5" s="33">
        <f>'Croda Widnes'!S31</f>
        <v>0</v>
      </c>
      <c r="T5" s="33">
        <f>'Croda Widnes'!T31</f>
        <v>0</v>
      </c>
      <c r="U5" s="33">
        <f>'Croda Widnes'!U31</f>
        <v>0</v>
      </c>
    </row>
    <row r="6" spans="1:21" x14ac:dyDescent="0.2">
      <c r="A6" s="36">
        <v>4</v>
      </c>
      <c r="B6" s="33">
        <f>Maelor!B31</f>
        <v>37</v>
      </c>
      <c r="C6" s="33">
        <f>Maelor!C31</f>
        <v>136.9</v>
      </c>
      <c r="D6" s="33">
        <f>Maelor!D31</f>
        <v>62.642812999999997</v>
      </c>
      <c r="E6" s="33">
        <f>Maelor!E31</f>
        <v>7.7132050000000012</v>
      </c>
      <c r="F6" s="33">
        <f>Maelor!F31</f>
        <v>14.109579999999999</v>
      </c>
      <c r="G6" s="33">
        <f>Maelor!G31</f>
        <v>0.11988000000000001</v>
      </c>
      <c r="H6" s="33">
        <f>Maelor!H31</f>
        <v>0.60310000000000008</v>
      </c>
      <c r="I6" s="33">
        <f>Maelor!I31</f>
        <v>1.8499999999999999E-2</v>
      </c>
      <c r="J6" s="33">
        <f>Maelor!J31</f>
        <v>1.4800000000000002E-3</v>
      </c>
      <c r="K6" s="33">
        <f>Maelor!K31</f>
        <v>1.8500000000000001E-3</v>
      </c>
      <c r="L6" s="33">
        <f>Maelor!L31</f>
        <v>3.2523000000000003E-2</v>
      </c>
      <c r="M6" s="33">
        <f>Maelor!M31</f>
        <v>3.4299000000000003E-2</v>
      </c>
      <c r="N6" s="33">
        <f>Maelor!N31</f>
        <v>0</v>
      </c>
      <c r="O6" s="33">
        <f>Maelor!O31</f>
        <v>0</v>
      </c>
      <c r="P6" s="33">
        <f>Maelor!P31</f>
        <v>27.195</v>
      </c>
      <c r="Q6" s="33">
        <f>Maelor!Q31</f>
        <v>53.834999999999994</v>
      </c>
      <c r="R6" s="33">
        <f>Maelor!R31</f>
        <v>0</v>
      </c>
      <c r="S6" s="33">
        <f>Maelor!S31</f>
        <v>0</v>
      </c>
      <c r="T6" s="33">
        <f>Maelor!T31</f>
        <v>0</v>
      </c>
      <c r="U6" s="33">
        <f>Maelor!U31</f>
        <v>0</v>
      </c>
    </row>
    <row r="7" spans="1:21" x14ac:dyDescent="0.2">
      <c r="A7" s="36">
        <v>5</v>
      </c>
      <c r="B7" s="33">
        <f>Encirc!B31</f>
        <v>16</v>
      </c>
      <c r="C7" s="33">
        <f>Encirc!C31</f>
        <v>114.31856000000001</v>
      </c>
      <c r="D7" s="33">
        <f>Encirc!D31</f>
        <v>59.743781600000005</v>
      </c>
      <c r="E7" s="33">
        <f>Encirc!E31</f>
        <v>12.314618000000003</v>
      </c>
      <c r="F7" s="33">
        <f>Encirc!F31</f>
        <v>6.0531325120000004</v>
      </c>
      <c r="G7" s="33">
        <f>Encirc!G31</f>
        <v>4.1865120000000006E-2</v>
      </c>
      <c r="H7" s="33">
        <f>Encirc!H31</f>
        <v>0.4750352000000001</v>
      </c>
      <c r="I7" s="33">
        <f>Encirc!I31</f>
        <v>5.9626080000000012E-3</v>
      </c>
      <c r="J7" s="33">
        <f>Encirc!J31</f>
        <v>1.4096000000000003E-4</v>
      </c>
      <c r="K7" s="33">
        <f>Encirc!K31</f>
        <v>1.4096000000000003E-4</v>
      </c>
      <c r="L7" s="33">
        <f>Encirc!L31</f>
        <v>2.9742560000000005E-2</v>
      </c>
      <c r="M7" s="33">
        <f>Encirc!M31</f>
        <v>9.2469759999999998E-2</v>
      </c>
      <c r="N7" s="33">
        <f>Encirc!N31</f>
        <v>0</v>
      </c>
      <c r="O7" s="33">
        <f>Encirc!O31</f>
        <v>0</v>
      </c>
      <c r="P7" s="33">
        <f>Encirc!P31</f>
        <v>14.659840000000003</v>
      </c>
      <c r="Q7" s="33">
        <f>Encirc!Q31</f>
        <v>59.555599999999998</v>
      </c>
      <c r="R7" s="33">
        <f>Encirc!R31</f>
        <v>0</v>
      </c>
      <c r="S7" s="33">
        <f>Encirc!S31</f>
        <v>0</v>
      </c>
      <c r="T7" s="33">
        <f>Encirc!T31</f>
        <v>0</v>
      </c>
      <c r="U7" s="33">
        <f>Encirc!U31</f>
        <v>0</v>
      </c>
    </row>
    <row r="8" spans="1:21" x14ac:dyDescent="0.2">
      <c r="A8" s="36">
        <v>6</v>
      </c>
      <c r="B8" s="33">
        <f>'Beechdean Ice Cream'!B31</f>
        <v>250</v>
      </c>
      <c r="C8" s="33">
        <f>'Beechdean Ice Cream'!C31</f>
        <v>150</v>
      </c>
      <c r="D8" s="33">
        <f>'Beechdean Ice Cream'!D31</f>
        <v>56.587699999999998</v>
      </c>
      <c r="E8" s="33">
        <f>'Beechdean Ice Cream'!E31</f>
        <v>50.911250000000003</v>
      </c>
      <c r="F8" s="33">
        <f>'Beechdean Ice Cream'!F31</f>
        <v>10.6112</v>
      </c>
      <c r="G8" s="33">
        <f>'Beechdean Ice Cream'!G31</f>
        <v>5.525E-2</v>
      </c>
      <c r="H8" s="33">
        <f>'Beechdean Ice Cream'!H31</f>
        <v>0.25</v>
      </c>
      <c r="I8" s="33">
        <f>'Beechdean Ice Cream'!I31</f>
        <v>0.125</v>
      </c>
      <c r="J8" s="33">
        <f>'Beechdean Ice Cream'!J31</f>
        <v>0.01</v>
      </c>
      <c r="K8" s="33">
        <f>'Beechdean Ice Cream'!K31</f>
        <v>1.2500000000000001E-2</v>
      </c>
      <c r="L8" s="33">
        <f>'Beechdean Ice Cream'!L31</f>
        <v>0.05</v>
      </c>
      <c r="M8" s="33">
        <f>'Beechdean Ice Cream'!M31</f>
        <v>0.05</v>
      </c>
      <c r="N8" s="33">
        <f>'Beechdean Ice Cream'!N31</f>
        <v>0</v>
      </c>
      <c r="O8" s="33">
        <f>'Beechdean Ice Cream'!O31</f>
        <v>0</v>
      </c>
      <c r="P8" s="33">
        <f>'Beechdean Ice Cream'!P31</f>
        <v>84.25</v>
      </c>
      <c r="Q8" s="33">
        <f>'Beechdean Ice Cream'!Q31</f>
        <v>48.6875</v>
      </c>
      <c r="R8" s="33">
        <f>'Beechdean Ice Cream'!R31</f>
        <v>0</v>
      </c>
      <c r="S8" s="33">
        <f>'Beechdean Ice Cream'!S31</f>
        <v>0</v>
      </c>
      <c r="T8" s="33">
        <f>'Beechdean Ice Cream'!T31</f>
        <v>0</v>
      </c>
      <c r="U8" s="33">
        <f>'Beechdean Ice Cream'!U31</f>
        <v>0</v>
      </c>
    </row>
    <row r="9" spans="1:21" x14ac:dyDescent="0.2">
      <c r="A9" s="36">
        <v>7</v>
      </c>
      <c r="B9" s="33">
        <f>PENDERYN!B31</f>
        <v>200</v>
      </c>
      <c r="C9" s="33">
        <f>PENDERYN!C31</f>
        <v>80</v>
      </c>
      <c r="D9" s="33">
        <f>PENDERYN!D31</f>
        <v>64.14800000000001</v>
      </c>
      <c r="E9" s="33">
        <f>PENDERYN!E31</f>
        <v>67.962000000000018</v>
      </c>
      <c r="F9" s="33">
        <f>PENDERYN!F31</f>
        <v>11.407039999999999</v>
      </c>
      <c r="G9" s="33">
        <f>PENDERYN!G31</f>
        <v>0.32600000000000001</v>
      </c>
      <c r="H9" s="33">
        <f>PENDERYN!H31</f>
        <v>0.1</v>
      </c>
      <c r="I9" s="33">
        <f>PENDERYN!I31</f>
        <v>0.1</v>
      </c>
      <c r="J9" s="33">
        <f>PENDERYN!J31</f>
        <v>2E-3</v>
      </c>
      <c r="K9" s="33">
        <f>PENDERYN!K31</f>
        <v>0.01</v>
      </c>
      <c r="L9" s="33">
        <f>PENDERYN!L31</f>
        <v>0.04</v>
      </c>
      <c r="M9" s="33">
        <f>PENDERYN!M31</f>
        <v>0.04</v>
      </c>
      <c r="N9" s="33">
        <f>PENDERYN!N31</f>
        <v>0</v>
      </c>
      <c r="O9" s="33">
        <f>PENDERYN!O31</f>
        <v>0</v>
      </c>
      <c r="P9" s="33">
        <f>PENDERYN!P31</f>
        <v>177.6</v>
      </c>
      <c r="Q9" s="33">
        <f>PENDERYN!Q31</f>
        <v>22.25</v>
      </c>
      <c r="R9" s="33">
        <f>PENDERYN!R31</f>
        <v>0</v>
      </c>
      <c r="S9" s="33">
        <f>PENDERYN!S31</f>
        <v>0</v>
      </c>
      <c r="T9" s="33">
        <f>PENDERYN!T31</f>
        <v>0</v>
      </c>
      <c r="U9" s="33">
        <f>PENDERYN!U31</f>
        <v>0</v>
      </c>
    </row>
    <row r="10" spans="1:21" x14ac:dyDescent="0.2">
      <c r="A10" s="36">
        <v>8</v>
      </c>
      <c r="B10" s="33">
        <f>Kelloggs!B31</f>
        <v>115</v>
      </c>
      <c r="C10" s="33">
        <f>Kelloggs!C31</f>
        <v>218.5</v>
      </c>
      <c r="D10" s="33">
        <f>Kelloggs!D31</f>
        <v>63.758529999999993</v>
      </c>
      <c r="E10" s="33">
        <f>Kelloggs!E31</f>
        <v>21.201975000000001</v>
      </c>
      <c r="F10" s="33">
        <f>Kelloggs!F31</f>
        <v>5.3387599999999997</v>
      </c>
      <c r="G10" s="33">
        <f>Kelloggs!G31</f>
        <v>0.28750000000000003</v>
      </c>
      <c r="H10" s="33">
        <f>Kelloggs!H31</f>
        <v>0.21505000000000002</v>
      </c>
      <c r="I10" s="33">
        <f>Kelloggs!I31</f>
        <v>8.6594999999999991E-2</v>
      </c>
      <c r="J10" s="33">
        <f>Kelloggs!J31</f>
        <v>1.1500000000000002E-3</v>
      </c>
      <c r="K10" s="33">
        <f>Kelloggs!K31</f>
        <v>5.7499999999999999E-3</v>
      </c>
      <c r="L10" s="33">
        <f>Kelloggs!L31</f>
        <v>2.3E-2</v>
      </c>
      <c r="M10" s="33">
        <f>Kelloggs!M31</f>
        <v>3.7144999999999997E-2</v>
      </c>
      <c r="N10" s="33">
        <f>Kelloggs!N31</f>
        <v>0</v>
      </c>
      <c r="O10" s="33">
        <f>Kelloggs!O31</f>
        <v>0</v>
      </c>
      <c r="P10" s="33">
        <f>Kelloggs!P31</f>
        <v>18.400000000000002</v>
      </c>
      <c r="Q10" s="33">
        <f>Kelloggs!Q31</f>
        <v>30.762499999999999</v>
      </c>
      <c r="R10" s="33">
        <f>Kelloggs!R31</f>
        <v>0</v>
      </c>
      <c r="S10" s="33">
        <f>Kelloggs!S31</f>
        <v>0</v>
      </c>
      <c r="T10" s="33">
        <f>Kelloggs!T31</f>
        <v>0</v>
      </c>
      <c r="U10" s="33">
        <f>Kelloggs!U31</f>
        <v>0</v>
      </c>
    </row>
    <row r="11" spans="1:21" x14ac:dyDescent="0.2">
      <c r="A11" s="36">
        <v>9</v>
      </c>
      <c r="B11" s="33">
        <f>'Rowan Foods'!B31</f>
        <v>123</v>
      </c>
      <c r="C11" s="33">
        <f>'Rowan Foods'!C31</f>
        <v>209.10000000000002</v>
      </c>
      <c r="D11" s="33">
        <f>'Rowan Foods'!D31</f>
        <v>56.640393000000003</v>
      </c>
      <c r="E11" s="33">
        <f>'Rowan Foods'!E31</f>
        <v>30.532290000000003</v>
      </c>
      <c r="F11" s="33">
        <f>'Rowan Foods'!F31</f>
        <v>10.706534999999999</v>
      </c>
      <c r="G11" s="33">
        <f>'Rowan Foods'!G31</f>
        <v>4.3049999999999998E-2</v>
      </c>
      <c r="H11" s="33">
        <f>'Rowan Foods'!H31</f>
        <v>0.28659000000000001</v>
      </c>
      <c r="I11" s="33">
        <f>'Rowan Foods'!I31</f>
        <v>6.1499999999999999E-2</v>
      </c>
      <c r="J11" s="33">
        <f>'Rowan Foods'!J31</f>
        <v>1.2300000000000002E-3</v>
      </c>
      <c r="K11" s="33">
        <f>'Rowan Foods'!K31</f>
        <v>6.1500000000000001E-3</v>
      </c>
      <c r="L11" s="33">
        <f>'Rowan Foods'!L31</f>
        <v>2.5830000000000002E-2</v>
      </c>
      <c r="M11" s="33">
        <f>'Rowan Foods'!M31</f>
        <v>6.2730000000000008E-2</v>
      </c>
      <c r="N11" s="33">
        <f>'Rowan Foods'!N31</f>
        <v>0</v>
      </c>
      <c r="O11" s="33">
        <f>'Rowan Foods'!O31</f>
        <v>0</v>
      </c>
      <c r="P11" s="33">
        <f>'Rowan Foods'!P31</f>
        <v>50.922000000000004</v>
      </c>
      <c r="Q11" s="33">
        <f>'Rowan Foods'!Q31</f>
        <v>70.417500000000004</v>
      </c>
      <c r="R11" s="33">
        <f>'Rowan Foods'!R31</f>
        <v>0</v>
      </c>
      <c r="S11" s="33">
        <f>'Rowan Foods'!S31</f>
        <v>0</v>
      </c>
      <c r="T11" s="33">
        <f>'Rowan Foods'!T31</f>
        <v>0</v>
      </c>
      <c r="U11" s="33">
        <f>'Rowan Foods'!U31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1067</v>
      </c>
      <c r="C13" s="81">
        <f t="shared" ref="C13:U13" si="0">SUM(C3:C12)</f>
        <v>1335.4185600000001</v>
      </c>
      <c r="D13" s="81">
        <f t="shared" si="0"/>
        <v>555.13816659999998</v>
      </c>
      <c r="E13" s="81">
        <f t="shared" si="0"/>
        <v>267.65050300000001</v>
      </c>
      <c r="F13" s="81">
        <f t="shared" si="0"/>
        <v>89.453682711999988</v>
      </c>
      <c r="G13" s="81">
        <f t="shared" si="0"/>
        <v>1.1655011200000001</v>
      </c>
      <c r="H13" s="81">
        <f t="shared" si="0"/>
        <v>3.4737552000000007</v>
      </c>
      <c r="I13" s="81">
        <f t="shared" si="0"/>
        <v>0.56055760799999999</v>
      </c>
      <c r="J13" s="81">
        <f t="shared" si="0"/>
        <v>2.427696E-2</v>
      </c>
      <c r="K13" s="81">
        <f t="shared" si="0"/>
        <v>7.1140960000000003E-2</v>
      </c>
      <c r="L13" s="81">
        <f t="shared" si="0"/>
        <v>0.29514256</v>
      </c>
      <c r="M13" s="81">
        <f t="shared" si="0"/>
        <v>0.65572676000000008</v>
      </c>
      <c r="N13" s="81">
        <f t="shared" si="0"/>
        <v>0</v>
      </c>
      <c r="O13" s="81">
        <f t="shared" si="0"/>
        <v>0</v>
      </c>
      <c r="P13" s="81">
        <f t="shared" si="0"/>
        <v>922.94684000000007</v>
      </c>
      <c r="Q13" s="81">
        <f t="shared" si="0"/>
        <v>892.9131000000001</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152</v>
      </c>
      <c r="C1" s="35" t="str">
        <f>Secanim!B29</f>
        <v>Application Rate</v>
      </c>
      <c r="D1" s="35" t="str">
        <f>Secanim!C29</f>
        <v>Nitrogen Addition</v>
      </c>
      <c r="E1" s="35" t="str">
        <f>Secanim!D29</f>
        <v>Phosphate Addition</v>
      </c>
      <c r="F1" s="35" t="str">
        <f>Secanim!E29</f>
        <v>Potash  Addition</v>
      </c>
      <c r="G1" s="35" t="str">
        <f>Secanim!F29</f>
        <v>Mg Oxide Addition</v>
      </c>
      <c r="H1" s="35" t="str">
        <f>Secanim!G29</f>
        <v>Copper Addition</v>
      </c>
      <c r="I1" s="35" t="str">
        <f>Secanim!H29</f>
        <v>Zinc Addition</v>
      </c>
      <c r="J1" s="35" t="str">
        <f>Secanim!I29</f>
        <v>Lead Addition</v>
      </c>
      <c r="K1" s="35" t="str">
        <f>Secanim!J29</f>
        <v>Cadmium Addition</v>
      </c>
      <c r="L1" s="35" t="str">
        <f>Secanim!K29</f>
        <v>Mercury Addition</v>
      </c>
      <c r="M1" s="35" t="str">
        <f>Secanim!L29</f>
        <v>Nickel Addition</v>
      </c>
      <c r="N1" s="35" t="str">
        <f>Secanim!M29</f>
        <v>Chromium Addition</v>
      </c>
      <c r="O1" s="35" t="str">
        <f>Secanim!N29</f>
        <v>Aluminium Addition</v>
      </c>
      <c r="P1" s="35" t="str">
        <f>Secanim!O29</f>
        <v>Iron Addition</v>
      </c>
      <c r="Q1" s="35" t="str">
        <f>Secanim!P29</f>
        <v xml:space="preserve">Sodium Addition                 </v>
      </c>
      <c r="R1" s="35" t="str">
        <f>Secanim!Q29</f>
        <v>SO3  Addition                             kg/ha</v>
      </c>
      <c r="S1" s="35" t="str">
        <f>Secanim!R29</f>
        <v xml:space="preserve">Selenium Addition </v>
      </c>
      <c r="T1" s="35" t="str">
        <f>Secanim!S29</f>
        <v xml:space="preserve">Arsenic  Addition  </v>
      </c>
      <c r="U1" s="35" t="str">
        <f>Secanim!T29</f>
        <v xml:space="preserve">Molybdenum Addition  </v>
      </c>
      <c r="V1" s="35" t="str">
        <f>Secanim!U29</f>
        <v xml:space="preserve">Fluoride Addition </v>
      </c>
    </row>
    <row r="2" spans="1:22" s="83" customFormat="1" ht="25.5" x14ac:dyDescent="0.25">
      <c r="A2" s="145"/>
      <c r="B2" s="32" t="s">
        <v>46</v>
      </c>
      <c r="C2" s="35" t="str">
        <f>Secanim!B30</f>
        <v>tonnes/ha</v>
      </c>
      <c r="D2" s="35" t="str">
        <f>Secanim!C30</f>
        <v>kg/ha</v>
      </c>
      <c r="E2" s="35" t="str">
        <f>Secanim!D30</f>
        <v>P2O5 
kg/ha</v>
      </c>
      <c r="F2" s="35" t="str">
        <f>Secanim!E30</f>
        <v>K2O 
kg/ha</v>
      </c>
      <c r="G2" s="35" t="str">
        <f>Secanim!F30</f>
        <v>MgO 
kg/ha</v>
      </c>
      <c r="H2" s="35" t="str">
        <f>Secanim!G30</f>
        <v>kg/ha</v>
      </c>
      <c r="I2" s="35" t="str">
        <f>Secanim!H30</f>
        <v>kg/ha</v>
      </c>
      <c r="J2" s="35" t="str">
        <f>Secanim!I30</f>
        <v>kg/ha</v>
      </c>
      <c r="K2" s="35" t="str">
        <f>Secanim!J30</f>
        <v>kg/ha</v>
      </c>
      <c r="L2" s="35" t="str">
        <f>Secanim!K30</f>
        <v>kg/ha</v>
      </c>
      <c r="M2" s="35" t="str">
        <f>Secanim!L30</f>
        <v>kg/ha</v>
      </c>
      <c r="N2" s="35" t="str">
        <f>Secanim!M30</f>
        <v>kg/ha</v>
      </c>
      <c r="O2" s="35" t="str">
        <f>Secanim!N30</f>
        <v>kg/ha</v>
      </c>
      <c r="P2" s="35" t="str">
        <f>Secanim!O30</f>
        <v>kg/ha</v>
      </c>
      <c r="Q2" s="35" t="str">
        <f>Secanim!P30</f>
        <v>kg/ha</v>
      </c>
      <c r="R2" s="35" t="str">
        <f>Secanim!Q30</f>
        <v>kg/ha</v>
      </c>
      <c r="S2" s="35" t="str">
        <f>Secanim!R30</f>
        <v>kg/ha</v>
      </c>
      <c r="T2" s="35" t="str">
        <f>Secanim!S30</f>
        <v>kg/ha</v>
      </c>
      <c r="U2" s="35" t="str">
        <f>Secanim!T30</f>
        <v>kg/ha</v>
      </c>
      <c r="V2" s="35" t="str">
        <f>Secanim!U30</f>
        <v>kg/ha</v>
      </c>
    </row>
    <row r="3" spans="1:22" x14ac:dyDescent="0.2">
      <c r="A3" s="36">
        <v>1</v>
      </c>
      <c r="B3" s="91"/>
      <c r="C3" s="33">
        <f>Secanim!B31</f>
        <v>232</v>
      </c>
      <c r="D3" s="33">
        <f>Secanim!C31</f>
        <v>162.4</v>
      </c>
      <c r="E3" s="33">
        <f>Secanim!D31</f>
        <v>63.781439999999996</v>
      </c>
      <c r="F3" s="33">
        <f>Secanim!E31</f>
        <v>49.761680000000005</v>
      </c>
      <c r="G3" s="33">
        <f>Secanim!F31</f>
        <v>8.7316912000000002</v>
      </c>
      <c r="H3" s="33">
        <f>Secanim!G31</f>
        <v>0.179336</v>
      </c>
      <c r="I3" s="33">
        <f>Secanim!H31</f>
        <v>0.49647999999999998</v>
      </c>
      <c r="J3" s="33">
        <f>Secanim!I31</f>
        <v>0.11600000000000001</v>
      </c>
      <c r="K3" s="33">
        <f>Secanim!J31</f>
        <v>2.32E-3</v>
      </c>
      <c r="L3" s="33">
        <f>Secanim!K31</f>
        <v>1.1600000000000001E-2</v>
      </c>
      <c r="M3" s="33">
        <f>Secanim!L31</f>
        <v>4.6400000000000004E-2</v>
      </c>
      <c r="N3" s="33">
        <f>Secanim!M31</f>
        <v>4.6400000000000004E-2</v>
      </c>
      <c r="O3" s="33">
        <f>Secanim!N31</f>
        <v>0</v>
      </c>
      <c r="P3" s="33">
        <f>Secanim!O31</f>
        <v>0</v>
      </c>
      <c r="Q3" s="33">
        <f>Secanim!P31</f>
        <v>301.13600000000002</v>
      </c>
      <c r="R3" s="33">
        <f>Secanim!Q31</f>
        <v>256.94</v>
      </c>
      <c r="S3" s="33">
        <f>Secanim!R31</f>
        <v>0</v>
      </c>
      <c r="T3" s="33">
        <f>Secanim!S31</f>
        <v>0</v>
      </c>
      <c r="U3" s="33">
        <f>Secanim!T31</f>
        <v>0</v>
      </c>
      <c r="V3" s="33">
        <f>Secanim!U31</f>
        <v>0</v>
      </c>
    </row>
    <row r="4" spans="1:22" x14ac:dyDescent="0.2">
      <c r="A4" s="36">
        <v>2</v>
      </c>
      <c r="B4" s="91"/>
      <c r="C4" s="33">
        <f>'Croda Goole'!B31</f>
        <v>53</v>
      </c>
      <c r="D4" s="33">
        <f>'Croda Goole'!C31</f>
        <v>116.60000000000001</v>
      </c>
      <c r="E4" s="33">
        <f>'Croda Goole'!D31</f>
        <v>63.868497999999995</v>
      </c>
      <c r="F4" s="33">
        <f>'Croda Goole'!E31</f>
        <v>13.667110000000001</v>
      </c>
      <c r="G4" s="33">
        <f>'Croda Goole'!F31</f>
        <v>8.0844079999999998</v>
      </c>
      <c r="H4" s="33">
        <f>'Croda Goole'!G31</f>
        <v>5.194E-2</v>
      </c>
      <c r="I4" s="33">
        <f>'Croda Goole'!H31</f>
        <v>0.58830000000000005</v>
      </c>
      <c r="J4" s="33">
        <f>'Croda Goole'!I31</f>
        <v>2.6499999999999999E-2</v>
      </c>
      <c r="K4" s="33">
        <f>'Croda Goole'!J31</f>
        <v>5.3E-3</v>
      </c>
      <c r="L4" s="33">
        <f>'Croda Goole'!K31</f>
        <v>2.65E-3</v>
      </c>
      <c r="M4" s="33">
        <f>'Croda Goole'!L31</f>
        <v>3.4609000000000001E-2</v>
      </c>
      <c r="N4" s="33">
        <f>'Croda Goole'!M31</f>
        <v>0.27083000000000007</v>
      </c>
      <c r="O4" s="33">
        <f>'Croda Goole'!N31</f>
        <v>0</v>
      </c>
      <c r="P4" s="33">
        <f>'Croda Goole'!O31</f>
        <v>0</v>
      </c>
      <c r="Q4" s="33">
        <f>'Croda Goole'!P31</f>
        <v>231.76900000000001</v>
      </c>
      <c r="R4" s="33">
        <f>'Croda Goole'!Q31</f>
        <v>277.58750000000003</v>
      </c>
      <c r="S4" s="33">
        <f>'Croda Goole'!R31</f>
        <v>0</v>
      </c>
      <c r="T4" s="33">
        <f>'Croda Goole'!S31</f>
        <v>0</v>
      </c>
      <c r="U4" s="33">
        <f>'Croda Goole'!T31</f>
        <v>0</v>
      </c>
      <c r="V4" s="33">
        <f>'Croda Goole'!U31</f>
        <v>0</v>
      </c>
    </row>
    <row r="5" spans="1:22" x14ac:dyDescent="0.2">
      <c r="A5" s="36">
        <v>3</v>
      </c>
      <c r="B5" s="91"/>
      <c r="C5" s="33">
        <f>'Croda Widnes'!B31</f>
        <v>41</v>
      </c>
      <c r="D5" s="33">
        <f>'Croda Widnes'!C31</f>
        <v>147.6</v>
      </c>
      <c r="E5" s="33">
        <f>'Croda Widnes'!D31</f>
        <v>63.967011000000007</v>
      </c>
      <c r="F5" s="33">
        <f>'Croda Widnes'!E31</f>
        <v>13.586375000000002</v>
      </c>
      <c r="G5" s="33">
        <f>'Croda Widnes'!F31</f>
        <v>14.411336</v>
      </c>
      <c r="H5" s="33">
        <f>'Croda Widnes'!G31</f>
        <v>6.0679999999999998E-2</v>
      </c>
      <c r="I5" s="33">
        <f>'Croda Widnes'!H31</f>
        <v>0.4592</v>
      </c>
      <c r="J5" s="33">
        <f>'Croda Widnes'!I31</f>
        <v>2.0500000000000001E-2</v>
      </c>
      <c r="K5" s="33">
        <f>'Croda Widnes'!J31</f>
        <v>6.5600000000000001E-4</v>
      </c>
      <c r="L5" s="33">
        <f>'Croda Widnes'!K31</f>
        <v>2.0500000000000001E-2</v>
      </c>
      <c r="M5" s="33">
        <f>'Croda Widnes'!L31</f>
        <v>1.3038000000000001E-2</v>
      </c>
      <c r="N5" s="33">
        <f>'Croda Widnes'!M31</f>
        <v>2.1853000000000001E-2</v>
      </c>
      <c r="O5" s="33">
        <f>'Croda Widnes'!N31</f>
        <v>0</v>
      </c>
      <c r="P5" s="33">
        <f>'Croda Widnes'!O31</f>
        <v>0</v>
      </c>
      <c r="Q5" s="33">
        <f>'Croda Widnes'!P31</f>
        <v>17.015000000000001</v>
      </c>
      <c r="R5" s="33">
        <f>'Croda Widnes'!Q31</f>
        <v>72.877499999999998</v>
      </c>
      <c r="S5" s="33">
        <f>'Croda Widnes'!R31</f>
        <v>0</v>
      </c>
      <c r="T5" s="33">
        <f>'Croda Widnes'!S31</f>
        <v>0</v>
      </c>
      <c r="U5" s="33">
        <f>'Croda Widnes'!T31</f>
        <v>0</v>
      </c>
      <c r="V5" s="33">
        <f>'Croda Widnes'!U31</f>
        <v>0</v>
      </c>
    </row>
    <row r="6" spans="1:22" x14ac:dyDescent="0.2">
      <c r="A6" s="36">
        <v>4</v>
      </c>
      <c r="B6" s="91"/>
      <c r="C6" s="33">
        <f>Maelor!B31</f>
        <v>37</v>
      </c>
      <c r="D6" s="33">
        <f>Maelor!C31</f>
        <v>136.9</v>
      </c>
      <c r="E6" s="33">
        <f>Maelor!D31</f>
        <v>62.642812999999997</v>
      </c>
      <c r="F6" s="33">
        <f>Maelor!E31</f>
        <v>7.7132050000000012</v>
      </c>
      <c r="G6" s="33">
        <f>Maelor!F31</f>
        <v>14.109579999999999</v>
      </c>
      <c r="H6" s="33">
        <f>Maelor!G31</f>
        <v>0.11988000000000001</v>
      </c>
      <c r="I6" s="33">
        <f>Maelor!H31</f>
        <v>0.60310000000000008</v>
      </c>
      <c r="J6" s="33">
        <f>Maelor!I31</f>
        <v>1.8499999999999999E-2</v>
      </c>
      <c r="K6" s="33">
        <f>Maelor!J31</f>
        <v>1.4800000000000002E-3</v>
      </c>
      <c r="L6" s="33">
        <f>Maelor!K31</f>
        <v>1.8500000000000001E-3</v>
      </c>
      <c r="M6" s="33">
        <f>Maelor!L31</f>
        <v>3.2523000000000003E-2</v>
      </c>
      <c r="N6" s="33">
        <f>Maelor!M31</f>
        <v>3.4299000000000003E-2</v>
      </c>
      <c r="O6" s="33">
        <f>Maelor!N31</f>
        <v>0</v>
      </c>
      <c r="P6" s="33">
        <f>Maelor!O31</f>
        <v>0</v>
      </c>
      <c r="Q6" s="33">
        <f>Maelor!P31</f>
        <v>27.195</v>
      </c>
      <c r="R6" s="33">
        <f>Maelor!Q31</f>
        <v>53.834999999999994</v>
      </c>
      <c r="S6" s="33">
        <f>Maelor!R31</f>
        <v>0</v>
      </c>
      <c r="T6" s="33">
        <f>Maelor!S31</f>
        <v>0</v>
      </c>
      <c r="U6" s="33">
        <f>Maelor!T31</f>
        <v>0</v>
      </c>
      <c r="V6" s="33">
        <f>Maelor!U31</f>
        <v>0</v>
      </c>
    </row>
    <row r="7" spans="1:22" x14ac:dyDescent="0.2">
      <c r="A7" s="36">
        <v>5</v>
      </c>
      <c r="B7" s="91"/>
      <c r="C7" s="33">
        <f>Encirc!B31</f>
        <v>16</v>
      </c>
      <c r="D7" s="33">
        <f>Encirc!C31</f>
        <v>114.31856000000001</v>
      </c>
      <c r="E7" s="33">
        <f>Encirc!D31</f>
        <v>59.743781600000005</v>
      </c>
      <c r="F7" s="33">
        <f>Encirc!E31</f>
        <v>12.314618000000003</v>
      </c>
      <c r="G7" s="33">
        <f>Encirc!F31</f>
        <v>6.0531325120000004</v>
      </c>
      <c r="H7" s="33">
        <f>Encirc!G31</f>
        <v>4.1865120000000006E-2</v>
      </c>
      <c r="I7" s="33">
        <f>Encirc!H31</f>
        <v>0.4750352000000001</v>
      </c>
      <c r="J7" s="33">
        <f>Encirc!I31</f>
        <v>5.9626080000000012E-3</v>
      </c>
      <c r="K7" s="33">
        <f>Encirc!J31</f>
        <v>1.4096000000000003E-4</v>
      </c>
      <c r="L7" s="33">
        <f>Encirc!K31</f>
        <v>1.4096000000000003E-4</v>
      </c>
      <c r="M7" s="33">
        <f>Encirc!L31</f>
        <v>2.9742560000000005E-2</v>
      </c>
      <c r="N7" s="33">
        <f>Encirc!M31</f>
        <v>9.2469759999999998E-2</v>
      </c>
      <c r="O7" s="33">
        <f>Encirc!N31</f>
        <v>0</v>
      </c>
      <c r="P7" s="33">
        <f>Encirc!O31</f>
        <v>0</v>
      </c>
      <c r="Q7" s="33">
        <f>Encirc!P31</f>
        <v>14.659840000000003</v>
      </c>
      <c r="R7" s="33">
        <f>Encirc!Q31</f>
        <v>59.555599999999998</v>
      </c>
      <c r="S7" s="33">
        <f>Encirc!R31</f>
        <v>0</v>
      </c>
      <c r="T7" s="33">
        <f>Encirc!S31</f>
        <v>0</v>
      </c>
      <c r="U7" s="33">
        <f>Encirc!T31</f>
        <v>0</v>
      </c>
      <c r="V7" s="33">
        <f>Encirc!U31</f>
        <v>0</v>
      </c>
    </row>
    <row r="8" spans="1:22" x14ac:dyDescent="0.2">
      <c r="A8" s="36">
        <v>6</v>
      </c>
      <c r="B8" s="91"/>
      <c r="C8" s="33">
        <f>'Beechdean Ice Cream'!B31</f>
        <v>250</v>
      </c>
      <c r="D8" s="33">
        <f>'Beechdean Ice Cream'!C31</f>
        <v>150</v>
      </c>
      <c r="E8" s="33">
        <f>'Beechdean Ice Cream'!D31</f>
        <v>56.587699999999998</v>
      </c>
      <c r="F8" s="33">
        <f>'Beechdean Ice Cream'!E31</f>
        <v>50.911250000000003</v>
      </c>
      <c r="G8" s="33">
        <f>'Beechdean Ice Cream'!F31</f>
        <v>10.6112</v>
      </c>
      <c r="H8" s="33">
        <f>'Beechdean Ice Cream'!G31</f>
        <v>5.525E-2</v>
      </c>
      <c r="I8" s="33">
        <f>'Beechdean Ice Cream'!H31</f>
        <v>0.25</v>
      </c>
      <c r="J8" s="33">
        <f>'Beechdean Ice Cream'!I31</f>
        <v>0.125</v>
      </c>
      <c r="K8" s="33">
        <f>'Beechdean Ice Cream'!J31</f>
        <v>0.01</v>
      </c>
      <c r="L8" s="33">
        <f>'Beechdean Ice Cream'!K31</f>
        <v>1.2500000000000001E-2</v>
      </c>
      <c r="M8" s="33">
        <f>'Beechdean Ice Cream'!L31</f>
        <v>0.05</v>
      </c>
      <c r="N8" s="33">
        <f>'Beechdean Ice Cream'!M31</f>
        <v>0.05</v>
      </c>
      <c r="O8" s="33">
        <f>'Beechdean Ice Cream'!N31</f>
        <v>0</v>
      </c>
      <c r="P8" s="33">
        <f>'Beechdean Ice Cream'!O31</f>
        <v>0</v>
      </c>
      <c r="Q8" s="33">
        <f>'Beechdean Ice Cream'!P31</f>
        <v>84.25</v>
      </c>
      <c r="R8" s="33">
        <f>'Beechdean Ice Cream'!Q31</f>
        <v>48.6875</v>
      </c>
      <c r="S8" s="33">
        <f>'Beechdean Ice Cream'!R31</f>
        <v>0</v>
      </c>
      <c r="T8" s="33">
        <f>'Beechdean Ice Cream'!S31</f>
        <v>0</v>
      </c>
      <c r="U8" s="33">
        <f>'Beechdean Ice Cream'!T31</f>
        <v>0</v>
      </c>
      <c r="V8" s="33">
        <f>'Beechdean Ice Cream'!U31</f>
        <v>0</v>
      </c>
    </row>
    <row r="9" spans="1:22" x14ac:dyDescent="0.2">
      <c r="A9" s="36">
        <v>7</v>
      </c>
      <c r="B9" s="91"/>
      <c r="C9" s="33">
        <f>PENDERYN!B31</f>
        <v>200</v>
      </c>
      <c r="D9" s="33">
        <f>PENDERYN!C31</f>
        <v>80</v>
      </c>
      <c r="E9" s="33">
        <f>PENDERYN!D31</f>
        <v>64.14800000000001</v>
      </c>
      <c r="F9" s="33">
        <f>PENDERYN!E31</f>
        <v>67.962000000000018</v>
      </c>
      <c r="G9" s="33">
        <f>PENDERYN!F31</f>
        <v>11.407039999999999</v>
      </c>
      <c r="H9" s="33">
        <f>PENDERYN!G31</f>
        <v>0.32600000000000001</v>
      </c>
      <c r="I9" s="33">
        <f>PENDERYN!H31</f>
        <v>0.1</v>
      </c>
      <c r="J9" s="33">
        <f>PENDERYN!I31</f>
        <v>0.1</v>
      </c>
      <c r="K9" s="33">
        <f>PENDERYN!J31</f>
        <v>2E-3</v>
      </c>
      <c r="L9" s="33">
        <f>PENDERYN!K31</f>
        <v>0.01</v>
      </c>
      <c r="M9" s="33">
        <f>PENDERYN!L31</f>
        <v>0.04</v>
      </c>
      <c r="N9" s="33">
        <f>PENDERYN!M31</f>
        <v>0.04</v>
      </c>
      <c r="O9" s="33">
        <f>PENDERYN!N31</f>
        <v>0</v>
      </c>
      <c r="P9" s="33">
        <f>PENDERYN!O31</f>
        <v>0</v>
      </c>
      <c r="Q9" s="33">
        <f>PENDERYN!P31</f>
        <v>177.6</v>
      </c>
      <c r="R9" s="33">
        <f>PENDERYN!Q31</f>
        <v>22.25</v>
      </c>
      <c r="S9" s="33">
        <f>PENDERYN!R31</f>
        <v>0</v>
      </c>
      <c r="T9" s="33">
        <f>PENDERYN!S31</f>
        <v>0</v>
      </c>
      <c r="U9" s="33">
        <f>PENDERYN!T31</f>
        <v>0</v>
      </c>
      <c r="V9" s="33">
        <f>PENDERYN!U31</f>
        <v>0</v>
      </c>
    </row>
    <row r="10" spans="1:22" x14ac:dyDescent="0.2">
      <c r="A10" s="36">
        <v>8</v>
      </c>
      <c r="B10" s="91"/>
      <c r="C10" s="33">
        <f>Kelloggs!B31</f>
        <v>115</v>
      </c>
      <c r="D10" s="33">
        <f>Kelloggs!C31</f>
        <v>218.5</v>
      </c>
      <c r="E10" s="33">
        <f>Kelloggs!D31</f>
        <v>63.758529999999993</v>
      </c>
      <c r="F10" s="33">
        <f>Kelloggs!E31</f>
        <v>21.201975000000001</v>
      </c>
      <c r="G10" s="33">
        <f>Kelloggs!F31</f>
        <v>5.3387599999999997</v>
      </c>
      <c r="H10" s="33">
        <f>Kelloggs!G31</f>
        <v>0.28750000000000003</v>
      </c>
      <c r="I10" s="33">
        <f>Kelloggs!H31</f>
        <v>0.21505000000000002</v>
      </c>
      <c r="J10" s="33">
        <f>Kelloggs!I31</f>
        <v>8.6594999999999991E-2</v>
      </c>
      <c r="K10" s="33">
        <f>Kelloggs!J31</f>
        <v>1.1500000000000002E-3</v>
      </c>
      <c r="L10" s="33">
        <f>Kelloggs!K31</f>
        <v>5.7499999999999999E-3</v>
      </c>
      <c r="M10" s="33">
        <f>Kelloggs!L31</f>
        <v>2.3E-2</v>
      </c>
      <c r="N10" s="33">
        <f>Kelloggs!M31</f>
        <v>3.7144999999999997E-2</v>
      </c>
      <c r="O10" s="33">
        <f>Kelloggs!N31</f>
        <v>0</v>
      </c>
      <c r="P10" s="33">
        <f>Kelloggs!O31</f>
        <v>0</v>
      </c>
      <c r="Q10" s="33">
        <f>Kelloggs!P31</f>
        <v>18.400000000000002</v>
      </c>
      <c r="R10" s="33">
        <f>Kelloggs!Q31</f>
        <v>30.762499999999999</v>
      </c>
      <c r="S10" s="33">
        <f>Kelloggs!R31</f>
        <v>0</v>
      </c>
      <c r="T10" s="33">
        <f>Kelloggs!S31</f>
        <v>0</v>
      </c>
      <c r="U10" s="33">
        <f>Kelloggs!T31</f>
        <v>0</v>
      </c>
      <c r="V10" s="33">
        <f>Kelloggs!U31</f>
        <v>0</v>
      </c>
    </row>
    <row r="11" spans="1:22" x14ac:dyDescent="0.2">
      <c r="A11" s="36">
        <v>9</v>
      </c>
      <c r="B11" s="91"/>
      <c r="C11" s="33">
        <f>'Rowan Foods'!B31</f>
        <v>123</v>
      </c>
      <c r="D11" s="33">
        <f>'Rowan Foods'!C31</f>
        <v>209.10000000000002</v>
      </c>
      <c r="E11" s="33">
        <f>'Rowan Foods'!D31</f>
        <v>56.640393000000003</v>
      </c>
      <c r="F11" s="33">
        <f>'Rowan Foods'!E31</f>
        <v>30.532290000000003</v>
      </c>
      <c r="G11" s="33">
        <f>'Rowan Foods'!F31</f>
        <v>10.706534999999999</v>
      </c>
      <c r="H11" s="33">
        <f>'Rowan Foods'!G31</f>
        <v>4.3049999999999998E-2</v>
      </c>
      <c r="I11" s="33">
        <f>'Rowan Foods'!H31</f>
        <v>0.28659000000000001</v>
      </c>
      <c r="J11" s="33">
        <f>'Rowan Foods'!I31</f>
        <v>6.1499999999999999E-2</v>
      </c>
      <c r="K11" s="33">
        <f>'Rowan Foods'!J31</f>
        <v>1.2300000000000002E-3</v>
      </c>
      <c r="L11" s="33">
        <f>'Rowan Foods'!K31</f>
        <v>6.1500000000000001E-3</v>
      </c>
      <c r="M11" s="33">
        <f>'Rowan Foods'!L31</f>
        <v>2.5830000000000002E-2</v>
      </c>
      <c r="N11" s="33">
        <f>'Rowan Foods'!M31</f>
        <v>6.2730000000000008E-2</v>
      </c>
      <c r="O11" s="33">
        <f>'Rowan Foods'!N31</f>
        <v>0</v>
      </c>
      <c r="P11" s="33">
        <f>'Rowan Foods'!O31</f>
        <v>0</v>
      </c>
      <c r="Q11" s="33">
        <f>'Rowan Foods'!P31</f>
        <v>50.922000000000004</v>
      </c>
      <c r="R11" s="33">
        <f>'Rowan Foods'!Q31</f>
        <v>70.417500000000004</v>
      </c>
      <c r="S11" s="33">
        <f>'Rowan Foods'!R31</f>
        <v>0</v>
      </c>
      <c r="T11" s="33">
        <f>'Rowan Foods'!S31</f>
        <v>0</v>
      </c>
      <c r="U11" s="33">
        <f>'Rowan Foods'!T31</f>
        <v>0</v>
      </c>
      <c r="V11" s="33">
        <f>'Rowan Foods'!U31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152</v>
      </c>
      <c r="C15" s="35">
        <f>Secanim!B43</f>
        <v>232</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Secanim!B44</f>
        <v>232</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232</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53</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41</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37</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16</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200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115</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123</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64e22f1aceca0c6beb0194f88ea018e0">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2803bdfcd37954872663408aacb1e1a1"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REGU-204-2745776</_dlc_DocId>
    <_dlc_DocIdUrl xmlns="9be56660-2c31-41ef-bc00-23e72f632f2a">
      <Url>https://cyfoethnaturiolcymru.sharepoint.com/teams/Regulatory/Permitting/_layouts/15/DocIdRedir.aspx?ID=REGU-204-2745776</Url>
      <Description>REGU-204-2745776</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2022-08-25T23:00:00+00:00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Customer_x0020_Name>
    <Surrendered_x002f_Expired_x0020_Date xmlns="859f7ad6-93f6-4205-b62b-a17f28acbbac" xsi:nil="true"/>
    <IconOverlay xmlns="http://schemas.microsoft.com/sharepoint/v4"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AC49964C-BA24-4AF6-9A07-3FE0B9420D8D}"/>
</file>

<file path=customXml/itemProps3.xml><?xml version="1.0" encoding="utf-8"?>
<ds:datastoreItem xmlns:ds="http://schemas.openxmlformats.org/officeDocument/2006/customXml" ds:itemID="{66E0D3D6-4352-4982-849F-82AD668A6729}"/>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9be56660-2c31-41ef-bc00-23e72f632f2a"/>
    <ds:schemaRef ds:uri="http://www.w3.org/XML/1998/namespac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vt:lpstr>
      <vt:lpstr>Croda Goole</vt:lpstr>
      <vt:lpstr>Croda Widnes</vt:lpstr>
      <vt:lpstr>Maelor</vt:lpstr>
      <vt:lpstr>Encirc</vt:lpstr>
      <vt:lpstr>Beechdean Ice Cream</vt:lpstr>
      <vt:lpstr>PENDERYN</vt:lpstr>
      <vt:lpstr>Kelloggs</vt:lpstr>
      <vt:lpstr>Rowan Foods</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2022-08-26T13:15:37Z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f8afb207-b2fc-4e63-b15f-c684f274b020</vt:lpwstr>
  </property>
</Properties>
</file>