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8834/"/>
    </mc:Choice>
  </mc:AlternateContent>
  <xr:revisionPtr revIDLastSave="0" documentId="13_ncr:1_{2164034D-D30F-4E9D-B42F-A3DD9EAD9A24}" xr6:coauthVersionLast="47" xr6:coauthVersionMax="47" xr10:uidLastSave="{00000000-0000-0000-0000-000000000000}"/>
  <bookViews>
    <workbookView xWindow="-110" yWindow="-110" windowWidth="19420" windowHeight="10420" tabRatio="870" activeTab="2"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H65" i="1" l="1"/>
  <c r="I65" i="1"/>
  <c r="J65" i="1"/>
  <c r="K65" i="1"/>
  <c r="L65" i="1"/>
  <c r="M65" i="1"/>
  <c r="N65" i="1"/>
  <c r="O65" i="1"/>
  <c r="P65" i="1"/>
  <c r="Q65" i="1"/>
  <c r="R65" i="1"/>
  <c r="S65" i="1"/>
  <c r="T65" i="1"/>
  <c r="U65" i="1"/>
  <c r="H65" i="21"/>
  <c r="I65" i="21"/>
  <c r="J65" i="21"/>
  <c r="K65" i="21"/>
  <c r="L65" i="21"/>
  <c r="M65" i="21"/>
  <c r="N65" i="21"/>
  <c r="O65" i="21"/>
  <c r="P65" i="21"/>
  <c r="Q65" i="21"/>
  <c r="R65" i="21"/>
  <c r="S65" i="21"/>
  <c r="T65" i="21"/>
  <c r="U65" i="21"/>
  <c r="H65" i="28"/>
  <c r="I65" i="28"/>
  <c r="J65" i="28"/>
  <c r="K65" i="28"/>
  <c r="L65" i="28"/>
  <c r="M65" i="28"/>
  <c r="N65" i="28"/>
  <c r="O65" i="28"/>
  <c r="P65" i="28"/>
  <c r="Q65" i="28"/>
  <c r="R65" i="28"/>
  <c r="S65" i="28"/>
  <c r="T65" i="28"/>
  <c r="U65" i="28"/>
  <c r="H65" i="30"/>
  <c r="I65" i="30"/>
  <c r="J65" i="30"/>
  <c r="K65" i="30"/>
  <c r="L65" i="30"/>
  <c r="M65" i="30"/>
  <c r="N65" i="30"/>
  <c r="O65" i="30"/>
  <c r="P65" i="30"/>
  <c r="Q65" i="30"/>
  <c r="R65" i="30"/>
  <c r="S65" i="30"/>
  <c r="T65" i="30"/>
  <c r="U65" i="30"/>
  <c r="H65" i="26"/>
  <c r="I65" i="26"/>
  <c r="J65" i="26"/>
  <c r="K65" i="26"/>
  <c r="L65" i="26"/>
  <c r="M65" i="26"/>
  <c r="N65" i="26"/>
  <c r="O65" i="26"/>
  <c r="P65" i="26"/>
  <c r="Q65" i="26"/>
  <c r="R65" i="26"/>
  <c r="S65" i="26"/>
  <c r="T65" i="26"/>
  <c r="U65" i="26"/>
  <c r="H65" i="24"/>
  <c r="I65" i="24"/>
  <c r="J65" i="24"/>
  <c r="K65" i="24"/>
  <c r="L65" i="24"/>
  <c r="M65" i="24"/>
  <c r="N65" i="24"/>
  <c r="O65" i="24"/>
  <c r="P65" i="24"/>
  <c r="Q65" i="24"/>
  <c r="R65" i="24"/>
  <c r="S65" i="24"/>
  <c r="T65" i="24"/>
  <c r="U65" i="24"/>
  <c r="H65" i="29"/>
  <c r="I65" i="29"/>
  <c r="J65" i="29"/>
  <c r="K65" i="29"/>
  <c r="L65" i="29"/>
  <c r="M65" i="29"/>
  <c r="N65" i="29"/>
  <c r="O65" i="29"/>
  <c r="P65" i="29"/>
  <c r="Q65" i="29"/>
  <c r="R65" i="29"/>
  <c r="S65" i="29"/>
  <c r="T65" i="29"/>
  <c r="U65" i="29"/>
  <c r="H65" i="23"/>
  <c r="I65" i="23"/>
  <c r="J65" i="23"/>
  <c r="K65" i="23"/>
  <c r="L65" i="23"/>
  <c r="M65" i="23"/>
  <c r="N65" i="23"/>
  <c r="O65" i="23"/>
  <c r="P65" i="23"/>
  <c r="Q65" i="23"/>
  <c r="R65" i="23"/>
  <c r="S65" i="23"/>
  <c r="T65" i="23"/>
  <c r="U65" i="23"/>
  <c r="H65" i="22"/>
  <c r="I65" i="22"/>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U6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20" i="27"/>
  <c r="T20" i="27"/>
  <c r="S20" i="27"/>
  <c r="R20" i="27"/>
  <c r="Q20" i="27"/>
  <c r="P20" i="27"/>
  <c r="O20" i="27"/>
  <c r="N20" i="27"/>
  <c r="M20" i="27"/>
  <c r="L20" i="27"/>
  <c r="K20" i="27"/>
  <c r="J20" i="27"/>
  <c r="I20" i="27"/>
  <c r="U18" i="27"/>
  <c r="T18" i="27"/>
  <c r="R18" i="27"/>
  <c r="L18" i="27"/>
  <c r="J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L64" i="28" s="1"/>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T59" i="27"/>
  <c r="U17" i="27"/>
  <c r="S59" i="22"/>
  <c r="T21" i="22"/>
  <c r="T17" i="22"/>
  <c r="G21" i="23"/>
  <c r="G23"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E23" i="23" s="1"/>
  <c r="L59" i="23"/>
  <c r="M17" i="23"/>
  <c r="M21" i="23"/>
  <c r="T59" i="23"/>
  <c r="U17" i="23"/>
  <c r="U19" i="23" s="1"/>
  <c r="U21" i="23"/>
  <c r="U23" i="23" s="1"/>
  <c r="H21" i="24"/>
  <c r="H23" i="24" s="1"/>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23" i="26" s="1"/>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M59" i="29"/>
  <c r="N17" i="29"/>
  <c r="N21" i="29"/>
  <c r="U59" i="29"/>
  <c r="V17" i="29"/>
  <c r="V21" i="29"/>
  <c r="V23" i="29" s="1"/>
  <c r="D59" i="30"/>
  <c r="E17" i="30"/>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H19" i="27" s="1"/>
  <c r="H20" i="27" s="1"/>
  <c r="P17" i="27"/>
  <c r="P19" i="27" s="1"/>
  <c r="H21" i="28"/>
  <c r="H23" i="28" s="1"/>
  <c r="H17" i="28"/>
  <c r="P21" i="28"/>
  <c r="P17" i="28"/>
  <c r="P19" i="28" s="1"/>
  <c r="G17" i="29"/>
  <c r="G19" i="29" s="1"/>
  <c r="G21" i="29"/>
  <c r="G23" i="29" s="1"/>
  <c r="O17" i="29"/>
  <c r="O21" i="29"/>
  <c r="E59" i="30"/>
  <c r="F21" i="30"/>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G23" i="22"/>
  <c r="K58" i="21"/>
  <c r="K61" i="21" s="1"/>
  <c r="K64" i="21" s="1"/>
  <c r="R19" i="24"/>
  <c r="I21" i="27"/>
  <c r="I23" i="27" s="1"/>
  <c r="I24" i="27" s="1"/>
  <c r="Q21" i="27"/>
  <c r="R58" i="21"/>
  <c r="R61" i="21" s="1"/>
  <c r="R64" i="21" s="1"/>
  <c r="O57" i="21"/>
  <c r="A43" i="21"/>
  <c r="J58" i="21"/>
  <c r="J61" i="21" s="1"/>
  <c r="G23" i="26"/>
  <c r="D58" i="29"/>
  <c r="D61" i="29" s="1"/>
  <c r="P23" i="26"/>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P58" i="22"/>
  <c r="P61" i="22" s="1"/>
  <c r="P64" i="22" s="1"/>
  <c r="F59" i="22"/>
  <c r="K58" i="29"/>
  <c r="K61" i="29" s="1"/>
  <c r="F19" i="23"/>
  <c r="I58" i="23"/>
  <c r="I61" i="23" s="1"/>
  <c r="I64" i="23" s="1"/>
  <c r="Q58" i="23"/>
  <c r="Q61" i="23" s="1"/>
  <c r="L58" i="29"/>
  <c r="L61" i="29" s="1"/>
  <c r="T58" i="29"/>
  <c r="T61" i="29" s="1"/>
  <c r="T64" i="29" s="1"/>
  <c r="I23" i="30"/>
  <c r="Q23" i="30"/>
  <c r="U23" i="30"/>
  <c r="J58" i="28"/>
  <c r="J61" i="28" s="1"/>
  <c r="J64" i="28" s="1"/>
  <c r="R58" i="22"/>
  <c r="R61" i="22" s="1"/>
  <c r="R64" i="22" s="1"/>
  <c r="J58" i="23"/>
  <c r="J61" i="23" s="1"/>
  <c r="J64" i="23" s="1"/>
  <c r="J58" i="24"/>
  <c r="J61" i="24" s="1"/>
  <c r="J64"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J19" i="27"/>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F64" i="26" s="1"/>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T23" i="29"/>
  <c r="G58" i="29"/>
  <c r="G61" i="29" s="1"/>
  <c r="O58" i="29"/>
  <c r="O61" i="29" s="1"/>
  <c r="P59" i="29"/>
  <c r="D64" i="30"/>
  <c r="D65" i="30" s="1"/>
  <c r="I57" i="30"/>
  <c r="M19" i="21"/>
  <c r="G57" i="21"/>
  <c r="J19" i="22"/>
  <c r="E58" i="22"/>
  <c r="E61" i="22" s="1"/>
  <c r="E64" i="22" s="1"/>
  <c r="E65"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G23" i="30"/>
  <c r="R19" i="30"/>
  <c r="F63" i="30"/>
  <c r="N63" i="30"/>
  <c r="K19" i="30"/>
  <c r="S19" i="30"/>
  <c r="S23" i="30"/>
  <c r="A31" i="30"/>
  <c r="A33" i="30"/>
  <c r="A39" i="30"/>
  <c r="A41" i="30"/>
  <c r="A47" i="30"/>
  <c r="A49" i="30"/>
  <c r="G57" i="30"/>
  <c r="O57" i="30"/>
  <c r="G59" i="30"/>
  <c r="G64" i="30" s="1"/>
  <c r="G65" i="30" s="1"/>
  <c r="O59" i="30"/>
  <c r="G63" i="30"/>
  <c r="O63" i="30"/>
  <c r="P63" i="30"/>
  <c r="I63" i="30"/>
  <c r="Q63" i="30"/>
  <c r="T19" i="30"/>
  <c r="E19" i="30"/>
  <c r="N19" i="30"/>
  <c r="V19" i="30"/>
  <c r="F23"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M23" i="29"/>
  <c r="U23" i="29"/>
  <c r="I57" i="29"/>
  <c r="Q57" i="29"/>
  <c r="I63" i="29"/>
  <c r="Q63" i="29"/>
  <c r="F19" i="29"/>
  <c r="N19" i="29"/>
  <c r="V19" i="29"/>
  <c r="F23" i="29"/>
  <c r="N23" i="29"/>
  <c r="B63" i="29"/>
  <c r="J63" i="29"/>
  <c r="R63" i="29"/>
  <c r="L19" i="29"/>
  <c r="O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F19" i="28"/>
  <c r="V19" i="28"/>
  <c r="F23" i="28"/>
  <c r="N23" i="28"/>
  <c r="V23" i="28"/>
  <c r="B63" i="28"/>
  <c r="J63" i="28"/>
  <c r="R63" i="28"/>
  <c r="A32" i="28"/>
  <c r="A34" i="28"/>
  <c r="A40" i="28"/>
  <c r="A42" i="28"/>
  <c r="A48" i="28"/>
  <c r="A50" i="28"/>
  <c r="C63" i="28"/>
  <c r="K63" i="28"/>
  <c r="S63" i="28"/>
  <c r="H19" i="28"/>
  <c r="D63" i="28"/>
  <c r="L63" i="28"/>
  <c r="T63" i="28"/>
  <c r="I19" i="28"/>
  <c r="E63" i="28"/>
  <c r="M63" i="28"/>
  <c r="Q23" i="27"/>
  <c r="Q24" i="27" s="1"/>
  <c r="T23" i="27"/>
  <c r="T24" i="27" s="1"/>
  <c r="R19" i="27"/>
  <c r="J21" i="27"/>
  <c r="J23" i="27" s="1"/>
  <c r="J24" i="27" s="1"/>
  <c r="F63" i="27"/>
  <c r="N63" i="27"/>
  <c r="N65" i="27" s="1"/>
  <c r="C23" i="27"/>
  <c r="C24" i="27" s="1"/>
  <c r="K21" i="27"/>
  <c r="K23" i="27" s="1"/>
  <c r="K24" i="27" s="1"/>
  <c r="S21" i="27"/>
  <c r="S23" i="27" s="1"/>
  <c r="S24" i="27" s="1"/>
  <c r="A31" i="27"/>
  <c r="A33" i="27"/>
  <c r="A39" i="27"/>
  <c r="A41" i="27"/>
  <c r="A47" i="27"/>
  <c r="A49" i="27"/>
  <c r="G57" i="27"/>
  <c r="O57" i="27"/>
  <c r="G59" i="27"/>
  <c r="O59" i="27"/>
  <c r="G63" i="27"/>
  <c r="O63" i="27"/>
  <c r="O65" i="27" s="1"/>
  <c r="D21" i="27"/>
  <c r="D23" i="27" s="1"/>
  <c r="D24" i="27" s="1"/>
  <c r="P63" i="27"/>
  <c r="P65" i="27" s="1"/>
  <c r="U19" i="27"/>
  <c r="E21" i="27"/>
  <c r="E23" i="27" s="1"/>
  <c r="E24" i="27" s="1"/>
  <c r="M21" i="27"/>
  <c r="M23" i="27" s="1"/>
  <c r="M24" i="27" s="1"/>
  <c r="U21" i="27"/>
  <c r="U23" i="27" s="1"/>
  <c r="U24" i="27" s="1"/>
  <c r="I57" i="27"/>
  <c r="Q57" i="27"/>
  <c r="I63" i="27"/>
  <c r="I65" i="27" s="1"/>
  <c r="Q63" i="27"/>
  <c r="Q65" i="27" s="1"/>
  <c r="N19" i="27"/>
  <c r="V19" i="27"/>
  <c r="F21" i="27"/>
  <c r="F23" i="27" s="1"/>
  <c r="F24" i="27" s="1"/>
  <c r="N21" i="27"/>
  <c r="N23" i="27" s="1"/>
  <c r="N24" i="27" s="1"/>
  <c r="V21" i="27"/>
  <c r="V23" i="27" s="1"/>
  <c r="V24" i="27" s="1"/>
  <c r="B63" i="27"/>
  <c r="J63" i="27"/>
  <c r="J65" i="27" s="1"/>
  <c r="R63" i="27"/>
  <c r="R65" i="27" s="1"/>
  <c r="A32" i="27"/>
  <c r="A34" i="27"/>
  <c r="A40" i="27"/>
  <c r="A42" i="27"/>
  <c r="A48" i="27"/>
  <c r="A50" i="27"/>
  <c r="C63" i="27"/>
  <c r="K63" i="27"/>
  <c r="K65" i="27" s="1"/>
  <c r="S63" i="27"/>
  <c r="S65" i="27" s="1"/>
  <c r="L19" i="27"/>
  <c r="D63" i="27"/>
  <c r="L63" i="27"/>
  <c r="L65" i="27" s="1"/>
  <c r="T63" i="27"/>
  <c r="T65" i="27" s="1"/>
  <c r="H63" i="27"/>
  <c r="H65" i="27" s="1"/>
  <c r="Q19" i="27"/>
  <c r="E63" i="27"/>
  <c r="M63" i="27"/>
  <c r="M65" i="27" s="1"/>
  <c r="U64" i="26"/>
  <c r="U66" i="26" s="1"/>
  <c r="O23" i="26"/>
  <c r="J23" i="26"/>
  <c r="H64" i="26"/>
  <c r="K23" i="26"/>
  <c r="A31" i="26"/>
  <c r="A33" i="26"/>
  <c r="A37" i="26"/>
  <c r="A39" i="26"/>
  <c r="A41" i="26"/>
  <c r="A45" i="26"/>
  <c r="A47" i="26"/>
  <c r="A49" i="26"/>
  <c r="G57" i="26"/>
  <c r="O57" i="26"/>
  <c r="G59" i="26"/>
  <c r="O59" i="26"/>
  <c r="G63" i="26"/>
  <c r="O63" i="26"/>
  <c r="L19" i="26"/>
  <c r="T19" i="26"/>
  <c r="L23" i="26"/>
  <c r="T23" i="26"/>
  <c r="H63" i="26"/>
  <c r="P63" i="26"/>
  <c r="M19" i="26"/>
  <c r="M23" i="26"/>
  <c r="I57" i="26"/>
  <c r="Q57" i="26"/>
  <c r="I59" i="26"/>
  <c r="I64"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J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M23" i="23"/>
  <c r="I57" i="23"/>
  <c r="Q57" i="23"/>
  <c r="F23" i="23"/>
  <c r="N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27" l="1"/>
  <c r="C23" i="21"/>
  <c r="C24" i="21" s="1"/>
  <c r="C65" i="27"/>
  <c r="E65" i="27"/>
  <c r="D65" i="21"/>
  <c r="C65" i="21"/>
  <c r="F66" i="26"/>
  <c r="F65" i="26"/>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H64" i="29"/>
  <c r="H66" i="29" s="1"/>
  <c r="S64" i="30"/>
  <c r="S66" i="30" s="1"/>
  <c r="Q64" i="23"/>
  <c r="Q66" i="23" s="1"/>
  <c r="F64" i="30"/>
  <c r="K64" i="23"/>
  <c r="K66" i="23" s="1"/>
  <c r="R64" i="26"/>
  <c r="E64" i="24"/>
  <c r="J64" i="22"/>
  <c r="J66" i="22" s="1"/>
  <c r="H64" i="21"/>
  <c r="H64" i="28"/>
  <c r="H66" i="28" s="1"/>
  <c r="G64" i="28"/>
  <c r="P64" i="26"/>
  <c r="E64" i="28"/>
  <c r="N64" i="23"/>
  <c r="J64" i="26"/>
  <c r="B64" i="23"/>
  <c r="M64" i="27"/>
  <c r="M66" i="27" s="1"/>
  <c r="H64" i="27"/>
  <c r="H66" i="27" s="1"/>
  <c r="G64" i="22"/>
  <c r="L64" i="29"/>
  <c r="G64" i="24"/>
  <c r="H64" i="24"/>
  <c r="H66" i="24" s="1"/>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G66" i="30"/>
  <c r="J66" i="30"/>
  <c r="F64" i="27"/>
  <c r="T66" i="27"/>
  <c r="L66" i="29"/>
  <c r="Q66" i="22"/>
  <c r="J66" i="26"/>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I66" i="24"/>
  <c r="P66" i="24"/>
  <c r="D66" i="24"/>
  <c r="K66" i="24"/>
  <c r="M66" i="24"/>
  <c r="I66" i="23"/>
  <c r="N66" i="23"/>
  <c r="E66" i="23"/>
  <c r="I66" i="22"/>
  <c r="M66" i="22"/>
  <c r="S66" i="22"/>
  <c r="K66" i="22"/>
  <c r="T66" i="22"/>
  <c r="H66" i="21"/>
  <c r="M66" i="21"/>
  <c r="K66" i="21"/>
  <c r="C66" i="21"/>
  <c r="D66" i="21"/>
  <c r="R66" i="21"/>
  <c r="N64" i="1"/>
  <c r="M64" i="1"/>
  <c r="T64" i="1"/>
  <c r="L64" i="1"/>
  <c r="J64" i="1"/>
  <c r="K64" i="1"/>
  <c r="O64" i="1"/>
  <c r="C64" i="1"/>
  <c r="C65" i="1" s="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D65" i="1" l="1"/>
  <c r="F65" i="1"/>
  <c r="E65" i="1"/>
  <c r="G65" i="1"/>
  <c r="B65" i="1"/>
  <c r="G66" i="27"/>
  <c r="G65" i="27"/>
  <c r="G66" i="22"/>
  <c r="G65" i="22"/>
  <c r="G66" i="28"/>
  <c r="G65" i="28"/>
  <c r="G66" i="24"/>
  <c r="G65" i="24"/>
  <c r="G66" i="21"/>
  <c r="G65" i="21"/>
  <c r="G66" i="29"/>
  <c r="G65" i="29"/>
  <c r="G66" i="23"/>
  <c r="G65" i="23"/>
  <c r="G66" i="26"/>
  <c r="G65" i="26"/>
  <c r="F66" i="30"/>
  <c r="F65" i="30"/>
  <c r="F66" i="21"/>
  <c r="F65" i="21"/>
  <c r="F66" i="23"/>
  <c r="F65" i="23"/>
  <c r="F66" i="28"/>
  <c r="F65" i="28"/>
  <c r="F66" i="24"/>
  <c r="F65" i="24"/>
  <c r="F66" i="22"/>
  <c r="F65" i="22"/>
  <c r="F66" i="27"/>
  <c r="F65" i="27"/>
  <c r="F66" i="29"/>
  <c r="F65" i="29"/>
  <c r="E66" i="28"/>
  <c r="E65" i="28"/>
  <c r="E66" i="29"/>
  <c r="E65" i="29"/>
  <c r="E66" i="26"/>
  <c r="E65" i="26"/>
  <c r="E66" i="21"/>
  <c r="E65" i="21"/>
  <c r="E66" i="24"/>
  <c r="E65" i="24"/>
  <c r="D66" i="23"/>
  <c r="D66" i="22"/>
  <c r="D66" i="26"/>
  <c r="D66" i="29"/>
  <c r="C66" i="28"/>
  <c r="C65" i="28"/>
  <c r="C66" i="24"/>
  <c r="C65" i="24"/>
  <c r="B66" i="27"/>
  <c r="B65" i="27"/>
  <c r="B66" i="29"/>
  <c r="B65" i="29"/>
  <c r="B66" i="23"/>
  <c r="B65" i="23"/>
  <c r="B66" i="21"/>
  <c r="B65" i="21"/>
  <c r="B66" i="26"/>
  <c r="B65" i="26"/>
  <c r="B66" i="28"/>
  <c r="B65" i="28"/>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<sst xmlns="http://schemas.openxmlformats.org/spreadsheetml/2006/main" count="2119" uniqueCount="171">
  <si>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</si>
  <si>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</si>
  <si>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</si>
  <si>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</si>
  <si>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</si>
  <si>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</si>
  <si>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</si>
  <si>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</si>
  <si>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</si>
  <si>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</si>
  <si>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</si>
  <si>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</si>
  <si>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</si>
  <si>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</si>
  <si>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</si>
  <si>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</si>
  <si>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</si>
  <si>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</si>
  <si>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</si>
  <si>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</si>
  <si>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</si>
  <si>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</si>
  <si>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</si>
  <si>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</si>
  <si>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</si>
  <si>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</si>
  <si>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</si>
  <si>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</si>
  <si>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</si>
  <si>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</si>
  <si>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</si>
  <si>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</si>
  <si>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</si>
  <si>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</si>
  <si>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</si>
  <si>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</si>
  <si>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</si>
  <si>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</si>
  <si>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</si>
  <si>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</si>
  <si>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</si>
  <si>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</si>
  <si>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</si>
  <si>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</si>
  <si>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</si>
  <si>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</si>
  <si>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</si>
  <si>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</si>
  <si>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</si>
  <si>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</si>
  <si>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</si>
  <si>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</si>
  <si>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</si>
  <si>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</si>
  <si>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</si>
  <si>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</si>
  <si>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</si>
  <si>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</si>
  <si>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</si>
  <si>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</si>
  <si>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</si>
  <si>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</si>
  <si>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</si>
  <si>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</si>
  <si>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</si>
  <si>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</si>
  <si>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</si>
  <si>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</si>
  <si>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</si>
  <si>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</si>
  <si>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</si>
  <si>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</si>
  <si>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</si>
  <si>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</si>
  <si>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</si>
  <si>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</si>
  <si>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</si>
  <si>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</si>
  <si>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</si>
  <si>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</si>
  <si>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</si>
  <si>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</si>
  <si>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</si>
  <si>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</si>
  <si>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</si>
  <si>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</si>
  <si>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</si>
  <si>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</si>
  <si>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</si>
  <si>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</si>
  <si>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</si>
  <si>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</si>
  <si>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</si>
  <si>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</si>
  <si>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</si>
  <si>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</si>
  <si>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</si>
  <si>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</si>
  <si>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</si>
  <si>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</si>
  <si>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</si>
  <si>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</si>
  <si>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</si>
  <si>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</si>
  <si>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</si>
  <si>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</si>
  <si>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</si>
  <si>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</si>
  <si>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</si>
  <si>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</si>
  <si>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</si>
  <si>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</si>
  <si>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</si>
  <si>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</si>
  <si>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</si>
  <si>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</si>
  <si>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</si>
  <si>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</si>
  <si>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</si>
  <si>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</si>
  <si>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</si>
  <si>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</si>
  <si>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</si>
  <si>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</si>
  <si>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</si>
  <si>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</si>
  <si>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</si>
  <si>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</si>
  <si>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</si>
  <si>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</si>
  <si>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</si>
  <si>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</si>
  <si>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</si>
  <si>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</si>
  <si>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</si>
  <si>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</si>
  <si>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</si>
  <si>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</si>
  <si>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</si>
  <si>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</si>
  <si>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</si>
  <si>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</si>
  <si>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</si>
  <si>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</si>
  <si>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</si>
  <si>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</si>
  <si>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</si>
  <si>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</si>
  <si>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</si>
  <si>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</si>
  <si>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</si>
  <si>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</si>
  <si>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</si>
  <si>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</si>
  <si>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</si>
  <si>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</si>
  <si>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</si>
  <si>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</si>
  <si>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</si>
  <si>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</si>
  <si>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Moderate</t>
  </si>
  <si>
    <t>Felindre Liquid</t>
  </si>
  <si>
    <t>19 09 02</t>
  </si>
  <si>
    <t>Andigestion</t>
  </si>
  <si>
    <t>19 06 06</t>
  </si>
  <si>
    <t xml:space="preserve">Felindre </t>
  </si>
  <si>
    <t>PAN-018834</t>
  </si>
  <si>
    <t>Byproduct Recovery</t>
  </si>
  <si>
    <t>Abergelli Farm 2, Felindre, Swansea, SA5 7NN</t>
  </si>
  <si>
    <t>Ethan Banfield</t>
  </si>
  <si>
    <t>EPR-GP3792SK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</si>
</sst>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43" zoomScale="90" zoomScaleNormal="90" workbookViewId="0">
      <selection activeCell="S28" sqref="S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166</v>
      </c>
      <c r="D1" s="136"/>
      <c r="E1" s="93" t="s">
        <v>45</v>
      </c>
      <c r="F1" s="96">
        <v>15.7</v>
      </c>
      <c r="G1" s="120" t="s">
        <v>43</v>
      </c>
      <c r="H1" s="121"/>
      <c r="I1" s="96">
        <v>6.9</v>
      </c>
      <c r="J1" s="119" t="s">
        <v>153</v>
      </c>
      <c r="K1" s="119"/>
      <c r="L1" s="96">
        <v>35.299999999999997</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170</v>
      </c>
      <c r="D2" s="134"/>
      <c r="E2" s="93" t="s">
        <v>109</v>
      </c>
      <c r="F2" s="96" t="s">
        <v>162</v>
      </c>
      <c r="G2" s="138" t="s">
        <v>110</v>
      </c>
      <c r="H2" s="139"/>
      <c r="I2" s="96"/>
      <c r="J2" s="119" t="s">
        <v>158</v>
      </c>
      <c r="K2" s="119"/>
      <c r="L2" s="96">
        <v>1.1100000000000001</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167</v>
      </c>
      <c r="D3" s="134"/>
      <c r="E3" s="93" t="s">
        <v>108</v>
      </c>
      <c r="F3" s="31" t="s">
        <v>104</v>
      </c>
      <c r="G3" s="119" t="s">
        <v>159</v>
      </c>
      <c r="H3" s="119"/>
      <c r="I3" s="96"/>
      <c r="J3" s="120" t="s">
        <v>154</v>
      </c>
      <c r="K3" s="121"/>
      <c r="L3" s="96">
        <f>(L1/(L2*10000))*100</f>
        <v>0.31801801801801793</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168</v>
      </c>
      <c r="D4" s="136"/>
      <c r="E4" s="94" t="s">
        <v>1</v>
      </c>
      <c r="F4" s="95" t="s">
        <v>165</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169</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v>6201</v>
      </c>
      <c r="D8" s="15">
        <v>3907</v>
      </c>
      <c r="E8" s="15">
        <v>415</v>
      </c>
      <c r="F8" s="15">
        <v>1163</v>
      </c>
      <c r="G8" s="15">
        <v>173</v>
      </c>
      <c r="H8" s="15">
        <v>455</v>
      </c>
      <c r="I8" s="15"/>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160</v>
      </c>
      <c r="D9" s="15" t="s">
        <v>160</v>
      </c>
      <c r="E9" s="15" t="s">
        <v>160</v>
      </c>
      <c r="F9" s="15" t="s">
        <v>160</v>
      </c>
      <c r="G9" s="15" t="s">
        <v>160</v>
      </c>
      <c r="H9" s="15" t="s">
        <v>160</v>
      </c>
      <c r="I9" s="15"/>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8.1999999999999993</v>
      </c>
      <c r="D10" s="15">
        <v>8</v>
      </c>
      <c r="E10" s="15">
        <v>7.9</v>
      </c>
      <c r="F10" s="15">
        <v>8.1</v>
      </c>
      <c r="G10" s="15">
        <v>8</v>
      </c>
      <c r="H10" s="15">
        <v>7.7</v>
      </c>
      <c r="I10" s="15"/>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0</v>
      </c>
      <c r="D11" s="15">
        <v>0</v>
      </c>
      <c r="E11" s="15">
        <v>1</v>
      </c>
      <c r="F11" s="15">
        <v>0</v>
      </c>
      <c r="G11" s="15">
        <v>0</v>
      </c>
      <c r="H11" s="15">
        <v>2</v>
      </c>
      <c r="I11" s="15"/>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0</v>
      </c>
      <c r="D12" s="15">
        <v>0</v>
      </c>
      <c r="E12" s="15">
        <v>1</v>
      </c>
      <c r="F12" s="15">
        <v>0</v>
      </c>
      <c r="G12" s="15">
        <v>0</v>
      </c>
      <c r="H12" s="15">
        <v>1</v>
      </c>
      <c r="I12" s="15"/>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3</v>
      </c>
      <c r="D13" s="15">
        <v>3</v>
      </c>
      <c r="E13" s="15">
        <v>3</v>
      </c>
      <c r="F13" s="15">
        <v>3</v>
      </c>
      <c r="G13" s="15">
        <v>3</v>
      </c>
      <c r="H13" s="15">
        <v>3</v>
      </c>
      <c r="I13" s="15"/>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113</v>
      </c>
      <c r="E14" s="100" t="s">
        <v>113</v>
      </c>
      <c r="F14" s="100" t="s">
        <v>113</v>
      </c>
      <c r="G14" s="100" t="s">
        <v>113</v>
      </c>
      <c r="H14" s="100" t="s">
        <v>113</v>
      </c>
      <c r="I14" s="100"/>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12</v>
      </c>
      <c r="D15" s="15">
        <v>12</v>
      </c>
      <c r="E15" s="15">
        <v>12</v>
      </c>
      <c r="F15" s="15">
        <v>12</v>
      </c>
      <c r="G15" s="15">
        <v>12</v>
      </c>
      <c r="H15" s="15">
        <v>12</v>
      </c>
      <c r="I15" s="15"/>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35.858731999999989</v>
      </c>
      <c r="D18" s="16">
        <f>$D32</f>
        <v>35.858731999999989</v>
      </c>
      <c r="E18" s="16">
        <f>$D33</f>
        <v>35.858731999999989</v>
      </c>
      <c r="F18" s="16">
        <f>$D34</f>
        <v>35.858731999999989</v>
      </c>
      <c r="G18" s="16">
        <f>$D35</f>
        <v>35.858731999999989</v>
      </c>
      <c r="H18" s="16">
        <f>$D36</f>
        <v>35.858731999999989</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15.458731999999991</v>
      </c>
      <c r="D19" s="16">
        <f t="shared" ref="D19:V19" si="1">D18-D17</f>
        <v>15.458731999999991</v>
      </c>
      <c r="E19" s="16">
        <f t="shared" si="1"/>
        <v>15.458731999999991</v>
      </c>
      <c r="F19" s="16">
        <f t="shared" si="1"/>
        <v>15.458731999999991</v>
      </c>
      <c r="G19" s="16">
        <f t="shared" si="1"/>
        <v>15.458731999999991</v>
      </c>
      <c r="H19" s="16">
        <f t="shared" si="1"/>
        <v>15.458731999999991</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72</v>
      </c>
      <c r="D21" s="28">
        <f t="shared" ref="D21:V21" si="2">(VLOOKUP(D$14,$AI2:$AK26,3,FALSE))*D$15</f>
        <v>72</v>
      </c>
      <c r="E21" s="28">
        <f t="shared" si="2"/>
        <v>72</v>
      </c>
      <c r="F21" s="28">
        <f t="shared" si="2"/>
        <v>72</v>
      </c>
      <c r="G21" s="28">
        <f t="shared" si="2"/>
        <v>72</v>
      </c>
      <c r="H21" s="28">
        <f t="shared" si="2"/>
        <v>72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5.9069100000000008</v>
      </c>
      <c r="D22" s="16">
        <f>$E32</f>
        <v>5.9069100000000008</v>
      </c>
      <c r="E22" s="16">
        <f>$E33</f>
        <v>5.9069100000000008</v>
      </c>
      <c r="F22" s="16">
        <f>$E34</f>
        <v>5.9069100000000008</v>
      </c>
      <c r="G22" s="16">
        <f>$E35</f>
        <v>5.9069100000000008</v>
      </c>
      <c r="H22" s="16">
        <f>$E36</f>
        <v>5.9069100000000008</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-66.093090000000004</v>
      </c>
      <c r="D23" s="16">
        <f t="shared" ref="D23:V23" si="3">D22-D21</f>
        <v>-66.093090000000004</v>
      </c>
      <c r="E23" s="16">
        <f t="shared" si="3"/>
        <v>-66.093090000000004</v>
      </c>
      <c r="F23" s="16">
        <f t="shared" si="3"/>
        <v>-66.093090000000004</v>
      </c>
      <c r="G23" s="16">
        <f t="shared" si="3"/>
        <v>-66.093090000000004</v>
      </c>
      <c r="H23" s="16">
        <f t="shared" si="3"/>
        <v>-66.093090000000004</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17.2</v>
      </c>
      <c r="C28" s="15">
        <v>1.1100000000000001</v>
      </c>
      <c r="D28" s="15">
        <v>0.182</v>
      </c>
      <c r="E28" s="15">
        <v>5.7000000000000002E-2</v>
      </c>
      <c r="F28" s="15">
        <v>1050</v>
      </c>
      <c r="G28" s="15">
        <v>69.5</v>
      </c>
      <c r="H28" s="15">
        <v>239</v>
      </c>
      <c r="I28" s="15">
        <v>37.799999999999997</v>
      </c>
      <c r="J28" s="15">
        <v>1.48</v>
      </c>
      <c r="K28" s="23">
        <v>0.28999999999999998</v>
      </c>
      <c r="L28" s="15">
        <v>28.5</v>
      </c>
      <c r="M28" s="15">
        <v>16.899999999999999</v>
      </c>
      <c r="N28" s="15">
        <v>196000</v>
      </c>
      <c r="O28" s="15">
        <v>23000</v>
      </c>
      <c r="P28" s="15"/>
      <c r="Q28" s="15">
        <v>7450</v>
      </c>
      <c r="R28" s="15"/>
      <c r="S28" s="15">
        <v>62.5</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6201</v>
      </c>
      <c r="B31" s="15">
        <v>50</v>
      </c>
      <c r="C31" s="77">
        <f>IF(C$27="%w/w SAR",((C$28*10)*$B31),IF(C$27="%w/w DM",(((C$28*10)*($B$28/100))*$B31),IF(C$27="kg/t SAR",(C$28*$B31),IF(C$27="kg/t DM",((C$28*($B$28/100))*$B31),IF(C$27="mg/kg SAR",((C$28*0.001)*$B31),IF(C$27="mg/kg DM",(((C$28*0.001)*($B$28/100))*$B31),0))))))</f>
        <v>95.46</v>
      </c>
      <c r="D31" s="77">
        <f>(IF(D$27="%w/w SAR",((D$28*10)*$B31),IF(D$27="%w/w DM",(((D$28*10)*($B$28/100))*$B31),IF(D$27="kg/t SAR",(D$28*$B31),IF(D$27="kg/t DM",((D$28*($B$28/100))*$B31),IF(D$27="mg/kg SAR",((D$28*0.001)*$B31),IF(D$27="mg/kg DM",(((D$28*0.001)*($B$28/100))*$B31),"0")))))))*2.291</f>
        <v>35.858731999999989</v>
      </c>
      <c r="E31" s="77">
        <f>(IF(E$27="%w/w SAR",((E$28*10)*$B31),IF(E$27="%w/w DM",(((E$28*10)*($B$28/100))*$B31),IF(E$27="kg/t SAR",(E$28*$B31),IF(E$27="kg/t DM",((E$28*($B$28/100))*$B31),IF(E$27="mg/kg SAR",((E$28*0.001)*$B31),IF(E$27="mg/kg DM",(((E$28*0.001)*($B$28/100))*$B31),"0")))))))*1.205</f>
        <v>5.9069100000000008</v>
      </c>
      <c r="F31" s="77">
        <f>(IF(F$27="%w/w SAR",((F$28*10)*$B31),IF(F$27="%w/w DM",(((F$28*10)*($B$28/100))*$B31),IF(F$27="kg/t SAR",(F$28*$B31),IF(F$27="kg/t DM",((F$28*($B$28/100))*$B31),IF(F$27="mg/kg SAR",((F$28*0.001)*$B31),IF(F$27="mg/kg DM",(((F$28*0.001)*($B$28/100))*$B31),"0")))))))*1.658</f>
        <v>14.971739999999999</v>
      </c>
      <c r="G31" s="77">
        <f t="shared" ref="G31:P31" si="5">IF(G$27="%w/w SAR",((G$28*10)*$B31),IF(G$27="%w/w DM",(((G$28*10)*($B$28/100))*$B31),IF(G$27="kg/t SAR",(G$28*$B31),IF(G$27="kg/t DM",((G$28*($B$28/100))*$B31),IF(G$27="mg/kg SAR",((G$28*0.001)*$B31),IF(G$27="mg/kg DM",(((G$28*0.001)*($B$28/100))*$B31),0))))))</f>
        <v>0.59770000000000001</v>
      </c>
      <c r="H31" s="77">
        <f t="shared" si="5"/>
        <v>2.0554000000000001</v>
      </c>
      <c r="I31" s="77">
        <f t="shared" si="5"/>
        <v>0.32507999999999998</v>
      </c>
      <c r="J31" s="77">
        <f t="shared" si="5"/>
        <v>1.2727999999999998E-2</v>
      </c>
      <c r="K31" s="77">
        <f t="shared" si="5"/>
        <v>2.4939999999999997E-3</v>
      </c>
      <c r="L31" s="77">
        <f t="shared" si="5"/>
        <v>0.24510000000000001</v>
      </c>
      <c r="M31" s="77">
        <f t="shared" si="5"/>
        <v>0.14533999999999997</v>
      </c>
      <c r="N31" s="77">
        <f t="shared" si="5"/>
        <v>1685.6</v>
      </c>
      <c r="O31" s="77">
        <f t="shared" si="5"/>
        <v>197.79999999999998</v>
      </c>
      <c r="P31" s="77">
        <f t="shared" si="5"/>
        <v>0</v>
      </c>
      <c r="Q31" s="77">
        <f>(IF(Q$27="%w/w SAR",((Q$28*10)*$B31),IF(Q$27="%w/w DM",(((Q$28*10)*($B$28/100))*$B31),IF(Q$27="kg/t SAR",(Q$28*$B31),IF(Q$27="kg/t DM",((Q$28*($B$28/100))*$B31),IF(Q$27="mg/kg SAR",((Q$28*0.001)*$B31),IF(Q$27="mg/kg DM",(((Q$28*0.001)*($B$28/100))*$B31),0)))))))*2.5</f>
        <v>160.17499999999998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0.53749999999999998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3907</v>
      </c>
      <c r="B32" s="15">
        <v>50</v>
      </c>
      <c r="C32" s="77">
        <f t="shared" ref="C32:C50" si="6">IF(C$27="%w/w SAR",((C$28*10)*$B32),IF(C$27="%w/w DM",(((C$28*10)*($B$28/100))*$B32),IF(C$27="kg/t SAR",(C$28*$B32),IF(C$27="kg/t DM",((C$28*($B$28/100))*$B32),IF(C$27="mg/kg SAR",((C$28*0.001)*$B32),IF(C$27="mg/kg DM",(((C$28*0.001)*($B$28/100))*$B32),0))))))</f>
        <v>95.46</v>
      </c>
      <c r="D32" s="77">
        <f t="shared" ref="D32:D50" si="7">(IF(D$27="%w/w SAR",((D$28*10)*$B32),IF(D$27="%w/w DM",(((D$28*10)*($B$28/100))*$B32),IF(D$27="kg/t SAR",(D$28*$B32),IF(D$27="kg/t DM",((D$28*($B$28/100))*$B32),IF(D$27="mg/kg SAR",((D$28*0.001)*$B32),IF(D$27="mg/kg DM",(((D$28*0.001)*($B$28/100))*$B32),"0")))))))*2.291</f>
        <v>35.858731999999989</v>
      </c>
      <c r="E32" s="77">
        <f t="shared" ref="E32:E50" si="8">(IF(E$27="%w/w SAR",((E$28*10)*$B32),IF(E$27="%w/w DM",(((E$28*10)*($B$28/100))*$B32),IF(E$27="kg/t SAR",(E$28*$B32),IF(E$27="kg/t DM",((E$28*($B$28/100))*$B32),IF(E$27="mg/kg SAR",((E$28*0.001)*$B32),IF(E$27="mg/kg DM",(((E$28*0.001)*($B$28/100))*$B32),"0")))))))*1.205</f>
        <v>5.9069100000000008</v>
      </c>
      <c r="F32" s="77">
        <f t="shared" ref="F32:F50" si="9">(IF(F$27="%w/w SAR",((F$28*10)*$B32),IF(F$27="%w/w DM",(((F$28*10)*($B$28/100))*$B32),IF(F$27="kg/t SAR",(F$28*$B32),IF(F$27="kg/t DM",((F$28*($B$28/100))*$B32),IF(F$27="mg/kg SAR",((F$28*0.001)*$B32),IF(F$27="mg/kg DM",(((F$28*0.001)*($B$28/100))*$B32),"0")))))))*1.658</f>
        <v>14.971739999999999</v>
      </c>
      <c r="G32" s="77">
        <f t="shared" ref="G32:P50" si="10">IF(G$27="%w/w SAR",((G$28*10)*$B32),IF(G$27="%w/w DM",(((G$28*10)*($B$28/100))*$B32),IF(G$27="kg/t SAR",(G$28*$B32),IF(G$27="kg/t DM",((G$28*($B$28/100))*$B32),IF(G$27="mg/kg SAR",((G$28*0.001)*$B32),IF(G$27="mg/kg DM",(((G$28*0.001)*($B$28/100))*$B32),0))))))</f>
        <v>0.59770000000000001</v>
      </c>
      <c r="H32" s="77">
        <f t="shared" si="10"/>
        <v>2.0554000000000001</v>
      </c>
      <c r="I32" s="77">
        <f t="shared" si="10"/>
        <v>0.32507999999999998</v>
      </c>
      <c r="J32" s="77">
        <f t="shared" si="10"/>
        <v>1.2727999999999998E-2</v>
      </c>
      <c r="K32" s="77">
        <f t="shared" si="10"/>
        <v>2.4939999999999997E-3</v>
      </c>
      <c r="L32" s="77">
        <f t="shared" si="10"/>
        <v>0.24510000000000001</v>
      </c>
      <c r="M32" s="77">
        <f t="shared" si="10"/>
        <v>0.14533999999999997</v>
      </c>
      <c r="N32" s="77">
        <f t="shared" si="10"/>
        <v>1685.6</v>
      </c>
      <c r="O32" s="77">
        <f t="shared" si="10"/>
        <v>197.79999999999998</v>
      </c>
      <c r="P32" s="77">
        <f t="shared" si="10"/>
        <v>0</v>
      </c>
      <c r="Q32" s="77">
        <f t="shared" ref="Q32:Q50" si="11">(IF(Q$27="%w/w SAR",((Q$28*10)*$B32),IF(Q$27="%w/w DM",(((Q$28*10)*($B$28/100))*$B32),IF(Q$27="kg/t SAR",(Q$28*$B32),IF(Q$27="kg/t DM",((Q$28*($B$28/100))*$B32),IF(Q$27="mg/kg SAR",((Q$28*0.001)*$B32),IF(Q$27="mg/kg DM",(((Q$28*0.001)*($B$28/100))*$B32),0)))))))*2.5</f>
        <v>160.17499999999998</v>
      </c>
      <c r="R32" s="77">
        <f t="shared" ref="R32:U50" si="12">IF(R$27="%w/w SAR",((R$28*10)*$B32),IF(R$27="%w/w DM",(((R$28*10)*($B$28/100))*$B32),IF(R$27="kg/t SAR",(R$28*$B32),IF(R$27="kg/t DM",((R$28*($B$28/100))*$B32),IF(R$27="mg/kg SAR",((R$28*0.001)*$B32),IF(R$27="mg/kg DM",(((R$28*0.001)*($B$28/100))*$B32),0))))))</f>
        <v>0</v>
      </c>
      <c r="S32" s="77">
        <f t="shared" si="12"/>
        <v>0.53749999999999998</v>
      </c>
      <c r="T32" s="77">
        <f t="shared" si="12"/>
        <v>0</v>
      </c>
      <c r="U32" s="77">
        <f t="shared" si="12"/>
        <v>0</v>
      </c>
      <c r="AB32" s="59"/>
      <c r="AC32" s="59"/>
      <c r="AD32" s="59"/>
      <c r="AE32" s="59"/>
      <c r="AF32" s="59"/>
      <c r="AG32" s="59"/>
      <c r="AH32" s="59"/>
      <c r="AI32" s="59"/>
    </row>
    <row r="33" spans="1:35" s="72" customFormat="1" ht="13" x14ac:dyDescent="0.35">
      <c r="A33" s="13">
        <f>E8</f>
        <v>415</v>
      </c>
      <c r="B33" s="15">
        <v>50</v>
      </c>
      <c r="C33" s="77">
        <f t="shared" si="6"/>
        <v>95.46</v>
      </c>
      <c r="D33" s="77">
        <f t="shared" si="7"/>
        <v>35.858731999999989</v>
      </c>
      <c r="E33" s="77">
        <f t="shared" si="8"/>
        <v>5.9069100000000008</v>
      </c>
      <c r="F33" s="77">
        <f t="shared" si="9"/>
        <v>14.971739999999999</v>
      </c>
      <c r="G33" s="77">
        <f t="shared" si="10"/>
        <v>0.59770000000000001</v>
      </c>
      <c r="H33" s="77">
        <f t="shared" si="10"/>
        <v>2.0554000000000001</v>
      </c>
      <c r="I33" s="77">
        <f t="shared" si="10"/>
        <v>0.32507999999999998</v>
      </c>
      <c r="J33" s="77">
        <f t="shared" si="10"/>
        <v>1.2727999999999998E-2</v>
      </c>
      <c r="K33" s="77">
        <f t="shared" si="10"/>
        <v>2.4939999999999997E-3</v>
      </c>
      <c r="L33" s="77">
        <f t="shared" si="10"/>
        <v>0.24510000000000001</v>
      </c>
      <c r="M33" s="77">
        <f t="shared" si="10"/>
        <v>0.14533999999999997</v>
      </c>
      <c r="N33" s="77">
        <f t="shared" si="10"/>
        <v>1685.6</v>
      </c>
      <c r="O33" s="77">
        <f t="shared" si="10"/>
        <v>197.79999999999998</v>
      </c>
      <c r="P33" s="77">
        <f t="shared" si="10"/>
        <v>0</v>
      </c>
      <c r="Q33" s="77">
        <f t="shared" si="11"/>
        <v>160.17499999999998</v>
      </c>
      <c r="R33" s="77">
        <f t="shared" si="12"/>
        <v>0</v>
      </c>
      <c r="S33" s="77">
        <f t="shared" si="12"/>
        <v>0.53749999999999998</v>
      </c>
      <c r="T33" s="77">
        <f t="shared" si="12"/>
        <v>0</v>
      </c>
      <c r="U33" s="77">
        <f t="shared" si="12"/>
        <v>0</v>
      </c>
      <c r="AB33" s="59"/>
      <c r="AC33" s="59"/>
      <c r="AD33" s="59"/>
      <c r="AE33" s="59"/>
      <c r="AF33" s="59"/>
      <c r="AG33" s="59"/>
      <c r="AH33" s="59"/>
      <c r="AI33" s="59"/>
    </row>
    <row r="34" spans="1:35" s="72" customFormat="1" ht="13" x14ac:dyDescent="0.35">
      <c r="A34" s="13">
        <f>F8</f>
        <v>1163</v>
      </c>
      <c r="B34" s="15">
        <v>50</v>
      </c>
      <c r="C34" s="77">
        <f t="shared" si="6"/>
        <v>95.46</v>
      </c>
      <c r="D34" s="77">
        <f t="shared" si="7"/>
        <v>35.858731999999989</v>
      </c>
      <c r="E34" s="77">
        <f t="shared" si="8"/>
        <v>5.9069100000000008</v>
      </c>
      <c r="F34" s="77">
        <f t="shared" si="9"/>
        <v>14.971739999999999</v>
      </c>
      <c r="G34" s="77">
        <f t="shared" si="10"/>
        <v>0.59770000000000001</v>
      </c>
      <c r="H34" s="77">
        <f t="shared" si="10"/>
        <v>2.0554000000000001</v>
      </c>
      <c r="I34" s="77">
        <f t="shared" si="10"/>
        <v>0.32507999999999998</v>
      </c>
      <c r="J34" s="77">
        <f t="shared" si="10"/>
        <v>1.2727999999999998E-2</v>
      </c>
      <c r="K34" s="77">
        <f t="shared" si="10"/>
        <v>2.4939999999999997E-3</v>
      </c>
      <c r="L34" s="77">
        <f t="shared" si="10"/>
        <v>0.24510000000000001</v>
      </c>
      <c r="M34" s="77">
        <f t="shared" si="10"/>
        <v>0.14533999999999997</v>
      </c>
      <c r="N34" s="77">
        <f t="shared" si="10"/>
        <v>1685.6</v>
      </c>
      <c r="O34" s="77">
        <f t="shared" si="10"/>
        <v>197.79999999999998</v>
      </c>
      <c r="P34" s="77">
        <f t="shared" si="10"/>
        <v>0</v>
      </c>
      <c r="Q34" s="77">
        <f t="shared" si="11"/>
        <v>160.17499999999998</v>
      </c>
      <c r="R34" s="77">
        <f t="shared" si="12"/>
        <v>0</v>
      </c>
      <c r="S34" s="77">
        <f t="shared" si="12"/>
        <v>0.53749999999999998</v>
      </c>
      <c r="T34" s="77">
        <f t="shared" si="12"/>
        <v>0</v>
      </c>
      <c r="U34" s="77">
        <f t="shared" si="12"/>
        <v>0</v>
      </c>
      <c r="AB34" s="59"/>
      <c r="AC34" s="59"/>
      <c r="AD34" s="59"/>
      <c r="AE34" s="59"/>
      <c r="AF34" s="59"/>
      <c r="AG34" s="59"/>
      <c r="AH34" s="59"/>
      <c r="AI34" s="59"/>
    </row>
    <row r="35" spans="1:35" s="72" customFormat="1" ht="13" x14ac:dyDescent="0.35">
      <c r="A35" s="13">
        <f>G8</f>
        <v>173</v>
      </c>
      <c r="B35" s="15">
        <v>50</v>
      </c>
      <c r="C35" s="77">
        <f t="shared" si="6"/>
        <v>95.46</v>
      </c>
      <c r="D35" s="77">
        <f t="shared" si="7"/>
        <v>35.858731999999989</v>
      </c>
      <c r="E35" s="77">
        <f t="shared" si="8"/>
        <v>5.9069100000000008</v>
      </c>
      <c r="F35" s="77">
        <f t="shared" si="9"/>
        <v>14.971739999999999</v>
      </c>
      <c r="G35" s="77">
        <f t="shared" si="10"/>
        <v>0.59770000000000001</v>
      </c>
      <c r="H35" s="77">
        <f t="shared" si="10"/>
        <v>2.0554000000000001</v>
      </c>
      <c r="I35" s="77">
        <f t="shared" si="10"/>
        <v>0.32507999999999998</v>
      </c>
      <c r="J35" s="77">
        <f t="shared" si="10"/>
        <v>1.2727999999999998E-2</v>
      </c>
      <c r="K35" s="77">
        <f t="shared" si="10"/>
        <v>2.4939999999999997E-3</v>
      </c>
      <c r="L35" s="77">
        <f t="shared" si="10"/>
        <v>0.24510000000000001</v>
      </c>
      <c r="M35" s="77">
        <f t="shared" si="10"/>
        <v>0.14533999999999997</v>
      </c>
      <c r="N35" s="77">
        <f t="shared" si="10"/>
        <v>1685.6</v>
      </c>
      <c r="O35" s="77">
        <f t="shared" si="10"/>
        <v>197.79999999999998</v>
      </c>
      <c r="P35" s="77">
        <f t="shared" si="10"/>
        <v>0</v>
      </c>
      <c r="Q35" s="77">
        <f t="shared" si="11"/>
        <v>160.17499999999998</v>
      </c>
      <c r="R35" s="77">
        <f t="shared" si="12"/>
        <v>0</v>
      </c>
      <c r="S35" s="77">
        <f t="shared" si="12"/>
        <v>0.53749999999999998</v>
      </c>
      <c r="T35" s="77">
        <f t="shared" si="12"/>
        <v>0</v>
      </c>
      <c r="U35" s="77">
        <f t="shared" si="12"/>
        <v>0</v>
      </c>
      <c r="AB35" s="59"/>
      <c r="AC35" s="59"/>
      <c r="AD35" s="59"/>
      <c r="AE35" s="59"/>
      <c r="AF35" s="59"/>
      <c r="AG35" s="59"/>
      <c r="AH35" s="59"/>
      <c r="AI35" s="59"/>
    </row>
    <row r="36" spans="1:35" s="72" customFormat="1" ht="13" x14ac:dyDescent="0.35">
      <c r="A36" s="13">
        <f>H8</f>
        <v>455</v>
      </c>
      <c r="B36" s="15">
        <v>50</v>
      </c>
      <c r="C36" s="77">
        <f t="shared" si="6"/>
        <v>95.46</v>
      </c>
      <c r="D36" s="77">
        <f t="shared" si="7"/>
        <v>35.858731999999989</v>
      </c>
      <c r="E36" s="77">
        <f t="shared" si="8"/>
        <v>5.9069100000000008</v>
      </c>
      <c r="F36" s="77">
        <f t="shared" si="9"/>
        <v>14.971739999999999</v>
      </c>
      <c r="G36" s="77">
        <f t="shared" si="10"/>
        <v>0.59770000000000001</v>
      </c>
      <c r="H36" s="77">
        <f t="shared" si="10"/>
        <v>2.0554000000000001</v>
      </c>
      <c r="I36" s="77">
        <f t="shared" si="10"/>
        <v>0.32507999999999998</v>
      </c>
      <c r="J36" s="77">
        <f t="shared" si="10"/>
        <v>1.2727999999999998E-2</v>
      </c>
      <c r="K36" s="77">
        <f t="shared" si="10"/>
        <v>2.4939999999999997E-3</v>
      </c>
      <c r="L36" s="77">
        <f t="shared" si="10"/>
        <v>0.24510000000000001</v>
      </c>
      <c r="M36" s="77">
        <f t="shared" si="10"/>
        <v>0.14533999999999997</v>
      </c>
      <c r="N36" s="77">
        <f t="shared" si="10"/>
        <v>1685.6</v>
      </c>
      <c r="O36" s="77">
        <f t="shared" si="10"/>
        <v>197.79999999999998</v>
      </c>
      <c r="P36" s="77">
        <f t="shared" si="10"/>
        <v>0</v>
      </c>
      <c r="Q36" s="77">
        <f t="shared" si="11"/>
        <v>160.17499999999998</v>
      </c>
      <c r="R36" s="77">
        <f t="shared" si="12"/>
        <v>0</v>
      </c>
      <c r="S36" s="77">
        <f t="shared" si="12"/>
        <v>0.53749999999999998</v>
      </c>
      <c r="T36" s="77">
        <f t="shared" si="12"/>
        <v>0</v>
      </c>
      <c r="U36" s="77">
        <f t="shared" si="12"/>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6201</v>
      </c>
      <c r="C57" s="8">
        <f t="shared" ref="C57:U57" si="13">D8</f>
        <v>3907</v>
      </c>
      <c r="D57" s="8">
        <f t="shared" si="13"/>
        <v>415</v>
      </c>
      <c r="E57" s="8">
        <f t="shared" si="13"/>
        <v>1163</v>
      </c>
      <c r="F57" s="8">
        <f t="shared" si="13"/>
        <v>173</v>
      </c>
      <c r="G57" s="8">
        <f t="shared" si="13"/>
        <v>455</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8.1999999999999993</v>
      </c>
      <c r="C60" s="76">
        <f t="shared" ref="C60:U60" si="14">D10</f>
        <v>8</v>
      </c>
      <c r="D60" s="76">
        <f t="shared" si="14"/>
        <v>7.9</v>
      </c>
      <c r="E60" s="76">
        <f t="shared" si="14"/>
        <v>8.1</v>
      </c>
      <c r="F60" s="76">
        <f t="shared" si="14"/>
        <v>8</v>
      </c>
      <c r="G60" s="76">
        <f t="shared" si="14"/>
        <v>7.7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50</v>
      </c>
      <c r="C62" s="77">
        <f>B32</f>
        <v>50</v>
      </c>
      <c r="D62" s="77">
        <f>B33</f>
        <v>50</v>
      </c>
      <c r="E62" s="77">
        <f>B34</f>
        <v>50</v>
      </c>
      <c r="F62" s="77">
        <f>B35</f>
        <v>50</v>
      </c>
      <c r="G62" s="77">
        <f>B36</f>
        <v>50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-11.999999999999995</v>
      </c>
      <c r="C64" s="77">
        <f t="shared" ref="C64:U64" si="17">(C59-C60)*C61</f>
        <v>-10.799999999999999</v>
      </c>
      <c r="D64" s="77">
        <f t="shared" si="17"/>
        <v>-10.200000000000001</v>
      </c>
      <c r="E64" s="77">
        <f t="shared" si="17"/>
        <v>-11.399999999999997</v>
      </c>
      <c r="F64" s="77">
        <f t="shared" si="17"/>
        <v>-10.799999999999999</v>
      </c>
      <c r="G64" s="77">
        <f t="shared" si="17"/>
        <v>-9</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11.999999999999995</v>
      </c>
      <c r="C65" s="77">
        <f t="shared" ref="C65:U65" si="18">C63-C64</f>
        <v>10.799999999999999</v>
      </c>
      <c r="D65" s="77">
        <f t="shared" si="18"/>
        <v>10.200000000000001</v>
      </c>
      <c r="E65" s="77">
        <f t="shared" si="18"/>
        <v>11.399999999999997</v>
      </c>
      <c r="F65" s="77">
        <f t="shared" si="18"/>
        <v>10.799999999999999</v>
      </c>
      <c r="G65" s="77">
        <f t="shared" si="18"/>
        <v>9</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25" sqref="B2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PAN-018834</v>
      </c>
      <c r="D1" s="141"/>
      <c r="E1" s="93" t="s">
        <v>45</v>
      </c>
      <c r="F1" s="39">
        <f>'Field data and Waste 1'!F1</f>
        <v>15.7</v>
      </c>
      <c r="G1" s="120" t="s">
        <v>43</v>
      </c>
      <c r="H1" s="121"/>
      <c r="I1" s="118">
        <v>7.1</v>
      </c>
      <c r="J1" s="119" t="s">
        <v>153</v>
      </c>
      <c r="K1" s="119"/>
      <c r="L1" s="97">
        <v>514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t="s">
        <v>162</v>
      </c>
      <c r="G2" s="138" t="s">
        <v>110</v>
      </c>
      <c r="H2" s="139"/>
      <c r="I2" s="118"/>
      <c r="J2" s="119" t="s">
        <v>158</v>
      </c>
      <c r="K2" s="119"/>
      <c r="L2" s="97">
        <v>1.33</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v>
      </c>
      <c r="D3" s="143"/>
      <c r="E3" s="93" t="s">
        <v>108</v>
      </c>
      <c r="F3" s="31" t="s">
        <v>77</v>
      </c>
      <c r="G3" s="119" t="s">
        <v>159</v>
      </c>
      <c r="H3" s="119"/>
      <c r="I3" s="118"/>
      <c r="J3" s="120" t="s">
        <v>154</v>
      </c>
      <c r="K3" s="121"/>
      <c r="L3" s="97">
        <f>(L1/(L2*10000))*100</f>
        <v>3.8646616541353382</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Abergelli Farm 2, Felindre, Swansea, SA5 7NN</v>
      </c>
      <c r="D4" s="141"/>
      <c r="E4" s="94" t="s">
        <v>1</v>
      </c>
      <c r="F4" s="96" t="s">
        <v>161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6201</v>
      </c>
      <c r="D8" s="60">
        <f>'Field data and Waste 1'!D8</f>
        <v>3907</v>
      </c>
      <c r="E8" s="60">
        <f>'Field data and Waste 1'!E8</f>
        <v>415</v>
      </c>
      <c r="F8" s="60">
        <f>'Field data and Waste 1'!F8</f>
        <v>1163</v>
      </c>
      <c r="G8" s="60">
        <f>'Field data and Waste 1'!G8</f>
        <v>173</v>
      </c>
      <c r="H8" s="60">
        <f>'Field data and Waste 1'!H8</f>
        <v>455</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8.1999999999999993</v>
      </c>
      <c r="D10" s="60">
        <f>'Field data and Waste 1'!D10</f>
        <v>8</v>
      </c>
      <c r="E10" s="60">
        <f>'Field data and Waste 1'!E10</f>
        <v>7.9</v>
      </c>
      <c r="F10" s="60">
        <f>'Field data and Waste 1'!F10</f>
        <v>8.1</v>
      </c>
      <c r="G10" s="60">
        <f>'Field data and Waste 1'!G10</f>
        <v>8</v>
      </c>
      <c r="H10" s="60">
        <f>'Field data and Waste 1'!H10</f>
        <v>7.7</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0</v>
      </c>
      <c r="E11" s="60">
        <f>'Field data and Waste 1'!E11</f>
        <v>1</v>
      </c>
      <c r="F11" s="60">
        <f>'Field data and Waste 1'!F11</f>
        <v>0</v>
      </c>
      <c r="G11" s="60">
        <f>'Field data and Waste 1'!G11</f>
        <v>0</v>
      </c>
      <c r="H11" s="60">
        <f>'Field data and Waste 1'!H11</f>
        <v>2</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0</v>
      </c>
      <c r="D12" s="60">
        <f>'Field data and Waste 1'!D12</f>
        <v>0</v>
      </c>
      <c r="E12" s="60">
        <f>'Field data and Waste 1'!E12</f>
        <v>1</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2.0687730000000002</v>
      </c>
      <c r="D18" s="16">
        <f>$D32</f>
        <v>2.0687730000000002</v>
      </c>
      <c r="E18" s="16">
        <f>$D33</f>
        <v>2.0687730000000002</v>
      </c>
      <c r="F18" s="16">
        <f>$D34</f>
        <v>2.0687730000000002</v>
      </c>
      <c r="G18" s="16">
        <f>$D35</f>
        <v>2.0687730000000002</v>
      </c>
      <c r="H18" s="16">
        <f>$D36</f>
        <v>2.0687730000000002</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-18.331226999999998</v>
      </c>
      <c r="D19" s="16">
        <f t="shared" ref="D19:V19" si="1">D18-D17</f>
        <v>-18.331226999999998</v>
      </c>
      <c r="E19" s="16">
        <f t="shared" si="1"/>
        <v>-18.331226999999998</v>
      </c>
      <c r="F19" s="16">
        <f t="shared" si="1"/>
        <v>-18.331226999999998</v>
      </c>
      <c r="G19" s="16">
        <f t="shared" si="1"/>
        <v>-18.331226999999998</v>
      </c>
      <c r="H19" s="16">
        <f t="shared" si="1"/>
        <v>-18.331226999999998</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72</v>
      </c>
      <c r="D21" s="28">
        <f t="shared" ref="D21:V21" si="2">(VLOOKUP(D$14,$AI2:$AK26,3,FALSE))*D$15</f>
        <v>72</v>
      </c>
      <c r="E21" s="28">
        <f t="shared" si="2"/>
        <v>72</v>
      </c>
      <c r="F21" s="28">
        <f t="shared" si="2"/>
        <v>72</v>
      </c>
      <c r="G21" s="28">
        <f t="shared" si="2"/>
        <v>72</v>
      </c>
      <c r="H21" s="28">
        <f t="shared" si="2"/>
        <v>72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3.5286015000000002</v>
      </c>
      <c r="D22" s="16">
        <f>$E32</f>
        <v>3.5286015000000002</v>
      </c>
      <c r="E22" s="16">
        <f>$E33</f>
        <v>3.5286015000000002</v>
      </c>
      <c r="F22" s="16">
        <f>$E34</f>
        <v>3.5286015000000002</v>
      </c>
      <c r="G22" s="16">
        <f>$E35</f>
        <v>3.5286015000000002</v>
      </c>
      <c r="H22" s="16">
        <f>$E36</f>
        <v>3.5286015000000002</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-68.471398500000006</v>
      </c>
      <c r="D23" s="16">
        <f t="shared" ref="D23:V23" si="3">D22-D21</f>
        <v>-68.471398500000006</v>
      </c>
      <c r="E23" s="16">
        <f t="shared" si="3"/>
        <v>-68.471398500000006</v>
      </c>
      <c r="F23" s="16">
        <f t="shared" si="3"/>
        <v>-68.471398500000006</v>
      </c>
      <c r="G23" s="16">
        <f t="shared" si="3"/>
        <v>-68.471398500000006</v>
      </c>
      <c r="H23" s="16">
        <f t="shared" si="3"/>
        <v>-68.471398500000006</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2.58</v>
      </c>
      <c r="C28" s="15">
        <v>1.33</v>
      </c>
      <c r="D28" s="15">
        <v>1.4E-2</v>
      </c>
      <c r="E28" s="15">
        <v>4.5400000000000003E-2</v>
      </c>
      <c r="F28" s="15">
        <v>775</v>
      </c>
      <c r="G28" s="15">
        <v>46.4</v>
      </c>
      <c r="H28" s="15">
        <v>297</v>
      </c>
      <c r="I28" s="15">
        <v>6.2</v>
      </c>
      <c r="J28" s="15">
        <v>1.41</v>
      </c>
      <c r="K28" s="23">
        <v>0.77</v>
      </c>
      <c r="L28" s="15">
        <v>16.600000000000001</v>
      </c>
      <c r="M28" s="15">
        <v>5.34</v>
      </c>
      <c r="N28" s="15">
        <v>213000</v>
      </c>
      <c r="O28" s="15">
        <v>17600</v>
      </c>
      <c r="P28" s="15"/>
      <c r="Q28" s="15">
        <v>7410</v>
      </c>
      <c r="R28" s="15"/>
      <c r="S28" s="15">
        <v>19.8</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6201</v>
      </c>
      <c r="B31" s="15">
        <v>250</v>
      </c>
      <c r="C31" s="77">
        <f>IF(C$27="%w/w SAR",((C$28*10)*$B31),IF(C$27="%w/w DM",(((C$28*10)*($B$28/100))*$B31),IF(C$27="kg/t SAR",(C$28*$B31),IF(C$27="kg/t DM",((C$28*($B$28/100))*$B31),IF(C$27="mg/kg SAR",((C$28*0.001)*$B31),IF(C$27="mg/kg DM",(((C$28*0.001)*($B$28/100))*$B31),0))))))</f>
        <v>85.784999999999997</v>
      </c>
      <c r="D31" s="77">
        <f>(IF(D$27="%w/w SAR",((D$28*10)*$B31),IF(D$27="%w/w DM",(((D$28*10)*($B$28/100))*$B31),IF(D$27="kg/t SAR",(D$28*$B31),IF(D$27="kg/t DM",((D$28*($B$28/100))*$B31),IF(D$27="mg/kg SAR",((D$28*0.001)*$B31),IF(D$27="mg/kg DM",(((D$28*0.001)*($B$28/100))*$B31),"0")))))))*2.291</f>
        <v>2.0687730000000002</v>
      </c>
      <c r="E31" s="77">
        <f>(IF(E$27="%w/w SAR",((E$28*10)*$B31),IF(E$27="%w/w DM",(((E$28*10)*($B$28/100))*$B31),IF(E$27="kg/t SAR",(E$28*$B31),IF(E$27="kg/t DM",((E$28*($B$28/100))*$B31),IF(E$27="mg/kg SAR",((E$28*0.001)*$B31),IF(E$27="mg/kg DM",(((E$28*0.001)*($B$28/100))*$B31),"0")))))))*1.205</f>
        <v>3.5286015000000002</v>
      </c>
      <c r="F31" s="77">
        <f>(IF(F$27="%w/w SAR",((F$28*10)*$B31),IF(F$27="%w/w DM",(((F$28*10)*($B$28/100))*$B31),IF(F$27="kg/t SAR",(F$28*$B31),IF(F$27="kg/t DM",((F$28*($B$28/100))*$B31),IF(F$27="mg/kg SAR",((F$28*0.001)*$B31),IF(F$27="mg/kg DM",(((F$28*0.001)*($B$28/100))*$B31),"0")))))))*1.658</f>
        <v>8.2879274999999986</v>
      </c>
      <c r="G31" s="77">
        <f t="shared" ref="G31:P46" si="5">IF(G$27="%w/w SAR",((G$28*10)*$B31),IF(G$27="%w/w DM",(((G$28*10)*($B$28/100))*$B31),IF(G$27="kg/t SAR",(G$28*$B31),IF(G$27="kg/t DM",((G$28*($B$28/100))*$B31),IF(G$27="mg/kg SAR",((G$28*0.001)*$B31),IF(G$27="mg/kg DM",(((G$28*0.001)*($B$28/100))*$B31),0))))))</f>
        <v>0.29927999999999999</v>
      </c>
      <c r="H31" s="77">
        <f t="shared" si="5"/>
        <v>1.9156499999999999</v>
      </c>
      <c r="I31" s="77">
        <f t="shared" si="5"/>
        <v>3.9990000000000005E-2</v>
      </c>
      <c r="J31" s="77">
        <f t="shared" si="5"/>
        <v>9.0945000000000002E-3</v>
      </c>
      <c r="K31" s="77">
        <f t="shared" si="5"/>
        <v>4.9665000000000004E-3</v>
      </c>
      <c r="L31" s="77">
        <f t="shared" si="5"/>
        <v>0.10707</v>
      </c>
      <c r="M31" s="77">
        <f t="shared" si="5"/>
        <v>3.4443000000000001E-2</v>
      </c>
      <c r="N31" s="77">
        <f t="shared" si="5"/>
        <v>1373.85</v>
      </c>
      <c r="O31" s="77">
        <f t="shared" si="5"/>
        <v>113.52000000000001</v>
      </c>
      <c r="P31" s="77">
        <f t="shared" si="5"/>
        <v>0</v>
      </c>
      <c r="Q31" s="77">
        <f>(IF(Q$27="%w/w SAR",((Q$28*10)*$B31),IF(Q$27="%w/w DM",(((Q$28*10)*($B$28/100))*$B31),IF(Q$27="kg/t SAR",(Q$28*$B31),IF(Q$27="kg/t DM",((Q$28*($B$28/100))*$B31),IF(Q$27="mg/kg SAR",((Q$28*0.001)*$B31),IF(Q$27="mg/kg DM",(((Q$28*0.001)*($B$28/100))*$B31),0)))))))*2.5</f>
        <v>119.48625000000001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0.12771000000000002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3907</v>
      </c>
      <c r="B32" s="15">
        <v>250</v>
      </c>
      <c r="C32" s="77">
        <f t="shared" ref="C32:C50" si="6">IF(C$27="%w/w SAR",((C$28*10)*$B32),IF(C$27="%w/w DM",(((C$28*10)*($B$28/100))*$B32),IF(C$27="kg/t SAR",(C$28*$B32),IF(C$27="kg/t DM",((C$28*($B$28/100))*$B32),IF(C$27="mg/kg SAR",((C$28*0.001)*$B32),IF(C$27="mg/kg DM",(((C$28*0.001)*($B$28/100))*$B32),0))))))</f>
        <v>85.784999999999997</v>
      </c>
      <c r="D32" s="77">
        <f t="shared" ref="D32:D50" si="7">(IF(D$27="%w/w SAR",((D$28*10)*$B32),IF(D$27="%w/w DM",(((D$28*10)*($B$28/100))*$B32),IF(D$27="kg/t SAR",(D$28*$B32),IF(D$27="kg/t DM",((D$28*($B$28/100))*$B32),IF(D$27="mg/kg SAR",((D$28*0.001)*$B32),IF(D$27="mg/kg DM",(((D$28*0.001)*($B$28/100))*$B32),"0")))))))*2.291</f>
        <v>2.0687730000000002</v>
      </c>
      <c r="E32" s="77">
        <f t="shared" ref="E32:E50" si="8">(IF(E$27="%w/w SAR",((E$28*10)*$B32),IF(E$27="%w/w DM",(((E$28*10)*($B$28/100))*$B32),IF(E$27="kg/t SAR",(E$28*$B32),IF(E$27="kg/t DM",((E$28*($B$28/100))*$B32),IF(E$27="mg/kg SAR",((E$28*0.001)*$B32),IF(E$27="mg/kg DM",(((E$28*0.001)*($B$28/100))*$B32),"0")))))))*1.205</f>
        <v>3.5286015000000002</v>
      </c>
      <c r="F32" s="77">
        <f t="shared" ref="F32:F50" si="9">(IF(F$27="%w/w SAR",((F$28*10)*$B32),IF(F$27="%w/w DM",(((F$28*10)*($B$28/100))*$B32),IF(F$27="kg/t SAR",(F$28*$B32),IF(F$27="kg/t DM",((F$28*($B$28/100))*$B32),IF(F$27="mg/kg SAR",((F$28*0.001)*$B32),IF(F$27="mg/kg DM",(((F$28*0.001)*($B$28/100))*$B32),"0")))))))*1.658</f>
        <v>8.2879274999999986</v>
      </c>
      <c r="G32" s="77">
        <f t="shared" si="5"/>
        <v>0.29927999999999999</v>
      </c>
      <c r="H32" s="77">
        <f t="shared" si="5"/>
        <v>1.9156499999999999</v>
      </c>
      <c r="I32" s="77">
        <f t="shared" si="5"/>
        <v>3.9990000000000005E-2</v>
      </c>
      <c r="J32" s="77">
        <f t="shared" si="5"/>
        <v>9.0945000000000002E-3</v>
      </c>
      <c r="K32" s="77">
        <f t="shared" si="5"/>
        <v>4.9665000000000004E-3</v>
      </c>
      <c r="L32" s="77">
        <f t="shared" si="5"/>
        <v>0.10707</v>
      </c>
      <c r="M32" s="77">
        <f t="shared" si="5"/>
        <v>3.4443000000000001E-2</v>
      </c>
      <c r="N32" s="77">
        <f t="shared" si="5"/>
        <v>1373.85</v>
      </c>
      <c r="O32" s="77">
        <f t="shared" si="5"/>
        <v>113.52000000000001</v>
      </c>
      <c r="P32" s="77">
        <f t="shared" si="5"/>
        <v>0</v>
      </c>
      <c r="Q32" s="77">
        <f t="shared" ref="Q32:Q50" si="10">(IF(Q$27="%w/w SAR",((Q$28*10)*$B32),IF(Q$27="%w/w DM",(((Q$28*10)*($B$28/100))*$B32),IF(Q$27="kg/t SAR",(Q$28*$B32),IF(Q$27="kg/t DM",((Q$28*($B$28/100))*$B32),IF(Q$27="mg/kg SAR",((Q$28*0.001)*$B32),IF(Q$27="mg/kg DM",(((Q$28*0.001)*($B$28/100))*$B32),0)))))))*2.5</f>
        <v>119.48625000000001</v>
      </c>
      <c r="R32" s="77">
        <f t="shared" ref="R32:U50" si="11">IF(R$27="%w/w SAR",((R$28*10)*$B32),IF(R$27="%w/w DM",(((R$28*10)*($B$28/100))*$B32),IF(R$27="kg/t SAR",(R$28*$B32),IF(R$27="kg/t DM",((R$28*($B$28/100))*$B32),IF(R$27="mg/kg SAR",((R$28*0.001)*$B32),IF(R$27="mg/kg DM",(((R$28*0.001)*($B$28/100))*$B32),0))))))</f>
        <v>0</v>
      </c>
      <c r="S32" s="77">
        <f t="shared" si="11"/>
        <v>0.12771000000000002</v>
      </c>
      <c r="T32" s="77">
        <f t="shared" si="11"/>
        <v>0</v>
      </c>
      <c r="U32" s="77">
        <f t="shared" si="11"/>
        <v>0</v>
      </c>
      <c r="AB32" s="59"/>
      <c r="AC32" s="59"/>
      <c r="AD32" s="59"/>
      <c r="AE32" s="59"/>
      <c r="AF32" s="59"/>
      <c r="AG32" s="59"/>
      <c r="AH32" s="59"/>
      <c r="AI32" s="59"/>
    </row>
    <row r="33" spans="1:35" s="72" customFormat="1" ht="13" x14ac:dyDescent="0.35">
      <c r="A33" s="13">
        <f>E8</f>
        <v>415</v>
      </c>
      <c r="B33" s="15">
        <v>250</v>
      </c>
      <c r="C33" s="77">
        <f t="shared" si="6"/>
        <v>85.784999999999997</v>
      </c>
      <c r="D33" s="77">
        <f t="shared" si="7"/>
        <v>2.0687730000000002</v>
      </c>
      <c r="E33" s="77">
        <f t="shared" si="8"/>
        <v>3.5286015000000002</v>
      </c>
      <c r="F33" s="77">
        <f t="shared" si="9"/>
        <v>8.2879274999999986</v>
      </c>
      <c r="G33" s="77">
        <f t="shared" si="5"/>
        <v>0.29927999999999999</v>
      </c>
      <c r="H33" s="77">
        <f t="shared" si="5"/>
        <v>1.9156499999999999</v>
      </c>
      <c r="I33" s="77">
        <f t="shared" si="5"/>
        <v>3.9990000000000005E-2</v>
      </c>
      <c r="J33" s="77">
        <f t="shared" si="5"/>
        <v>9.0945000000000002E-3</v>
      </c>
      <c r="K33" s="77">
        <f t="shared" si="5"/>
        <v>4.9665000000000004E-3</v>
      </c>
      <c r="L33" s="77">
        <f t="shared" si="5"/>
        <v>0.10707</v>
      </c>
      <c r="M33" s="77">
        <f t="shared" si="5"/>
        <v>3.4443000000000001E-2</v>
      </c>
      <c r="N33" s="77">
        <f t="shared" si="5"/>
        <v>1373.85</v>
      </c>
      <c r="O33" s="77">
        <f t="shared" si="5"/>
        <v>113.52000000000001</v>
      </c>
      <c r="P33" s="77">
        <f t="shared" si="5"/>
        <v>0</v>
      </c>
      <c r="Q33" s="77">
        <f t="shared" si="10"/>
        <v>119.48625000000001</v>
      </c>
      <c r="R33" s="77">
        <f t="shared" si="11"/>
        <v>0</v>
      </c>
      <c r="S33" s="77">
        <f t="shared" si="11"/>
        <v>0.12771000000000002</v>
      </c>
      <c r="T33" s="77">
        <f t="shared" si="11"/>
        <v>0</v>
      </c>
      <c r="U33" s="77">
        <f t="shared" si="11"/>
        <v>0</v>
      </c>
      <c r="AB33" s="59"/>
      <c r="AC33" s="59"/>
      <c r="AD33" s="59"/>
      <c r="AE33" s="59"/>
      <c r="AF33" s="59"/>
      <c r="AG33" s="59"/>
      <c r="AH33" s="59"/>
      <c r="AI33" s="59"/>
    </row>
    <row r="34" spans="1:35" s="72" customFormat="1" ht="13" x14ac:dyDescent="0.35">
      <c r="A34" s="13">
        <f>F8</f>
        <v>1163</v>
      </c>
      <c r="B34" s="15">
        <v>250</v>
      </c>
      <c r="C34" s="77">
        <f t="shared" si="6"/>
        <v>85.784999999999997</v>
      </c>
      <c r="D34" s="77">
        <f t="shared" si="7"/>
        <v>2.0687730000000002</v>
      </c>
      <c r="E34" s="77">
        <f t="shared" si="8"/>
        <v>3.5286015000000002</v>
      </c>
      <c r="F34" s="77">
        <f t="shared" si="9"/>
        <v>8.2879274999999986</v>
      </c>
      <c r="G34" s="77">
        <f t="shared" si="5"/>
        <v>0.29927999999999999</v>
      </c>
      <c r="H34" s="77">
        <f t="shared" si="5"/>
        <v>1.9156499999999999</v>
      </c>
      <c r="I34" s="77">
        <f t="shared" si="5"/>
        <v>3.9990000000000005E-2</v>
      </c>
      <c r="J34" s="77">
        <f t="shared" si="5"/>
        <v>9.0945000000000002E-3</v>
      </c>
      <c r="K34" s="77">
        <f t="shared" si="5"/>
        <v>4.9665000000000004E-3</v>
      </c>
      <c r="L34" s="77">
        <f t="shared" si="5"/>
        <v>0.10707</v>
      </c>
      <c r="M34" s="77">
        <f t="shared" si="5"/>
        <v>3.4443000000000001E-2</v>
      </c>
      <c r="N34" s="77">
        <f t="shared" si="5"/>
        <v>1373.85</v>
      </c>
      <c r="O34" s="77">
        <f t="shared" si="5"/>
        <v>113.52000000000001</v>
      </c>
      <c r="P34" s="77">
        <f t="shared" si="5"/>
        <v>0</v>
      </c>
      <c r="Q34" s="77">
        <f t="shared" si="10"/>
        <v>119.48625000000001</v>
      </c>
      <c r="R34" s="77">
        <f t="shared" si="11"/>
        <v>0</v>
      </c>
      <c r="S34" s="77">
        <f t="shared" si="11"/>
        <v>0.12771000000000002</v>
      </c>
      <c r="T34" s="77">
        <f t="shared" si="11"/>
        <v>0</v>
      </c>
      <c r="U34" s="77">
        <f t="shared" si="11"/>
        <v>0</v>
      </c>
      <c r="AB34" s="59"/>
      <c r="AC34" s="59"/>
      <c r="AD34" s="59"/>
      <c r="AE34" s="59"/>
      <c r="AF34" s="59"/>
      <c r="AG34" s="59"/>
      <c r="AH34" s="59"/>
      <c r="AI34" s="59"/>
    </row>
    <row r="35" spans="1:35" s="72" customFormat="1" ht="13" x14ac:dyDescent="0.35">
      <c r="A35" s="13">
        <f>G8</f>
        <v>173</v>
      </c>
      <c r="B35" s="15">
        <v>250</v>
      </c>
      <c r="C35" s="77">
        <f t="shared" si="6"/>
        <v>85.784999999999997</v>
      </c>
      <c r="D35" s="77">
        <f t="shared" si="7"/>
        <v>2.0687730000000002</v>
      </c>
      <c r="E35" s="77">
        <f t="shared" si="8"/>
        <v>3.5286015000000002</v>
      </c>
      <c r="F35" s="77">
        <f t="shared" si="9"/>
        <v>8.2879274999999986</v>
      </c>
      <c r="G35" s="77">
        <f t="shared" si="5"/>
        <v>0.29927999999999999</v>
      </c>
      <c r="H35" s="77">
        <f t="shared" si="5"/>
        <v>1.9156499999999999</v>
      </c>
      <c r="I35" s="77">
        <f t="shared" si="5"/>
        <v>3.9990000000000005E-2</v>
      </c>
      <c r="J35" s="77">
        <f t="shared" si="5"/>
        <v>9.0945000000000002E-3</v>
      </c>
      <c r="K35" s="77">
        <f t="shared" si="5"/>
        <v>4.9665000000000004E-3</v>
      </c>
      <c r="L35" s="77">
        <f t="shared" si="5"/>
        <v>0.10707</v>
      </c>
      <c r="M35" s="77">
        <f t="shared" si="5"/>
        <v>3.4443000000000001E-2</v>
      </c>
      <c r="N35" s="77">
        <f t="shared" si="5"/>
        <v>1373.85</v>
      </c>
      <c r="O35" s="77">
        <f t="shared" si="5"/>
        <v>113.52000000000001</v>
      </c>
      <c r="P35" s="77">
        <f t="shared" si="5"/>
        <v>0</v>
      </c>
      <c r="Q35" s="77">
        <f t="shared" si="10"/>
        <v>119.48625000000001</v>
      </c>
      <c r="R35" s="77">
        <f t="shared" si="11"/>
        <v>0</v>
      </c>
      <c r="S35" s="77">
        <f t="shared" si="11"/>
        <v>0.12771000000000002</v>
      </c>
      <c r="T35" s="77">
        <f t="shared" si="11"/>
        <v>0</v>
      </c>
      <c r="U35" s="77">
        <f t="shared" si="11"/>
        <v>0</v>
      </c>
      <c r="AB35" s="59"/>
      <c r="AC35" s="59"/>
      <c r="AD35" s="59"/>
      <c r="AE35" s="59"/>
      <c r="AF35" s="59"/>
      <c r="AG35" s="59"/>
      <c r="AH35" s="59"/>
      <c r="AI35" s="59"/>
    </row>
    <row r="36" spans="1:35" s="72" customFormat="1" ht="13" x14ac:dyDescent="0.35">
      <c r="A36" s="13">
        <f>H8</f>
        <v>455</v>
      </c>
      <c r="B36" s="15">
        <v>250</v>
      </c>
      <c r="C36" s="77">
        <f t="shared" si="6"/>
        <v>85.784999999999997</v>
      </c>
      <c r="D36" s="77">
        <f t="shared" si="7"/>
        <v>2.0687730000000002</v>
      </c>
      <c r="E36" s="77">
        <f t="shared" si="8"/>
        <v>3.5286015000000002</v>
      </c>
      <c r="F36" s="77">
        <f t="shared" si="9"/>
        <v>8.2879274999999986</v>
      </c>
      <c r="G36" s="77">
        <f t="shared" si="5"/>
        <v>0.29927999999999999</v>
      </c>
      <c r="H36" s="77">
        <f t="shared" si="5"/>
        <v>1.9156499999999999</v>
      </c>
      <c r="I36" s="77">
        <f t="shared" si="5"/>
        <v>3.9990000000000005E-2</v>
      </c>
      <c r="J36" s="77">
        <f t="shared" si="5"/>
        <v>9.0945000000000002E-3</v>
      </c>
      <c r="K36" s="77">
        <f t="shared" si="5"/>
        <v>4.9665000000000004E-3</v>
      </c>
      <c r="L36" s="77">
        <f t="shared" si="5"/>
        <v>0.10707</v>
      </c>
      <c r="M36" s="77">
        <f t="shared" si="5"/>
        <v>3.4443000000000001E-2</v>
      </c>
      <c r="N36" s="77">
        <f t="shared" si="5"/>
        <v>1373.85</v>
      </c>
      <c r="O36" s="77">
        <f t="shared" si="5"/>
        <v>113.52000000000001</v>
      </c>
      <c r="P36" s="77">
        <f t="shared" si="5"/>
        <v>0</v>
      </c>
      <c r="Q36" s="77">
        <f t="shared" si="10"/>
        <v>119.48625000000001</v>
      </c>
      <c r="R36" s="77">
        <f t="shared" si="11"/>
        <v>0</v>
      </c>
      <c r="S36" s="77">
        <f t="shared" si="11"/>
        <v>0.12771000000000002</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6201</v>
      </c>
      <c r="C57" s="8">
        <f t="shared" ref="C57:U57" si="13">D8</f>
        <v>3907</v>
      </c>
      <c r="D57" s="8">
        <f t="shared" si="13"/>
        <v>415</v>
      </c>
      <c r="E57" s="8">
        <f t="shared" si="13"/>
        <v>1163</v>
      </c>
      <c r="F57" s="8">
        <f t="shared" si="13"/>
        <v>173</v>
      </c>
      <c r="G57" s="8">
        <f t="shared" si="13"/>
        <v>455</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8.1999999999999993</v>
      </c>
      <c r="C60" s="76">
        <f t="shared" ref="C60:U60" si="14">D10</f>
        <v>8</v>
      </c>
      <c r="D60" s="76">
        <f t="shared" si="14"/>
        <v>7.9</v>
      </c>
      <c r="E60" s="76">
        <f t="shared" si="14"/>
        <v>8.1</v>
      </c>
      <c r="F60" s="76">
        <f t="shared" si="14"/>
        <v>8</v>
      </c>
      <c r="G60" s="76">
        <f t="shared" si="14"/>
        <v>7.7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-11.999999999999995</v>
      </c>
      <c r="C64" s="77">
        <f t="shared" ref="C64:U64" si="17">(C59-C60)*C61</f>
        <v>-10.799999999999999</v>
      </c>
      <c r="D64" s="77">
        <f t="shared" si="17"/>
        <v>-10.200000000000001</v>
      </c>
      <c r="E64" s="77">
        <f t="shared" si="17"/>
        <v>-11.399999999999997</v>
      </c>
      <c r="F64" s="77">
        <f t="shared" si="17"/>
        <v>-10.799999999999999</v>
      </c>
      <c r="G64" s="77">
        <f t="shared" si="17"/>
        <v>-9</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11.999999999999995</v>
      </c>
      <c r="C65" s="77">
        <f t="shared" ref="C65:U65" si="18">C63-C64</f>
        <v>10.799999999999999</v>
      </c>
      <c r="D65" s="77">
        <f t="shared" si="18"/>
        <v>10.200000000000001</v>
      </c>
      <c r="E65" s="77">
        <f t="shared" si="18"/>
        <v>11.399999999999997</v>
      </c>
      <c r="F65" s="77">
        <f t="shared" si="18"/>
        <v>10.799999999999999</v>
      </c>
      <c r="G65" s="77">
        <f t="shared" si="18"/>
        <v>9</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C1" sqref="C1:D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PAN-018834</v>
      </c>
      <c r="D1" s="141"/>
      <c r="E1" s="93" t="s">
        <v>45</v>
      </c>
      <c r="F1" s="39">
        <f>'Field data and Waste 1'!F1</f>
        <v>15.7</v>
      </c>
      <c r="G1" s="120" t="s">
        <v>43</v>
      </c>
      <c r="H1" s="121"/>
      <c r="I1" s="118">
        <v>8.1</v>
      </c>
      <c r="J1" s="119" t="s">
        <v>153</v>
      </c>
      <c r="K1" s="119"/>
      <c r="L1" s="97">
        <v>3512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t="s">
        <v>164</v>
      </c>
      <c r="G2" s="138" t="s">
        <v>110</v>
      </c>
      <c r="H2" s="139"/>
      <c r="I2" s="118"/>
      <c r="J2" s="119" t="s">
        <v>158</v>
      </c>
      <c r="K2" s="119"/>
      <c r="L2" s="97">
        <v>0.57999999999999996</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v>
      </c>
      <c r="D3" s="143"/>
      <c r="E3" s="93" t="s">
        <v>108</v>
      </c>
      <c r="F3" s="31" t="s">
        <v>78</v>
      </c>
      <c r="G3" s="119" t="s">
        <v>159</v>
      </c>
      <c r="H3" s="119"/>
      <c r="I3" s="118"/>
      <c r="J3" s="120" t="s">
        <v>154</v>
      </c>
      <c r="K3" s="121"/>
      <c r="L3" s="97">
        <f>(L1/(L2*10000))*100</f>
        <v>60.551724137931039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Abergelli Farm 2, Felindre, Swansea, SA5 7NN</v>
      </c>
      <c r="D4" s="141"/>
      <c r="E4" s="94" t="s">
        <v>1</v>
      </c>
      <c r="F4" s="96" t="s">
        <v>163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6201</v>
      </c>
      <c r="D8" s="60">
        <f>'Field data and Waste 1'!D8</f>
        <v>3907</v>
      </c>
      <c r="E8" s="60">
        <f>'Field data and Waste 1'!E8</f>
        <v>415</v>
      </c>
      <c r="F8" s="60">
        <f>'Field data and Waste 1'!F8</f>
        <v>1163</v>
      </c>
      <c r="G8" s="60">
        <f>'Field data and Waste 1'!G8</f>
        <v>173</v>
      </c>
      <c r="H8" s="60">
        <f>'Field data and Waste 1'!H8</f>
        <v>455</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8.1999999999999993</v>
      </c>
      <c r="D10" s="60">
        <f>'Field data and Waste 1'!D10</f>
        <v>8</v>
      </c>
      <c r="E10" s="60">
        <f>'Field data and Waste 1'!E10</f>
        <v>7.9</v>
      </c>
      <c r="F10" s="60">
        <f>'Field data and Waste 1'!F10</f>
        <v>8.1</v>
      </c>
      <c r="G10" s="60">
        <f>'Field data and Waste 1'!G10</f>
        <v>8</v>
      </c>
      <c r="H10" s="60">
        <f>'Field data and Waste 1'!H10</f>
        <v>7.7</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0</v>
      </c>
      <c r="E11" s="60">
        <f>'Field data and Waste 1'!E11</f>
        <v>1</v>
      </c>
      <c r="F11" s="60">
        <f>'Field data and Waste 1'!F11</f>
        <v>0</v>
      </c>
      <c r="G11" s="60">
        <f>'Field data and Waste 1'!G11</f>
        <v>0</v>
      </c>
      <c r="H11" s="60">
        <f>'Field data and Waste 1'!H11</f>
        <v>2</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0</v>
      </c>
      <c r="D12" s="60">
        <f>'Field data and Waste 1'!D12</f>
        <v>0</v>
      </c>
      <c r="E12" s="60">
        <f>'Field data and Waste 1'!E12</f>
        <v>1</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47.089214000000005</v>
      </c>
      <c r="D18" s="16">
        <f>$D32</f>
        <v>47.089214000000005</v>
      </c>
      <c r="E18" s="16">
        <f>$D33</f>
        <v>47.089214000000005</v>
      </c>
      <c r="F18" s="16">
        <f>$D34</f>
        <v>47.089214000000005</v>
      </c>
      <c r="G18" s="16">
        <f>$D35</f>
        <v>47.089214000000005</v>
      </c>
      <c r="H18" s="16">
        <f>$D36</f>
        <v>47.089214000000005</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26.689214000000007</v>
      </c>
      <c r="D19" s="16">
        <f t="shared" ref="D19:V19" si="1">D18-D17</f>
        <v>26.689214000000007</v>
      </c>
      <c r="E19" s="16">
        <f t="shared" si="1"/>
        <v>26.689214000000007</v>
      </c>
      <c r="F19" s="16">
        <f t="shared" si="1"/>
        <v>26.689214000000007</v>
      </c>
      <c r="G19" s="16">
        <f t="shared" si="1"/>
        <v>26.689214000000007</v>
      </c>
      <c r="H19" s="16">
        <f t="shared" si="1"/>
        <v>26.689214000000007</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72</v>
      </c>
      <c r="D21" s="28">
        <f t="shared" ref="D21:V21" si="2">(VLOOKUP(D$14,$AI2:$AK24,3,FALSE))*D$15</f>
        <v>72</v>
      </c>
      <c r="E21" s="28">
        <f t="shared" si="2"/>
        <v>72</v>
      </c>
      <c r="F21" s="28">
        <f t="shared" si="2"/>
        <v>72</v>
      </c>
      <c r="G21" s="28">
        <f t="shared" si="2"/>
        <v>72</v>
      </c>
      <c r="H21" s="28">
        <f t="shared" si="2"/>
        <v>72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101.71284500000002</v>
      </c>
      <c r="D22" s="16">
        <f>$E32</f>
        <v>101.71284500000002</v>
      </c>
      <c r="E22" s="16">
        <f>$E33</f>
        <v>101.71284500000002</v>
      </c>
      <c r="F22" s="16">
        <f>$E34</f>
        <v>101.71284500000002</v>
      </c>
      <c r="G22" s="16">
        <f>$E35</f>
        <v>101.71284500000002</v>
      </c>
      <c r="H22" s="16">
        <f>$E36</f>
        <v>101.71284500000002</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29.712845000000016</v>
      </c>
      <c r="D23" s="16">
        <f t="shared" ref="D23:V23" si="3">D22-D21</f>
        <v>29.712845000000016</v>
      </c>
      <c r="E23" s="16">
        <f t="shared" si="3"/>
        <v>29.712845000000016</v>
      </c>
      <c r="F23" s="16">
        <f t="shared" si="3"/>
        <v>29.712845000000016</v>
      </c>
      <c r="G23" s="16">
        <f t="shared" si="3"/>
        <v>29.712845000000016</v>
      </c>
      <c r="H23" s="16">
        <f t="shared" si="3"/>
        <v>29.712845000000016</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INCREASE</v>
      </c>
      <c r="D24" s="26" t="str">
        <f t="shared" ref="D24:V24" si="4">IF($B31="","",IF(D$23&gt;=0,"INCREASE","DECREASE"))</f>
        <v>INCREASE</v>
      </c>
      <c r="E24" s="26" t="str">
        <f t="shared" si="4"/>
        <v>INCREASE</v>
      </c>
      <c r="F24" s="26" t="str">
        <f t="shared" si="4"/>
        <v>INCREASE</v>
      </c>
      <c r="G24" s="26" t="str">
        <f t="shared" si="4"/>
        <v>INCREASE</v>
      </c>
      <c r="H24" s="26" t="str">
        <f t="shared" si="4"/>
        <v>INCREASE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4.0999999999999996</v>
      </c>
      <c r="C28" s="15">
        <v>0.57999999999999996</v>
      </c>
      <c r="D28" s="15">
        <v>478</v>
      </c>
      <c r="E28" s="15">
        <v>1963</v>
      </c>
      <c r="F28" s="15">
        <v>57.5</v>
      </c>
      <c r="G28" s="15">
        <v>1.2</v>
      </c>
      <c r="H28" s="15">
        <v>7.95</v>
      </c>
      <c r="I28" s="15">
        <v>0.5</v>
      </c>
      <c r="J28" s="15">
        <v>0.02</v>
      </c>
      <c r="K28" s="23">
        <v>0.05</v>
      </c>
      <c r="L28" s="15">
        <v>0.34</v>
      </c>
      <c r="M28" s="15">
        <v>0.41</v>
      </c>
      <c r="N28" s="15"/>
      <c r="O28" s="15"/>
      <c r="P28" s="15"/>
      <c r="Q28" s="15">
        <v>437</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6201</v>
      </c>
      <c r="B31" s="15">
        <v>43</v>
      </c>
      <c r="C31" s="77">
        <f>IF(C$27="%w/w SAR",((C$28*10)*$B31),IF(C$27="%w/w DM",(((C$28*10)*($B$28/100))*$B31),IF(C$27="kg/t SAR",(C$28*$B31),IF(C$27="kg/t DM",((C$28*($B$28/100))*$B31),IF(C$27="mg/kg SAR",((C$28*0.001)*$B31),IF(C$27="mg/kg DM",(((C$28*0.001)*($B$28/100))*$B31),0))))))</f>
        <v>249.4</v>
      </c>
      <c r="D31" s="77">
        <f>(IF(D$27="%w/w SAR",((D$28*10)*$B31),IF(D$27="%w/w DM",(((D$28*10)*($B$28/100))*$B31),IF(D$27="kg/t SAR",(D$28*$B31),IF(D$27="kg/t DM",((D$28*($B$28/100))*$B31),IF(D$27="mg/kg SAR",((D$28*0.001)*$B31),IF(D$27="mg/kg DM",(((D$28*0.001)*($B$28/100))*$B31),"0")))))))*2.291</f>
        <v>47.089214000000005</v>
      </c>
      <c r="E31" s="77">
        <f>(IF(E$27="%w/w SAR",((E$28*10)*$B31),IF(E$27="%w/w DM",(((E$28*10)*($B$28/100))*$B31),IF(E$27="kg/t SAR",(E$28*$B31),IF(E$27="kg/t DM",((E$28*($B$28/100))*$B31),IF(E$27="mg/kg SAR",((E$28*0.001)*$B31),IF(E$27="mg/kg DM",(((E$28*0.001)*($B$28/100))*$B31),"0")))))))*1.205</f>
        <v>101.71284500000002</v>
      </c>
      <c r="F31" s="77">
        <f>(IF(F$27="%w/w SAR",((F$28*10)*$B31),IF(F$27="%w/w DM",(((F$28*10)*($B$28/100))*$B31),IF(F$27="kg/t SAR",(F$28*$B31),IF(F$27="kg/t DM",((F$28*($B$28/100))*$B31),IF(F$27="mg/kg SAR",((F$28*0.001)*$B31),IF(F$27="mg/kg DM",(((F$28*0.001)*($B$28/100))*$B31),"0")))))))*1.658</f>
        <v>4.099405</v>
      </c>
      <c r="G31" s="77">
        <f t="shared" ref="G31:P46" si="5">IF(G$27="%w/w SAR",((G$28*10)*$B31),IF(G$27="%w/w DM",(((G$28*10)*($B$28/100))*$B31),IF(G$27="kg/t SAR",(G$28*$B31),IF(G$27="kg/t DM",((G$28*($B$28/100))*$B31),IF(G$27="mg/kg SAR",((G$28*0.001)*$B31),IF(G$27="mg/kg DM",(((G$28*0.001)*($B$28/100))*$B31),0))))))</f>
        <v>5.1599999999999993E-2</v>
      </c>
      <c r="H31" s="77">
        <f t="shared" si="5"/>
        <v>0.34185000000000004</v>
      </c>
      <c r="I31" s="77">
        <f t="shared" si="5"/>
        <v>2.1500000000000002E-2</v>
      </c>
      <c r="J31" s="77">
        <f t="shared" si="5"/>
        <v>8.6000000000000009E-4</v>
      </c>
      <c r="K31" s="77">
        <f t="shared" si="5"/>
        <v>2.15E-3</v>
      </c>
      <c r="L31" s="77">
        <f t="shared" si="5"/>
        <v>1.4620000000000001E-2</v>
      </c>
      <c r="M31" s="77">
        <f t="shared" si="5"/>
        <v>1.763E-2</v>
      </c>
      <c r="N31" s="77">
        <f t="shared" si="5"/>
        <v>0</v>
      </c>
      <c r="O31" s="77">
        <f t="shared" si="5"/>
        <v>0</v>
      </c>
      <c r="P31" s="77">
        <f t="shared" si="5"/>
        <v>0</v>
      </c>
      <c r="Q31" s="77">
        <f>(IF(Q$27="%w/w SAR",((Q$28*10)*$B31),IF(Q$27="%w/w DM",(((Q$28*10)*($B$28/100))*$B31),IF(Q$27="kg/t SAR",(Q$28*$B31),IF(Q$27="kg/t DM",((Q$28*($B$28/100))*$B31),IF(Q$27="mg/kg SAR",((Q$28*0.001)*$B31),IF(Q$27="mg/kg DM",(((Q$28*0.001)*($B$28/100))*$B31),0)))))))*2.5</f>
        <v>46.977499999999999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3907</v>
      </c>
      <c r="B32" s="15">
        <v>43</v>
      </c>
      <c r="C32" s="77">
        <f t="shared" ref="C32:C50" si="6">IF(C$27="%w/w SAR",((C$28*10)*$B32),IF(C$27="%w/w DM",(((C$28*10)*($B$28/100))*$B32),IF(C$27="kg/t SAR",(C$28*$B32),IF(C$27="kg/t DM",((C$28*($B$28/100))*$B32),IF(C$27="mg/kg SAR",((C$28*0.001)*$B32),IF(C$27="mg/kg DM",(((C$28*0.001)*($B$28/100))*$B32),0))))))</f>
        <v>249.4</v>
      </c>
      <c r="D32" s="77">
        <f t="shared" ref="D32:D50" si="7">(IF(D$27="%w/w SAR",((D$28*10)*$B32),IF(D$27="%w/w DM",(((D$28*10)*($B$28/100))*$B32),IF(D$27="kg/t SAR",(D$28*$B32),IF(D$27="kg/t DM",((D$28*($B$28/100))*$B32),IF(D$27="mg/kg SAR",((D$28*0.001)*$B32),IF(D$27="mg/kg DM",(((D$28*0.001)*($B$28/100))*$B32),"0")))))))*2.291</f>
        <v>47.089214000000005</v>
      </c>
      <c r="E32" s="77">
        <f t="shared" ref="E32:E50" si="8">(IF(E$27="%w/w SAR",((E$28*10)*$B32),IF(E$27="%w/w DM",(((E$28*10)*($B$28/100))*$B32),IF(E$27="kg/t SAR",(E$28*$B32),IF(E$27="kg/t DM",((E$28*($B$28/100))*$B32),IF(E$27="mg/kg SAR",((E$28*0.001)*$B32),IF(E$27="mg/kg DM",(((E$28*0.001)*($B$28/100))*$B32),"0")))))))*1.205</f>
        <v>101.71284500000002</v>
      </c>
      <c r="F32" s="77">
        <f t="shared" ref="F32:F50" si="9">(IF(F$27="%w/w SAR",((F$28*10)*$B32),IF(F$27="%w/w DM",(((F$28*10)*($B$28/100))*$B32),IF(F$27="kg/t SAR",(F$28*$B32),IF(F$27="kg/t DM",((F$28*($B$28/100))*$B32),IF(F$27="mg/kg SAR",((F$28*0.001)*$B32),IF(F$27="mg/kg DM",(((F$28*0.001)*($B$28/100))*$B32),"0")))))))*1.658</f>
        <v>4.099405</v>
      </c>
      <c r="G32" s="77">
        <f t="shared" si="5"/>
        <v>5.1599999999999993E-2</v>
      </c>
      <c r="H32" s="77">
        <f t="shared" si="5"/>
        <v>0.34185000000000004</v>
      </c>
      <c r="I32" s="77">
        <f t="shared" si="5"/>
        <v>2.1500000000000002E-2</v>
      </c>
      <c r="J32" s="77">
        <f t="shared" si="5"/>
        <v>8.6000000000000009E-4</v>
      </c>
      <c r="K32" s="77">
        <f t="shared" si="5"/>
        <v>2.15E-3</v>
      </c>
      <c r="L32" s="77">
        <f t="shared" si="5"/>
        <v>1.4620000000000001E-2</v>
      </c>
      <c r="M32" s="77">
        <f t="shared" si="5"/>
        <v>1.763E-2</v>
      </c>
      <c r="N32" s="77">
        <f t="shared" si="5"/>
        <v>0</v>
      </c>
      <c r="O32" s="77">
        <f t="shared" si="5"/>
        <v>0</v>
      </c>
      <c r="P32" s="77">
        <f t="shared" si="5"/>
        <v>0</v>
      </c>
      <c r="Q32" s="77">
        <f t="shared" ref="Q32:Q50" si="10">(IF(Q$27="%w/w SAR",((Q$28*10)*$B32),IF(Q$27="%w/w DM",(((Q$28*10)*($B$28/100))*$B32),IF(Q$27="kg/t SAR",(Q$28*$B32),IF(Q$27="kg/t DM",((Q$28*($B$28/100))*$B32),IF(Q$27="mg/kg SAR",((Q$28*0.001)*$B32),IF(Q$27="mg/kg DM",(((Q$28*0.001)*($B$28/100))*$B32),0)))))))*2.5</f>
        <v>46.977499999999999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415</v>
      </c>
      <c r="B33" s="15">
        <v>43</v>
      </c>
      <c r="C33" s="77">
        <f t="shared" si="6"/>
        <v>249.4</v>
      </c>
      <c r="D33" s="77">
        <f t="shared" si="7"/>
        <v>47.089214000000005</v>
      </c>
      <c r="E33" s="77">
        <f t="shared" si="8"/>
        <v>101.71284500000002</v>
      </c>
      <c r="F33" s="77">
        <f t="shared" si="9"/>
        <v>4.099405</v>
      </c>
      <c r="G33" s="77">
        <f t="shared" si="5"/>
        <v>5.1599999999999993E-2</v>
      </c>
      <c r="H33" s="77">
        <f t="shared" si="5"/>
        <v>0.34185000000000004</v>
      </c>
      <c r="I33" s="77">
        <f t="shared" si="5"/>
        <v>2.1500000000000002E-2</v>
      </c>
      <c r="J33" s="77">
        <f t="shared" si="5"/>
        <v>8.6000000000000009E-4</v>
      </c>
      <c r="K33" s="77">
        <f t="shared" si="5"/>
        <v>2.15E-3</v>
      </c>
      <c r="L33" s="77">
        <f t="shared" si="5"/>
        <v>1.4620000000000001E-2</v>
      </c>
      <c r="M33" s="77">
        <f t="shared" si="5"/>
        <v>1.763E-2</v>
      </c>
      <c r="N33" s="77">
        <f t="shared" si="5"/>
        <v>0</v>
      </c>
      <c r="O33" s="77">
        <f t="shared" si="5"/>
        <v>0</v>
      </c>
      <c r="P33" s="77">
        <f t="shared" si="5"/>
        <v>0</v>
      </c>
      <c r="Q33" s="77">
        <f t="shared" si="10"/>
        <v>46.977499999999999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1163</v>
      </c>
      <c r="B34" s="15">
        <v>43</v>
      </c>
      <c r="C34" s="77">
        <f t="shared" si="6"/>
        <v>249.4</v>
      </c>
      <c r="D34" s="77">
        <f t="shared" si="7"/>
        <v>47.089214000000005</v>
      </c>
      <c r="E34" s="77">
        <f t="shared" si="8"/>
        <v>101.71284500000002</v>
      </c>
      <c r="F34" s="77">
        <f t="shared" si="9"/>
        <v>4.099405</v>
      </c>
      <c r="G34" s="77">
        <f t="shared" si="5"/>
        <v>5.1599999999999993E-2</v>
      </c>
      <c r="H34" s="77">
        <f t="shared" si="5"/>
        <v>0.34185000000000004</v>
      </c>
      <c r="I34" s="77">
        <f t="shared" si="5"/>
        <v>2.1500000000000002E-2</v>
      </c>
      <c r="J34" s="77">
        <f t="shared" si="5"/>
        <v>8.6000000000000009E-4</v>
      </c>
      <c r="K34" s="77">
        <f t="shared" si="5"/>
        <v>2.15E-3</v>
      </c>
      <c r="L34" s="77">
        <f t="shared" si="5"/>
        <v>1.4620000000000001E-2</v>
      </c>
      <c r="M34" s="77">
        <f t="shared" si="5"/>
        <v>1.763E-2</v>
      </c>
      <c r="N34" s="77">
        <f t="shared" si="5"/>
        <v>0</v>
      </c>
      <c r="O34" s="77">
        <f t="shared" si="5"/>
        <v>0</v>
      </c>
      <c r="P34" s="77">
        <f t="shared" si="5"/>
        <v>0</v>
      </c>
      <c r="Q34" s="77">
        <f t="shared" si="10"/>
        <v>46.977499999999999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173</v>
      </c>
      <c r="B35" s="15">
        <v>43</v>
      </c>
      <c r="C35" s="77">
        <f t="shared" si="6"/>
        <v>249.4</v>
      </c>
      <c r="D35" s="77">
        <f t="shared" si="7"/>
        <v>47.089214000000005</v>
      </c>
      <c r="E35" s="77">
        <f t="shared" si="8"/>
        <v>101.71284500000002</v>
      </c>
      <c r="F35" s="77">
        <f t="shared" si="9"/>
        <v>4.099405</v>
      </c>
      <c r="G35" s="77">
        <f t="shared" si="5"/>
        <v>5.1599999999999993E-2</v>
      </c>
      <c r="H35" s="77">
        <f t="shared" si="5"/>
        <v>0.34185000000000004</v>
      </c>
      <c r="I35" s="77">
        <f t="shared" si="5"/>
        <v>2.1500000000000002E-2</v>
      </c>
      <c r="J35" s="77">
        <f t="shared" si="5"/>
        <v>8.6000000000000009E-4</v>
      </c>
      <c r="K35" s="77">
        <f t="shared" si="5"/>
        <v>2.15E-3</v>
      </c>
      <c r="L35" s="77">
        <f t="shared" si="5"/>
        <v>1.4620000000000001E-2</v>
      </c>
      <c r="M35" s="77">
        <f t="shared" si="5"/>
        <v>1.763E-2</v>
      </c>
      <c r="N35" s="77">
        <f t="shared" si="5"/>
        <v>0</v>
      </c>
      <c r="O35" s="77">
        <f t="shared" si="5"/>
        <v>0</v>
      </c>
      <c r="P35" s="77">
        <f t="shared" si="5"/>
        <v>0</v>
      </c>
      <c r="Q35" s="77">
        <f t="shared" si="10"/>
        <v>46.977499999999999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455</v>
      </c>
      <c r="B36" s="15">
        <v>43</v>
      </c>
      <c r="C36" s="77">
        <f t="shared" si="6"/>
        <v>249.4</v>
      </c>
      <c r="D36" s="77">
        <f t="shared" si="7"/>
        <v>47.089214000000005</v>
      </c>
      <c r="E36" s="77">
        <f t="shared" si="8"/>
        <v>101.71284500000002</v>
      </c>
      <c r="F36" s="77">
        <f t="shared" si="9"/>
        <v>4.099405</v>
      </c>
      <c r="G36" s="77">
        <f t="shared" si="5"/>
        <v>5.1599999999999993E-2</v>
      </c>
      <c r="H36" s="77">
        <f t="shared" si="5"/>
        <v>0.34185000000000004</v>
      </c>
      <c r="I36" s="77">
        <f t="shared" si="5"/>
        <v>2.1500000000000002E-2</v>
      </c>
      <c r="J36" s="77">
        <f t="shared" si="5"/>
        <v>8.6000000000000009E-4</v>
      </c>
      <c r="K36" s="77">
        <f t="shared" si="5"/>
        <v>2.15E-3</v>
      </c>
      <c r="L36" s="77">
        <f t="shared" si="5"/>
        <v>1.4620000000000001E-2</v>
      </c>
      <c r="M36" s="77">
        <f t="shared" si="5"/>
        <v>1.763E-2</v>
      </c>
      <c r="N36" s="77">
        <f t="shared" si="5"/>
        <v>0</v>
      </c>
      <c r="O36" s="77">
        <f t="shared" si="5"/>
        <v>0</v>
      </c>
      <c r="P36" s="77">
        <f t="shared" si="5"/>
        <v>0</v>
      </c>
      <c r="Q36" s="77">
        <f t="shared" si="10"/>
        <v>46.977499999999999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100</v>
      </c>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6201</v>
      </c>
      <c r="C57" s="8">
        <f t="shared" ref="C57:U57" si="13">D8</f>
        <v>3907</v>
      </c>
      <c r="D57" s="8">
        <f t="shared" si="13"/>
        <v>415</v>
      </c>
      <c r="E57" s="8">
        <f t="shared" si="13"/>
        <v>1163</v>
      </c>
      <c r="F57" s="8">
        <f t="shared" si="13"/>
        <v>173</v>
      </c>
      <c r="G57" s="8">
        <f t="shared" si="13"/>
        <v>455</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8.1999999999999993</v>
      </c>
      <c r="C60" s="76">
        <f t="shared" ref="C60:U60" si="14">D10</f>
        <v>8</v>
      </c>
      <c r="D60" s="76">
        <f t="shared" si="14"/>
        <v>7.9</v>
      </c>
      <c r="E60" s="76">
        <f t="shared" si="14"/>
        <v>8.1</v>
      </c>
      <c r="F60" s="76">
        <f t="shared" si="14"/>
        <v>8</v>
      </c>
      <c r="G60" s="76">
        <f t="shared" si="14"/>
        <v>7.7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43</v>
      </c>
      <c r="C62" s="77">
        <f>B32</f>
        <v>43</v>
      </c>
      <c r="D62" s="77">
        <f>B33</f>
        <v>43</v>
      </c>
      <c r="E62" s="77">
        <f>B34</f>
        <v>43</v>
      </c>
      <c r="F62" s="77">
        <f>B35</f>
        <v>43</v>
      </c>
      <c r="G62" s="77">
        <f>B36</f>
        <v>43</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-11.999999999999995</v>
      </c>
      <c r="C64" s="77">
        <f t="shared" ref="C64:U64" si="17">(C59-C60)*C61</f>
        <v>-10.799999999999999</v>
      </c>
      <c r="D64" s="77">
        <f t="shared" si="17"/>
        <v>-10.200000000000001</v>
      </c>
      <c r="E64" s="77">
        <f t="shared" si="17"/>
        <v>-11.399999999999997</v>
      </c>
      <c r="F64" s="77">
        <f t="shared" si="17"/>
        <v>-10.799999999999999</v>
      </c>
      <c r="G64" s="77">
        <f t="shared" si="17"/>
        <v>-9</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11.999999999999995</v>
      </c>
      <c r="C65" s="77">
        <f t="shared" ref="C65:U65" si="18">C63-C64</f>
        <v>10.799999999999999</v>
      </c>
      <c r="D65" s="77">
        <f t="shared" si="18"/>
        <v>10.200000000000001</v>
      </c>
      <c r="E65" s="77">
        <f t="shared" si="18"/>
        <v>11.399999999999997</v>
      </c>
      <c r="F65" s="77">
        <f t="shared" si="18"/>
        <v>10.799999999999999</v>
      </c>
      <c r="G65" s="77">
        <f t="shared" si="18"/>
        <v>9</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PAN-018834</v>
      </c>
      <c r="D1" s="141"/>
      <c r="E1" s="93" t="s">
        <v>45</v>
      </c>
      <c r="F1" s="39">
        <f>'Field data and Waste 1'!F1</f>
        <v>15.7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Abergelli Farm 2, Felindre, Swansea, SA5 7NN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6201</v>
      </c>
      <c r="D8" s="60">
        <f>'Field data and Waste 1'!D8</f>
        <v>3907</v>
      </c>
      <c r="E8" s="60">
        <f>'Field data and Waste 1'!E8</f>
        <v>415</v>
      </c>
      <c r="F8" s="60">
        <f>'Field data and Waste 1'!F8</f>
        <v>1163</v>
      </c>
      <c r="G8" s="60">
        <f>'Field data and Waste 1'!G8</f>
        <v>173</v>
      </c>
      <c r="H8" s="60">
        <f>'Field data and Waste 1'!H8</f>
        <v>455</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8.1999999999999993</v>
      </c>
      <c r="D10" s="60">
        <f>'Field data and Waste 1'!D10</f>
        <v>8</v>
      </c>
      <c r="E10" s="60">
        <f>'Field data and Waste 1'!E10</f>
        <v>7.9</v>
      </c>
      <c r="F10" s="60">
        <f>'Field data and Waste 1'!F10</f>
        <v>8.1</v>
      </c>
      <c r="G10" s="60">
        <f>'Field data and Waste 1'!G10</f>
        <v>8</v>
      </c>
      <c r="H10" s="60">
        <f>'Field data and Waste 1'!H10</f>
        <v>7.7</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0</v>
      </c>
      <c r="E11" s="60">
        <f>'Field data and Waste 1'!E11</f>
        <v>1</v>
      </c>
      <c r="F11" s="60">
        <f>'Field data and Waste 1'!F11</f>
        <v>0</v>
      </c>
      <c r="G11" s="60">
        <f>'Field data and Waste 1'!G11</f>
        <v>0</v>
      </c>
      <c r="H11" s="60">
        <f>'Field data and Waste 1'!H11</f>
        <v>2</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0</v>
      </c>
      <c r="D12" s="60">
        <f>'Field data and Waste 1'!D12</f>
        <v>0</v>
      </c>
      <c r="E12" s="60">
        <f>'Field data and Waste 1'!E12</f>
        <v>1</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-20.399999999999999</v>
      </c>
      <c r="D19" s="16">
        <f t="shared" ref="D19:V19" si="1">D18-D17</f>
        <v>-20.399999999999999</v>
      </c>
      <c r="E19" s="16">
        <f t="shared" si="1"/>
        <v>-20.399999999999999</v>
      </c>
      <c r="F19" s="16">
        <f t="shared" si="1"/>
        <v>-20.399999999999999</v>
      </c>
      <c r="G19" s="16">
        <f t="shared" si="1"/>
        <v>-20.399999999999999</v>
      </c>
      <c r="H19" s="16">
        <f t="shared" si="1"/>
        <v>-20.399999999999999</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72</v>
      </c>
      <c r="D21" s="28">
        <f t="shared" ref="D21:V21" si="2">(VLOOKUP(D$14,$AI2:$AK26,3,FALSE))*D$15</f>
        <v>72</v>
      </c>
      <c r="E21" s="28">
        <f t="shared" si="2"/>
        <v>72</v>
      </c>
      <c r="F21" s="28">
        <f t="shared" si="2"/>
        <v>72</v>
      </c>
      <c r="G21" s="28">
        <f t="shared" si="2"/>
        <v>72</v>
      </c>
      <c r="H21" s="28">
        <f t="shared" si="2"/>
        <v>72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-72</v>
      </c>
      <c r="D23" s="16">
        <f t="shared" ref="D23:V23" si="3">D22-D21</f>
        <v>-72</v>
      </c>
      <c r="E23" s="16">
        <f t="shared" si="3"/>
        <v>-72</v>
      </c>
      <c r="F23" s="16">
        <f t="shared" si="3"/>
        <v>-72</v>
      </c>
      <c r="G23" s="16">
        <f t="shared" si="3"/>
        <v>-72</v>
      </c>
      <c r="H23" s="16">
        <f t="shared" si="3"/>
        <v>-72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6201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3907</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415</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1163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173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455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6201</v>
      </c>
      <c r="C57" s="8">
        <f t="shared" ref="C57:U57" si="13">D8</f>
        <v>3907</v>
      </c>
      <c r="D57" s="8">
        <f t="shared" si="13"/>
        <v>415</v>
      </c>
      <c r="E57" s="8">
        <f t="shared" si="13"/>
        <v>1163</v>
      </c>
      <c r="F57" s="8">
        <f t="shared" si="13"/>
        <v>173</v>
      </c>
      <c r="G57" s="8">
        <f t="shared" si="13"/>
        <v>455</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8.1999999999999993</v>
      </c>
      <c r="C60" s="76">
        <f t="shared" ref="C60:U60" si="14">D10</f>
        <v>8</v>
      </c>
      <c r="D60" s="76">
        <f t="shared" si="14"/>
        <v>7.9</v>
      </c>
      <c r="E60" s="76">
        <f t="shared" si="14"/>
        <v>8.1</v>
      </c>
      <c r="F60" s="76">
        <f t="shared" si="14"/>
        <v>8</v>
      </c>
      <c r="G60" s="76">
        <f t="shared" si="14"/>
        <v>7.7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-11.999999999999995</v>
      </c>
      <c r="C64" s="77">
        <f t="shared" ref="C64:U64" si="17">(C59-C60)*C61</f>
        <v>-10.799999999999999</v>
      </c>
      <c r="D64" s="77">
        <f t="shared" si="17"/>
        <v>-10.200000000000001</v>
      </c>
      <c r="E64" s="77">
        <f t="shared" si="17"/>
        <v>-11.399999999999997</v>
      </c>
      <c r="F64" s="77">
        <f t="shared" si="17"/>
        <v>-10.799999999999999</v>
      </c>
      <c r="G64" s="77">
        <f t="shared" si="17"/>
        <v>-9</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11.999999999999995</v>
      </c>
      <c r="C65" s="77">
        <f t="shared" ref="C65:U65" si="18">C63-C64</f>
        <v>10.799999999999999</v>
      </c>
      <c r="D65" s="77">
        <f t="shared" si="18"/>
        <v>10.200000000000001</v>
      </c>
      <c r="E65" s="77">
        <f t="shared" si="18"/>
        <v>11.399999999999997</v>
      </c>
      <c r="F65" s="77">
        <f t="shared" si="18"/>
        <v>10.799999999999999</v>
      </c>
      <c r="G65" s="77">
        <f t="shared" si="18"/>
        <v>9</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'Field data and Waste 1'!C1:D1</f>
        <v>PAN-018834</v>
      </c>
      <c r="D1" s="141"/>
      <c r="E1" s="93" t="s">
        <v>45</v>
      </c>
      <c r="F1" s="39">
        <f>'Field data and Waste 1'!F1</f>
        <v>15.7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Abergelli Farm 2, Felindre, Swansea, SA5 7NN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6201</v>
      </c>
      <c r="D8" s="60">
        <f>'Field data and Waste 1'!D8</f>
        <v>3907</v>
      </c>
      <c r="E8" s="60">
        <f>'Field data and Waste 1'!E8</f>
        <v>415</v>
      </c>
      <c r="F8" s="60">
        <f>'Field data and Waste 1'!F8</f>
        <v>1163</v>
      </c>
      <c r="G8" s="60">
        <f>'Field data and Waste 1'!G8</f>
        <v>173</v>
      </c>
      <c r="H8" s="60">
        <f>'Field data and Waste 1'!H8</f>
        <v>455</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8.1999999999999993</v>
      </c>
      <c r="D10" s="60">
        <f>'Field data and Waste 1'!D10</f>
        <v>8</v>
      </c>
      <c r="E10" s="60">
        <f>'Field data and Waste 1'!E10</f>
        <v>7.9</v>
      </c>
      <c r="F10" s="60">
        <f>'Field data and Waste 1'!F10</f>
        <v>8.1</v>
      </c>
      <c r="G10" s="60">
        <f>'Field data and Waste 1'!G10</f>
        <v>8</v>
      </c>
      <c r="H10" s="60">
        <f>'Field data and Waste 1'!H10</f>
        <v>7.7</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0</v>
      </c>
      <c r="E11" s="60">
        <f>'Field data and Waste 1'!E11</f>
        <v>1</v>
      </c>
      <c r="F11" s="60">
        <f>'Field data and Waste 1'!F11</f>
        <v>0</v>
      </c>
      <c r="G11" s="60">
        <f>'Field data and Waste 1'!G11</f>
        <v>0</v>
      </c>
      <c r="H11" s="60">
        <f>'Field data and Waste 1'!H11</f>
        <v>2</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0</v>
      </c>
      <c r="D12" s="60">
        <f>'Field data and Waste 1'!D12</f>
        <v>0</v>
      </c>
      <c r="E12" s="60">
        <f>'Field data and Waste 1'!E12</f>
        <v>1</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-20.399999999999999</v>
      </c>
      <c r="D19" s="16">
        <f t="shared" ref="D19:V19" si="1">D18-D17</f>
        <v>-20.399999999999999</v>
      </c>
      <c r="E19" s="16">
        <f t="shared" si="1"/>
        <v>-20.399999999999999</v>
      </c>
      <c r="F19" s="16">
        <f t="shared" si="1"/>
        <v>-20.399999999999999</v>
      </c>
      <c r="G19" s="16">
        <f t="shared" si="1"/>
        <v>-20.399999999999999</v>
      </c>
      <c r="H19" s="16">
        <f t="shared" si="1"/>
        <v>-20.399999999999999</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72</v>
      </c>
      <c r="D21" s="28">
        <f t="shared" ref="D21:V21" si="2">(VLOOKUP(D$14,$AI2:$AK26,3,FALSE))*D$15</f>
        <v>72</v>
      </c>
      <c r="E21" s="28">
        <f t="shared" si="2"/>
        <v>72</v>
      </c>
      <c r="F21" s="28">
        <f t="shared" si="2"/>
        <v>72</v>
      </c>
      <c r="G21" s="28">
        <f t="shared" si="2"/>
        <v>72</v>
      </c>
      <c r="H21" s="28">
        <f t="shared" si="2"/>
        <v>72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-72</v>
      </c>
      <c r="D23" s="16">
        <f t="shared" ref="D23:V23" si="3">D22-D21</f>
        <v>-72</v>
      </c>
      <c r="E23" s="16">
        <f t="shared" si="3"/>
        <v>-72</v>
      </c>
      <c r="F23" s="16">
        <f t="shared" si="3"/>
        <v>-72</v>
      </c>
      <c r="G23" s="16">
        <f t="shared" si="3"/>
        <v>-72</v>
      </c>
      <c r="H23" s="16">
        <f t="shared" si="3"/>
        <v>-72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6201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3907</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415</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1163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173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455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6201</v>
      </c>
      <c r="C57" s="8">
        <f t="shared" ref="C57:U57" si="13">D8</f>
        <v>3907</v>
      </c>
      <c r="D57" s="8">
        <f t="shared" si="13"/>
        <v>415</v>
      </c>
      <c r="E57" s="8">
        <f t="shared" si="13"/>
        <v>1163</v>
      </c>
      <c r="F57" s="8">
        <f t="shared" si="13"/>
        <v>173</v>
      </c>
      <c r="G57" s="8">
        <f t="shared" si="13"/>
        <v>455</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t="e">
        <f>VLOOKUP(I$14,Table24581114[],5,FALSE)</f>
        <v>#N/A</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8.1999999999999993</v>
      </c>
      <c r="C60" s="76">
        <f t="shared" ref="C60:U60" si="14">D10</f>
        <v>8</v>
      </c>
      <c r="D60" s="76">
        <f t="shared" si="14"/>
        <v>7.9</v>
      </c>
      <c r="E60" s="76">
        <f t="shared" si="14"/>
        <v>8.1</v>
      </c>
      <c r="F60" s="76">
        <f t="shared" si="14"/>
        <v>8</v>
      </c>
      <c r="G60" s="76">
        <f t="shared" si="14"/>
        <v>7.7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-11.999999999999995</v>
      </c>
      <c r="C64" s="77">
        <f t="shared" ref="C64:U64" si="17">(C59-C60)*C61</f>
        <v>-10.799999999999999</v>
      </c>
      <c r="D64" s="77">
        <f t="shared" si="17"/>
        <v>-10.200000000000001</v>
      </c>
      <c r="E64" s="77">
        <f t="shared" si="17"/>
        <v>-11.399999999999997</v>
      </c>
      <c r="F64" s="77">
        <f t="shared" si="17"/>
        <v>-10.799999999999999</v>
      </c>
      <c r="G64" s="77">
        <f t="shared" si="17"/>
        <v>-9</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11.999999999999995</v>
      </c>
      <c r="C65" s="77">
        <f t="shared" ref="C65:U65" si="18">C63-C64</f>
        <v>10.799999999999999</v>
      </c>
      <c r="D65" s="77">
        <f t="shared" si="18"/>
        <v>10.200000000000001</v>
      </c>
      <c r="E65" s="77">
        <f t="shared" si="18"/>
        <v>11.399999999999997</v>
      </c>
      <c r="F65" s="77">
        <f t="shared" si="18"/>
        <v>10.799999999999999</v>
      </c>
      <c r="G65" s="77">
        <f t="shared" si="18"/>
        <v>9</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PAN-018834</v>
      </c>
      <c r="D1" s="141"/>
      <c r="E1" s="93" t="s">
        <v>45</v>
      </c>
      <c r="F1" s="39">
        <f>'Field data and Waste 1'!F1</f>
        <v>15.7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Abergelli Farm 2, Felindre, Swansea, SA5 7NN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6201</v>
      </c>
      <c r="D8" s="60">
        <f>'Field data and Waste 1'!D8</f>
        <v>3907</v>
      </c>
      <c r="E8" s="60">
        <f>'Field data and Waste 1'!E8</f>
        <v>415</v>
      </c>
      <c r="F8" s="60">
        <f>'Field data and Waste 1'!F8</f>
        <v>1163</v>
      </c>
      <c r="G8" s="60">
        <f>'Field data and Waste 1'!G8</f>
        <v>173</v>
      </c>
      <c r="H8" s="60">
        <f>'Field data and Waste 1'!H8</f>
        <v>455</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8.1999999999999993</v>
      </c>
      <c r="D10" s="60">
        <f>'Field data and Waste 1'!D10</f>
        <v>8</v>
      </c>
      <c r="E10" s="60">
        <f>'Field data and Waste 1'!E10</f>
        <v>7.9</v>
      </c>
      <c r="F10" s="60">
        <f>'Field data and Waste 1'!F10</f>
        <v>8.1</v>
      </c>
      <c r="G10" s="60">
        <f>'Field data and Waste 1'!G10</f>
        <v>8</v>
      </c>
      <c r="H10" s="60">
        <f>'Field data and Waste 1'!H10</f>
        <v>7.7</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0</v>
      </c>
      <c r="E11" s="60">
        <f>'Field data and Waste 1'!E11</f>
        <v>1</v>
      </c>
      <c r="F11" s="60">
        <f>'Field data and Waste 1'!F11</f>
        <v>0</v>
      </c>
      <c r="G11" s="60">
        <f>'Field data and Waste 1'!G11</f>
        <v>0</v>
      </c>
      <c r="H11" s="60">
        <f>'Field data and Waste 1'!H11</f>
        <v>2</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0</v>
      </c>
      <c r="D12" s="60">
        <f>'Field data and Waste 1'!D12</f>
        <v>0</v>
      </c>
      <c r="E12" s="60">
        <f>'Field data and Waste 1'!E12</f>
        <v>1</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-20.399999999999999</v>
      </c>
      <c r="D19" s="16">
        <f t="shared" ref="D19:V19" si="1">D18-D17</f>
        <v>-20.399999999999999</v>
      </c>
      <c r="E19" s="16">
        <f t="shared" si="1"/>
        <v>-20.399999999999999</v>
      </c>
      <c r="F19" s="16">
        <f t="shared" si="1"/>
        <v>-20.399999999999999</v>
      </c>
      <c r="G19" s="16">
        <f t="shared" si="1"/>
        <v>-20.399999999999999</v>
      </c>
      <c r="H19" s="16">
        <f t="shared" si="1"/>
        <v>-20.399999999999999</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72</v>
      </c>
      <c r="D21" s="28">
        <f t="shared" ref="D21:V21" si="2">(VLOOKUP(D$14,$AI2:$AK26,3,FALSE))*D$15</f>
        <v>72</v>
      </c>
      <c r="E21" s="28">
        <f t="shared" si="2"/>
        <v>72</v>
      </c>
      <c r="F21" s="28">
        <f t="shared" si="2"/>
        <v>72</v>
      </c>
      <c r="G21" s="28">
        <f t="shared" si="2"/>
        <v>72</v>
      </c>
      <c r="H21" s="28">
        <f t="shared" si="2"/>
        <v>72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-72</v>
      </c>
      <c r="D23" s="16">
        <f t="shared" ref="D23:V23" si="3">D22-D21</f>
        <v>-72</v>
      </c>
      <c r="E23" s="16">
        <f t="shared" si="3"/>
        <v>-72</v>
      </c>
      <c r="F23" s="16">
        <f t="shared" si="3"/>
        <v>-72</v>
      </c>
      <c r="G23" s="16">
        <f t="shared" si="3"/>
        <v>-72</v>
      </c>
      <c r="H23" s="16">
        <f t="shared" si="3"/>
        <v>-72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6201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3907</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415</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1163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173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455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6201</v>
      </c>
      <c r="C57" s="8">
        <f t="shared" ref="C57:U57" si="13">D8</f>
        <v>3907</v>
      </c>
      <c r="D57" s="8">
        <f t="shared" si="13"/>
        <v>415</v>
      </c>
      <c r="E57" s="8">
        <f t="shared" si="13"/>
        <v>1163</v>
      </c>
      <c r="F57" s="8">
        <f t="shared" si="13"/>
        <v>173</v>
      </c>
      <c r="G57" s="8">
        <f t="shared" si="13"/>
        <v>455</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t="e">
        <f>VLOOKUP(I$14,Table245810[],5,FALSE)</f>
        <v>#N/A</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8.1999999999999993</v>
      </c>
      <c r="C60" s="76">
        <f t="shared" ref="C60:U60" si="14">D10</f>
        <v>8</v>
      </c>
      <c r="D60" s="76">
        <f t="shared" si="14"/>
        <v>7.9</v>
      </c>
      <c r="E60" s="76">
        <f t="shared" si="14"/>
        <v>8.1</v>
      </c>
      <c r="F60" s="76">
        <f t="shared" si="14"/>
        <v>8</v>
      </c>
      <c r="G60" s="76">
        <f t="shared" si="14"/>
        <v>7.7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-11.999999999999995</v>
      </c>
      <c r="C64" s="77">
        <f t="shared" ref="C64:U64" si="17">(C59-C60)*C61</f>
        <v>-10.799999999999999</v>
      </c>
      <c r="D64" s="77">
        <f t="shared" si="17"/>
        <v>-10.200000000000001</v>
      </c>
      <c r="E64" s="77">
        <f t="shared" si="17"/>
        <v>-11.399999999999997</v>
      </c>
      <c r="F64" s="77">
        <f t="shared" si="17"/>
        <v>-10.799999999999999</v>
      </c>
      <c r="G64" s="77">
        <f t="shared" si="17"/>
        <v>-9</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11.999999999999995</v>
      </c>
      <c r="C65" s="77">
        <f t="shared" ref="C65:U65" si="18">C63-C64</f>
        <v>10.799999999999999</v>
      </c>
      <c r="D65" s="77">
        <f t="shared" si="18"/>
        <v>10.200000000000001</v>
      </c>
      <c r="E65" s="77">
        <f t="shared" si="18"/>
        <v>11.399999999999997</v>
      </c>
      <c r="F65" s="77">
        <f t="shared" si="18"/>
        <v>10.799999999999999</v>
      </c>
      <c r="G65" s="77">
        <f t="shared" si="18"/>
        <v>9</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PAN-018834</v>
      </c>
      <c r="D1" s="141"/>
      <c r="E1" s="93" t="s">
        <v>45</v>
      </c>
      <c r="F1" s="39">
        <f>'Field data and Waste 1'!F1</f>
        <v>15.7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Abergelli Farm 2, Felindre, Swansea, SA5 7NN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6201</v>
      </c>
      <c r="D8" s="60">
        <f>'Field data and Waste 1'!D8</f>
        <v>3907</v>
      </c>
      <c r="E8" s="60">
        <f>'Field data and Waste 1'!E8</f>
        <v>415</v>
      </c>
      <c r="F8" s="60">
        <f>'Field data and Waste 1'!F8</f>
        <v>1163</v>
      </c>
      <c r="G8" s="60">
        <f>'Field data and Waste 1'!G8</f>
        <v>173</v>
      </c>
      <c r="H8" s="60">
        <f>'Field data and Waste 1'!H8</f>
        <v>455</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8.1999999999999993</v>
      </c>
      <c r="D10" s="60">
        <f>'Field data and Waste 1'!D10</f>
        <v>8</v>
      </c>
      <c r="E10" s="60">
        <f>'Field data and Waste 1'!E10</f>
        <v>7.9</v>
      </c>
      <c r="F10" s="60">
        <f>'Field data and Waste 1'!F10</f>
        <v>8.1</v>
      </c>
      <c r="G10" s="60">
        <f>'Field data and Waste 1'!G10</f>
        <v>8</v>
      </c>
      <c r="H10" s="60">
        <f>'Field data and Waste 1'!H10</f>
        <v>7.7</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0</v>
      </c>
      <c r="E11" s="60">
        <f>'Field data and Waste 1'!E11</f>
        <v>1</v>
      </c>
      <c r="F11" s="60">
        <f>'Field data and Waste 1'!F11</f>
        <v>0</v>
      </c>
      <c r="G11" s="60">
        <f>'Field data and Waste 1'!G11</f>
        <v>0</v>
      </c>
      <c r="H11" s="60">
        <f>'Field data and Waste 1'!H11</f>
        <v>2</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0</v>
      </c>
      <c r="D12" s="60">
        <f>'Field data and Waste 1'!D12</f>
        <v>0</v>
      </c>
      <c r="E12" s="60">
        <f>'Field data and Waste 1'!E12</f>
        <v>1</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-20.399999999999999</v>
      </c>
      <c r="D19" s="16">
        <f t="shared" ref="D19:V19" si="1">D18-D17</f>
        <v>-20.399999999999999</v>
      </c>
      <c r="E19" s="16">
        <f t="shared" si="1"/>
        <v>-20.399999999999999</v>
      </c>
      <c r="F19" s="16">
        <f t="shared" si="1"/>
        <v>-20.399999999999999</v>
      </c>
      <c r="G19" s="16">
        <f t="shared" si="1"/>
        <v>-20.399999999999999</v>
      </c>
      <c r="H19" s="16">
        <f t="shared" si="1"/>
        <v>-20.399999999999999</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72</v>
      </c>
      <c r="D21" s="28">
        <f t="shared" ref="D21:V21" si="2">(VLOOKUP(D$14,$AI2:$AK26,3,FALSE))*D$15</f>
        <v>72</v>
      </c>
      <c r="E21" s="28">
        <f t="shared" si="2"/>
        <v>72</v>
      </c>
      <c r="F21" s="28">
        <f t="shared" si="2"/>
        <v>72</v>
      </c>
      <c r="G21" s="28">
        <f t="shared" si="2"/>
        <v>72</v>
      </c>
      <c r="H21" s="28">
        <f t="shared" si="2"/>
        <v>72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-72</v>
      </c>
      <c r="D23" s="16">
        <f t="shared" ref="D23:V23" si="3">D22-D21</f>
        <v>-72</v>
      </c>
      <c r="E23" s="16">
        <f t="shared" si="3"/>
        <v>-72</v>
      </c>
      <c r="F23" s="16">
        <f t="shared" si="3"/>
        <v>-72</v>
      </c>
      <c r="G23" s="16">
        <f t="shared" si="3"/>
        <v>-72</v>
      </c>
      <c r="H23" s="16">
        <f t="shared" si="3"/>
        <v>-72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6201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3907</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415</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1163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173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455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6201</v>
      </c>
      <c r="C57" s="8">
        <f t="shared" ref="C57:U57" si="13">D8</f>
        <v>3907</v>
      </c>
      <c r="D57" s="8">
        <f t="shared" si="13"/>
        <v>415</v>
      </c>
      <c r="E57" s="8">
        <f t="shared" si="13"/>
        <v>1163</v>
      </c>
      <c r="F57" s="8">
        <f t="shared" si="13"/>
        <v>173</v>
      </c>
      <c r="G57" s="8">
        <f t="shared" si="13"/>
        <v>455</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e">
        <f>I16&amp;" I "&amp;(VLOOKUP(I14,Table2458[],6,FALSE))</f>
        <v>#N/A</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t="e">
        <f>VLOOKUP(I$14,Table2458[],5,FALSE)</f>
        <v>#N/A</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8.1999999999999993</v>
      </c>
      <c r="C60" s="76">
        <f t="shared" ref="C60:U60" si="14">D10</f>
        <v>8</v>
      </c>
      <c r="D60" s="76">
        <f t="shared" si="14"/>
        <v>7.9</v>
      </c>
      <c r="E60" s="76">
        <f t="shared" si="14"/>
        <v>8.1</v>
      </c>
      <c r="F60" s="76">
        <f t="shared" si="14"/>
        <v>8</v>
      </c>
      <c r="G60" s="76">
        <f t="shared" si="14"/>
        <v>7.7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-11.999999999999995</v>
      </c>
      <c r="C64" s="77">
        <f t="shared" ref="C64:U64" si="17">(C59-C60)*C61</f>
        <v>-10.799999999999999</v>
      </c>
      <c r="D64" s="77">
        <f t="shared" si="17"/>
        <v>-10.200000000000001</v>
      </c>
      <c r="E64" s="77">
        <f t="shared" si="17"/>
        <v>-11.399999999999997</v>
      </c>
      <c r="F64" s="77">
        <f t="shared" si="17"/>
        <v>-10.799999999999999</v>
      </c>
      <c r="G64" s="77">
        <f t="shared" si="17"/>
        <v>-9</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11.999999999999995</v>
      </c>
      <c r="C65" s="77">
        <f t="shared" ref="C65:U65" si="18">C63-C64</f>
        <v>10.799999999999999</v>
      </c>
      <c r="D65" s="77">
        <f t="shared" si="18"/>
        <v>10.200000000000001</v>
      </c>
      <c r="E65" s="77">
        <f t="shared" si="18"/>
        <v>11.399999999999997</v>
      </c>
      <c r="F65" s="77">
        <f t="shared" si="18"/>
        <v>10.799999999999999</v>
      </c>
      <c r="G65" s="77">
        <f t="shared" si="18"/>
        <v>9</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PAN-018834</v>
      </c>
      <c r="D1" s="141"/>
      <c r="E1" s="93" t="s">
        <v>45</v>
      </c>
      <c r="F1" s="39">
        <f>'Field data and Waste 1'!F1</f>
        <v>15.7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Abergelli Farm 2, Felindre, Swansea, SA5 7NN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6201</v>
      </c>
      <c r="D8" s="60">
        <f>'Field data and Waste 1'!D8</f>
        <v>3907</v>
      </c>
      <c r="E8" s="60">
        <f>'Field data and Waste 1'!E8</f>
        <v>415</v>
      </c>
      <c r="F8" s="60">
        <f>'Field data and Waste 1'!F8</f>
        <v>1163</v>
      </c>
      <c r="G8" s="60">
        <f>'Field data and Waste 1'!G8</f>
        <v>173</v>
      </c>
      <c r="H8" s="60">
        <f>'Field data and Waste 1'!H8</f>
        <v>455</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8.1999999999999993</v>
      </c>
      <c r="D10" s="60">
        <f>'Field data and Waste 1'!D10</f>
        <v>8</v>
      </c>
      <c r="E10" s="60">
        <f>'Field data and Waste 1'!E10</f>
        <v>7.9</v>
      </c>
      <c r="F10" s="60">
        <f>'Field data and Waste 1'!F10</f>
        <v>8.1</v>
      </c>
      <c r="G10" s="60">
        <f>'Field data and Waste 1'!G10</f>
        <v>8</v>
      </c>
      <c r="H10" s="60">
        <f>'Field data and Waste 1'!H10</f>
        <v>7.7</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0</v>
      </c>
      <c r="E11" s="60">
        <f>'Field data and Waste 1'!E11</f>
        <v>1</v>
      </c>
      <c r="F11" s="60">
        <f>'Field data and Waste 1'!F11</f>
        <v>0</v>
      </c>
      <c r="G11" s="60">
        <f>'Field data and Waste 1'!G11</f>
        <v>0</v>
      </c>
      <c r="H11" s="60">
        <f>'Field data and Waste 1'!H11</f>
        <v>2</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0</v>
      </c>
      <c r="D12" s="60">
        <f>'Field data and Waste 1'!D12</f>
        <v>0</v>
      </c>
      <c r="E12" s="60">
        <f>'Field data and Waste 1'!E12</f>
        <v>1</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-20.399999999999999</v>
      </c>
      <c r="D19" s="16">
        <f t="shared" ref="D19:V19" si="1">D18-D17</f>
        <v>-20.399999999999999</v>
      </c>
      <c r="E19" s="16">
        <f t="shared" si="1"/>
        <v>-20.399999999999999</v>
      </c>
      <c r="F19" s="16">
        <f t="shared" si="1"/>
        <v>-20.399999999999999</v>
      </c>
      <c r="G19" s="16">
        <f t="shared" si="1"/>
        <v>-20.399999999999999</v>
      </c>
      <c r="H19" s="16">
        <f t="shared" si="1"/>
        <v>-20.399999999999999</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72</v>
      </c>
      <c r="D21" s="28">
        <f t="shared" ref="D21:V21" si="2">(VLOOKUP(D$14,$AI2:$AK26,3,FALSE))*D$15</f>
        <v>72</v>
      </c>
      <c r="E21" s="28">
        <f t="shared" si="2"/>
        <v>72</v>
      </c>
      <c r="F21" s="28">
        <f t="shared" si="2"/>
        <v>72</v>
      </c>
      <c r="G21" s="28">
        <f t="shared" si="2"/>
        <v>72</v>
      </c>
      <c r="H21" s="28">
        <f t="shared" si="2"/>
        <v>72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-72</v>
      </c>
      <c r="D23" s="16">
        <f t="shared" ref="D23:V23" si="3">D22-D21</f>
        <v>-72</v>
      </c>
      <c r="E23" s="16">
        <f t="shared" si="3"/>
        <v>-72</v>
      </c>
      <c r="F23" s="16">
        <f t="shared" si="3"/>
        <v>-72</v>
      </c>
      <c r="G23" s="16">
        <f t="shared" si="3"/>
        <v>-72</v>
      </c>
      <c r="H23" s="16">
        <f t="shared" si="3"/>
        <v>-72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6201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3907</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415</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1163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173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455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6201</v>
      </c>
      <c r="C57" s="8">
        <f t="shared" ref="C57:U57" si="13">D8</f>
        <v>3907</v>
      </c>
      <c r="D57" s="8">
        <f t="shared" si="13"/>
        <v>415</v>
      </c>
      <c r="E57" s="8">
        <f t="shared" si="13"/>
        <v>1163</v>
      </c>
      <c r="F57" s="8">
        <f t="shared" si="13"/>
        <v>173</v>
      </c>
      <c r="G57" s="8">
        <f t="shared" si="13"/>
        <v>455</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e">
        <f>I16&amp;" I "&amp;(VLOOKUP(I14,Table24581113[],6,FALSE))</f>
        <v>#N/A</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t="e">
        <f>VLOOKUP(I$14,Table24581113[],5,FALSE)</f>
        <v>#N/A</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8.1999999999999993</v>
      </c>
      <c r="C60" s="76">
        <f t="shared" ref="C60:U60" si="14">D10</f>
        <v>8</v>
      </c>
      <c r="D60" s="76">
        <f t="shared" si="14"/>
        <v>7.9</v>
      </c>
      <c r="E60" s="76">
        <f t="shared" si="14"/>
        <v>8.1</v>
      </c>
      <c r="F60" s="76">
        <f t="shared" si="14"/>
        <v>8</v>
      </c>
      <c r="G60" s="76">
        <f t="shared" si="14"/>
        <v>7.7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-11.999999999999995</v>
      </c>
      <c r="C64" s="77">
        <f t="shared" ref="C64:U64" si="17">(C59-C60)*C61</f>
        <v>-10.799999999999999</v>
      </c>
      <c r="D64" s="77">
        <f t="shared" si="17"/>
        <v>-10.200000000000001</v>
      </c>
      <c r="E64" s="77">
        <f t="shared" si="17"/>
        <v>-11.399999999999997</v>
      </c>
      <c r="F64" s="77">
        <f t="shared" si="17"/>
        <v>-10.799999999999999</v>
      </c>
      <c r="G64" s="77">
        <f t="shared" si="17"/>
        <v>-9</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11.999999999999995</v>
      </c>
      <c r="C65" s="77">
        <f t="shared" ref="C65:U65" si="18">C63-C64</f>
        <v>10.799999999999999</v>
      </c>
      <c r="D65" s="77">
        <f t="shared" si="18"/>
        <v>10.200000000000001</v>
      </c>
      <c r="E65" s="77">
        <f t="shared" si="18"/>
        <v>11.399999999999997</v>
      </c>
      <c r="F65" s="77">
        <f t="shared" si="18"/>
        <v>10.799999999999999</v>
      </c>
      <c r="G65" s="77">
        <f t="shared" si="18"/>
        <v>9</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PAN-018834</v>
      </c>
      <c r="D1" s="141"/>
      <c r="E1" s="93" t="s">
        <v>45</v>
      </c>
      <c r="F1" s="39">
        <f>'Field data and Waste 1'!F1</f>
        <v>15.7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Abergelli Farm 2, Felindre, Swansea, SA5 7NN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6201</v>
      </c>
      <c r="D8" s="60">
        <f>'Field data and Waste 1'!D8</f>
        <v>3907</v>
      </c>
      <c r="E8" s="60">
        <f>'Field data and Waste 1'!E8</f>
        <v>415</v>
      </c>
      <c r="F8" s="60">
        <f>'Field data and Waste 1'!F8</f>
        <v>1163</v>
      </c>
      <c r="G8" s="60">
        <f>'Field data and Waste 1'!G8</f>
        <v>173</v>
      </c>
      <c r="H8" s="60">
        <f>'Field data and Waste 1'!H8</f>
        <v>455</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8.1999999999999993</v>
      </c>
      <c r="D10" s="60">
        <f>'Field data and Waste 1'!D10</f>
        <v>8</v>
      </c>
      <c r="E10" s="60">
        <f>'Field data and Waste 1'!E10</f>
        <v>7.9</v>
      </c>
      <c r="F10" s="60">
        <f>'Field data and Waste 1'!F10</f>
        <v>8.1</v>
      </c>
      <c r="G10" s="60">
        <f>'Field data and Waste 1'!G10</f>
        <v>8</v>
      </c>
      <c r="H10" s="60">
        <f>'Field data and Waste 1'!H10</f>
        <v>7.7</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0</v>
      </c>
      <c r="E11" s="60">
        <f>'Field data and Waste 1'!E11</f>
        <v>1</v>
      </c>
      <c r="F11" s="60">
        <f>'Field data and Waste 1'!F11</f>
        <v>0</v>
      </c>
      <c r="G11" s="60">
        <f>'Field data and Waste 1'!G11</f>
        <v>0</v>
      </c>
      <c r="H11" s="60">
        <f>'Field data and Waste 1'!H11</f>
        <v>2</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0</v>
      </c>
      <c r="D12" s="60">
        <f>'Field data and Waste 1'!D12</f>
        <v>0</v>
      </c>
      <c r="E12" s="60">
        <f>'Field data and Waste 1'!E12</f>
        <v>1</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-20.399999999999999</v>
      </c>
      <c r="D19" s="16">
        <f t="shared" ref="D19:V19" si="1">D18-D17</f>
        <v>-20.399999999999999</v>
      </c>
      <c r="E19" s="16">
        <f t="shared" si="1"/>
        <v>-20.399999999999999</v>
      </c>
      <c r="F19" s="16">
        <f t="shared" si="1"/>
        <v>-20.399999999999999</v>
      </c>
      <c r="G19" s="16">
        <f t="shared" si="1"/>
        <v>-20.399999999999999</v>
      </c>
      <c r="H19" s="16">
        <f t="shared" si="1"/>
        <v>-20.399999999999999</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72</v>
      </c>
      <c r="D21" s="28">
        <f t="shared" ref="D21:V21" si="2">(VLOOKUP(D$14,$AI2:$AK26,3,FALSE))*D$15</f>
        <v>72</v>
      </c>
      <c r="E21" s="28">
        <f t="shared" si="2"/>
        <v>72</v>
      </c>
      <c r="F21" s="28">
        <f t="shared" si="2"/>
        <v>72</v>
      </c>
      <c r="G21" s="28">
        <f t="shared" si="2"/>
        <v>72</v>
      </c>
      <c r="H21" s="28">
        <f t="shared" si="2"/>
        <v>72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-72</v>
      </c>
      <c r="D23" s="16">
        <f t="shared" ref="D23:V23" si="3">D22-D21</f>
        <v>-72</v>
      </c>
      <c r="E23" s="16">
        <f t="shared" si="3"/>
        <v>-72</v>
      </c>
      <c r="F23" s="16">
        <f t="shared" si="3"/>
        <v>-72</v>
      </c>
      <c r="G23" s="16">
        <f t="shared" si="3"/>
        <v>-72</v>
      </c>
      <c r="H23" s="16">
        <f t="shared" si="3"/>
        <v>-72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6201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3907</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415</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1163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173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455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6201</v>
      </c>
      <c r="C57" s="8">
        <f t="shared" ref="C57:U57" si="13">D8</f>
        <v>3907</v>
      </c>
      <c r="D57" s="8">
        <f t="shared" si="13"/>
        <v>415</v>
      </c>
      <c r="E57" s="8">
        <f t="shared" si="13"/>
        <v>1163</v>
      </c>
      <c r="F57" s="8">
        <f t="shared" si="13"/>
        <v>173</v>
      </c>
      <c r="G57" s="8">
        <f t="shared" si="13"/>
        <v>455</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e">
        <f>I16&amp;" I "&amp;(VLOOKUP(I14,Table24567[],6,FALSE))</f>
        <v>#N/A</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t="e">
        <f>VLOOKUP(I$14,Table24567[],5,FALSE)</f>
        <v>#N/A</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8.1999999999999993</v>
      </c>
      <c r="C60" s="76">
        <f t="shared" ref="C60:U60" si="14">D10</f>
        <v>8</v>
      </c>
      <c r="D60" s="76">
        <f t="shared" si="14"/>
        <v>7.9</v>
      </c>
      <c r="E60" s="76">
        <f t="shared" si="14"/>
        <v>8.1</v>
      </c>
      <c r="F60" s="76">
        <f t="shared" si="14"/>
        <v>8</v>
      </c>
      <c r="G60" s="76">
        <f t="shared" si="14"/>
        <v>7.7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-11.999999999999995</v>
      </c>
      <c r="C64" s="77">
        <f t="shared" ref="C64:U64" si="17">(C59-C60)*C61</f>
        <v>-10.799999999999999</v>
      </c>
      <c r="D64" s="77">
        <f t="shared" si="17"/>
        <v>-10.200000000000001</v>
      </c>
      <c r="E64" s="77">
        <f t="shared" si="17"/>
        <v>-11.399999999999997</v>
      </c>
      <c r="F64" s="77">
        <f t="shared" si="17"/>
        <v>-10.799999999999999</v>
      </c>
      <c r="G64" s="77">
        <f t="shared" si="17"/>
        <v>-9</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11.999999999999995</v>
      </c>
      <c r="C65" s="77">
        <f t="shared" ref="C65:U65" si="18">C63-C64</f>
        <v>10.799999999999999</v>
      </c>
      <c r="D65" s="77">
        <f t="shared" si="18"/>
        <v>10.200000000000001</v>
      </c>
      <c r="E65" s="77">
        <f t="shared" si="18"/>
        <v>11.399999999999997</v>
      </c>
      <c r="F65" s="77">
        <f t="shared" si="18"/>
        <v>10.799999999999999</v>
      </c>
      <c r="G65" s="77">
        <f t="shared" si="18"/>
        <v>9</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PAN-018834</v>
      </c>
      <c r="D1" s="141"/>
      <c r="E1" s="93" t="s">
        <v>45</v>
      </c>
      <c r="F1" s="39">
        <f>'Field data and Waste 1'!F1</f>
        <v>15.7</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EPR-GP3792SK</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Byproduct Recovery</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Abergelli Farm 2, Felindre, Swansea, SA5 7NN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Waste 1'!C8</f>
        <v>6201</v>
      </c>
      <c r="D8" s="60">
        <f>'Field data and Waste 1'!D8</f>
        <v>3907</v>
      </c>
      <c r="E8" s="60">
        <f>'Field data and Waste 1'!E8</f>
        <v>415</v>
      </c>
      <c r="F8" s="60">
        <f>'Field data and Waste 1'!F8</f>
        <v>1163</v>
      </c>
      <c r="G8" s="60">
        <f>'Field data and Waste 1'!G8</f>
        <v>173</v>
      </c>
      <c r="H8" s="60">
        <f>'Field data and Waste 1'!H8</f>
        <v>455</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Moderate</v>
      </c>
      <c r="D9" s="60" t="str">
        <f>'Field data and Waste 1'!D9</f>
        <v>Moderate</v>
      </c>
      <c r="E9" s="60" t="str">
        <f>'Field data and Waste 1'!E9</f>
        <v>Moderate</v>
      </c>
      <c r="F9" s="60" t="str">
        <f>'Field data and Waste 1'!F9</f>
        <v>Moderate</v>
      </c>
      <c r="G9" s="60" t="str">
        <f>'Field data and Waste 1'!G9</f>
        <v>Moderate</v>
      </c>
      <c r="H9" s="60" t="str">
        <f>'Field data and Waste 1'!H9</f>
        <v>Moderate</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8.1999999999999993</v>
      </c>
      <c r="D10" s="60">
        <f>'Field data and Waste 1'!D10</f>
        <v>8</v>
      </c>
      <c r="E10" s="60">
        <f>'Field data and Waste 1'!E10</f>
        <v>7.9</v>
      </c>
      <c r="F10" s="60">
        <f>'Field data and Waste 1'!F10</f>
        <v>8.1</v>
      </c>
      <c r="G10" s="60">
        <f>'Field data and Waste 1'!G10</f>
        <v>8</v>
      </c>
      <c r="H10" s="60">
        <f>'Field data and Waste 1'!H10</f>
        <v>7.7</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0</v>
      </c>
      <c r="D11" s="60">
        <f>'Field data and Waste 1'!D11</f>
        <v>0</v>
      </c>
      <c r="E11" s="60">
        <f>'Field data and Waste 1'!E11</f>
        <v>1</v>
      </c>
      <c r="F11" s="60">
        <f>'Field data and Waste 1'!F11</f>
        <v>0</v>
      </c>
      <c r="G11" s="60">
        <f>'Field data and Waste 1'!G11</f>
        <v>0</v>
      </c>
      <c r="H11" s="60">
        <f>'Field data and Waste 1'!H11</f>
        <v>2</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0</v>
      </c>
      <c r="D12" s="60">
        <f>'Field data and Waste 1'!D12</f>
        <v>0</v>
      </c>
      <c r="E12" s="60">
        <f>'Field data and Waste 1'!E12</f>
        <v>1</v>
      </c>
      <c r="F12" s="60">
        <f>'Field data and Waste 1'!F12</f>
        <v>0</v>
      </c>
      <c r="G12" s="60">
        <f>'Field data and Waste 1'!G12</f>
        <v>0</v>
      </c>
      <c r="H12" s="60">
        <f>'Field data and Waste 1'!H12</f>
        <v>1</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3</v>
      </c>
      <c r="E13" s="60">
        <f>'Field data and Waste 1'!E13</f>
        <v>3</v>
      </c>
      <c r="F13" s="60">
        <f>'Field data and Waste 1'!F13</f>
        <v>3</v>
      </c>
      <c r="G13" s="60">
        <f>'Field data and Waste 1'!G13</f>
        <v>3</v>
      </c>
      <c r="H13" s="60">
        <f>'Field data and Waste 1'!H13</f>
        <v>3</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12</v>
      </c>
      <c r="D15" s="60">
        <f>'Field data and Waste 1'!D15</f>
        <v>12</v>
      </c>
      <c r="E15" s="60">
        <f>'Field data and Waste 1'!E15</f>
        <v>12</v>
      </c>
      <c r="F15" s="60">
        <f>'Field data and Waste 1'!F15</f>
        <v>12</v>
      </c>
      <c r="G15" s="60">
        <f>'Field data and Waste 1'!G15</f>
        <v>12</v>
      </c>
      <c r="H15" s="60">
        <f>'Field data and Waste 1'!H15</f>
        <v>12</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20.399999999999999</v>
      </c>
      <c r="D17" s="28">
        <f t="shared" ref="D17:V17" si="0">(VLOOKUP(D$14,$AI2:$AK26,2,FALSE))*D$15</f>
        <v>20.399999999999999</v>
      </c>
      <c r="E17" s="28">
        <f t="shared" si="0"/>
        <v>20.399999999999999</v>
      </c>
      <c r="F17" s="28">
        <f t="shared" si="0"/>
        <v>20.399999999999999</v>
      </c>
      <c r="G17" s="28">
        <f t="shared" si="0"/>
        <v>20.399999999999999</v>
      </c>
      <c r="H17" s="28">
        <f t="shared" si="0"/>
        <v>20.399999999999999</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-20.399999999999999</v>
      </c>
      <c r="D19" s="16">
        <f t="shared" ref="D19:V19" si="1">D18-D17</f>
        <v>-20.399999999999999</v>
      </c>
      <c r="E19" s="16">
        <f t="shared" si="1"/>
        <v>-20.399999999999999</v>
      </c>
      <c r="F19" s="16">
        <f t="shared" si="1"/>
        <v>-20.399999999999999</v>
      </c>
      <c r="G19" s="16">
        <f t="shared" si="1"/>
        <v>-20.399999999999999</v>
      </c>
      <c r="H19" s="16">
        <f t="shared" si="1"/>
        <v>-20.399999999999999</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72</v>
      </c>
      <c r="D21" s="28">
        <f t="shared" ref="D21:V21" si="2">(VLOOKUP(D$14,$AI2:$AK26,3,FALSE))*D$15</f>
        <v>72</v>
      </c>
      <c r="E21" s="28">
        <f t="shared" si="2"/>
        <v>72</v>
      </c>
      <c r="F21" s="28">
        <f t="shared" si="2"/>
        <v>72</v>
      </c>
      <c r="G21" s="28">
        <f t="shared" si="2"/>
        <v>72</v>
      </c>
      <c r="H21" s="28">
        <f t="shared" si="2"/>
        <v>72</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-72</v>
      </c>
      <c r="D23" s="16">
        <f t="shared" ref="D23:V23" si="3">D22-D21</f>
        <v>-72</v>
      </c>
      <c r="E23" s="16">
        <f t="shared" si="3"/>
        <v>-72</v>
      </c>
      <c r="F23" s="16">
        <f t="shared" si="3"/>
        <v>-72</v>
      </c>
      <c r="G23" s="16">
        <f t="shared" si="3"/>
        <v>-72</v>
      </c>
      <c r="H23" s="16">
        <f t="shared" si="3"/>
        <v>-72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6201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3907</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415</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1163</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173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455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6201</v>
      </c>
      <c r="C57" s="8">
        <f t="shared" ref="C57:U57" si="13">D8</f>
        <v>3907</v>
      </c>
      <c r="D57" s="8">
        <f t="shared" si="13"/>
        <v>415</v>
      </c>
      <c r="E57" s="8">
        <f t="shared" si="13"/>
        <v>1163</v>
      </c>
      <c r="F57" s="8">
        <f t="shared" si="13"/>
        <v>173</v>
      </c>
      <c r="G57" s="8">
        <f t="shared" si="13"/>
        <v>455</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e">
        <f>I16&amp;" I "&amp;(VLOOKUP(I14,Table2456[],6,FALSE))</f>
        <v>#N/A</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t="e">
        <f>VLOOKUP(I$14,Table2456[],5,FALSE)</f>
        <v>#N/A</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8.1999999999999993</v>
      </c>
      <c r="C60" s="76">
        <f t="shared" ref="C60:U60" si="14">D10</f>
        <v>8</v>
      </c>
      <c r="D60" s="76">
        <f t="shared" si="14"/>
        <v>7.9</v>
      </c>
      <c r="E60" s="76">
        <f t="shared" si="14"/>
        <v>8.1</v>
      </c>
      <c r="F60" s="76">
        <f t="shared" si="14"/>
        <v>8</v>
      </c>
      <c r="G60" s="76">
        <f t="shared" si="14"/>
        <v>7.7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-11.999999999999995</v>
      </c>
      <c r="C64" s="77">
        <f t="shared" ref="C64:U64" si="17">(C59-C60)*C61</f>
        <v>-10.799999999999999</v>
      </c>
      <c r="D64" s="77">
        <f t="shared" si="17"/>
        <v>-10.200000000000001</v>
      </c>
      <c r="E64" s="77">
        <f t="shared" si="17"/>
        <v>-11.399999999999997</v>
      </c>
      <c r="F64" s="77">
        <f t="shared" si="17"/>
        <v>-10.799999999999999</v>
      </c>
      <c r="G64" s="77">
        <f t="shared" si="17"/>
        <v>-9</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11.999999999999995</v>
      </c>
      <c r="C65" s="77">
        <f t="shared" ref="C65:U65" si="18">C63-C64</f>
        <v>10.799999999999999</v>
      </c>
      <c r="D65" s="77">
        <f t="shared" si="18"/>
        <v>10.200000000000001</v>
      </c>
      <c r="E65" s="77">
        <f t="shared" si="18"/>
        <v>11.399999999999997</v>
      </c>
      <c r="F65" s="77">
        <f t="shared" si="18"/>
        <v>10.799999999999999</v>
      </c>
      <c r="G65" s="77">
        <f t="shared" si="18"/>
        <v>9</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50</v>
      </c>
      <c r="C3" s="33">
        <f>'Field data and Waste 1'!C31</f>
        <v>95.46</v>
      </c>
      <c r="D3" s="33">
        <f>'Field data and Waste 1'!D31</f>
        <v>35.858731999999989</v>
      </c>
      <c r="E3" s="33">
        <f>'Field data and Waste 1'!E31</f>
        <v>5.9069100000000008</v>
      </c>
      <c r="F3" s="33">
        <f>'Field data and Waste 1'!F31</f>
        <v>14.971739999999999</v>
      </c>
      <c r="G3" s="33">
        <f>'Field data and Waste 1'!G31</f>
        <v>0.59770000000000001</v>
      </c>
      <c r="H3" s="33">
        <f>'Field data and Waste 1'!H31</f>
        <v>2.0554000000000001</v>
      </c>
      <c r="I3" s="33">
        <f>'Field data and Waste 1'!I31</f>
        <v>0.32507999999999998</v>
      </c>
      <c r="J3" s="33">
        <f>'Field data and Waste 1'!J31</f>
        <v>1.2727999999999998E-2</v>
      </c>
      <c r="K3" s="33">
        <f>'Field data and Waste 1'!K31</f>
        <v>2.4939999999999997E-3</v>
      </c>
      <c r="L3" s="33">
        <f>'Field data and Waste 1'!L31</f>
        <v>0.24510000000000001</v>
      </c>
      <c r="M3" s="33">
        <f>'Field data and Waste 1'!M31</f>
        <v>0.14533999999999997</v>
      </c>
      <c r="N3" s="33">
        <f>'Field data and Waste 1'!N31</f>
        <v>1685.6</v>
      </c>
      <c r="O3" s="33">
        <f>'Field data and Waste 1'!O31</f>
        <v>197.79999999999998</v>
      </c>
      <c r="P3" s="33">
        <f>'Field data and Waste 1'!P31</f>
        <v>0</v>
      </c>
      <c r="Q3" s="33">
        <f>'Field data and Waste 1'!Q31</f>
        <v>160.17499999999998</v>
      </c>
      <c r="R3" s="33">
        <f>'Field data and Waste 1'!R31</f>
        <v>0</v>
      </c>
      <c r="S3" s="33">
        <f>'Field data and Waste 1'!S31</f>
        <v>0.53749999999999998</v>
      </c>
      <c r="T3" s="33">
        <f>'Field data and Waste 1'!T31</f>
        <v>0</v>
      </c>
      <c r="U3" s="33">
        <f>'Field data and Waste 1'!U31</f>
        <v>0</v>
      </c>
    </row>
    <row r="4" spans="1:21" x14ac:dyDescent="0.25">
      <c r="A4" s="36">
        <v>2</v>
      </c>
      <c r="B4" s="33">
        <f>'Waste 2'!B31</f>
        <v>250</v>
      </c>
      <c r="C4" s="33">
        <f>'Waste 2'!C31</f>
        <v>85.784999999999997</v>
      </c>
      <c r="D4" s="33">
        <f>'Waste 2'!D31</f>
        <v>2.0687730000000002</v>
      </c>
      <c r="E4" s="33">
        <f>'Waste 2'!E31</f>
        <v>3.5286015000000002</v>
      </c>
      <c r="F4" s="33">
        <f>'Waste 2'!F31</f>
        <v>8.2879274999999986</v>
      </c>
      <c r="G4" s="33">
        <f>'Waste 2'!G31</f>
        <v>0.29927999999999999</v>
      </c>
      <c r="H4" s="33">
        <f>'Waste 2'!H31</f>
        <v>1.9156499999999999</v>
      </c>
      <c r="I4" s="33">
        <f>'Waste 2'!I31</f>
        <v>3.9990000000000005E-2</v>
      </c>
      <c r="J4" s="33">
        <f>'Waste 2'!J31</f>
        <v>9.0945000000000002E-3</v>
      </c>
      <c r="K4" s="33">
        <f>'Waste 2'!K31</f>
        <v>4.9665000000000004E-3</v>
      </c>
      <c r="L4" s="33">
        <f>'Waste 2'!L31</f>
        <v>0.10707</v>
      </c>
      <c r="M4" s="33">
        <f>'Waste 2'!M31</f>
        <v>3.4443000000000001E-2</v>
      </c>
      <c r="N4" s="33">
        <f>'Waste 2'!N31</f>
        <v>1373.85</v>
      </c>
      <c r="O4" s="33">
        <f>'Waste 2'!O31</f>
        <v>113.52000000000001</v>
      </c>
      <c r="P4" s="33">
        <f>'Waste 2'!P31</f>
        <v>0</v>
      </c>
      <c r="Q4" s="33">
        <f>'Waste 2'!Q31</f>
        <v>119.48625000000001</v>
      </c>
      <c r="R4" s="33">
        <f>'Waste 2'!R31</f>
        <v>0</v>
      </c>
      <c r="S4" s="33">
        <f>'Waste 2'!S31</f>
        <v>0.12771000000000002</v>
      </c>
      <c r="T4" s="33">
        <f>'Waste 2'!T31</f>
        <v>0</v>
      </c>
      <c r="U4" s="33">
        <f>'Waste 2'!U31</f>
        <v>0</v>
      </c>
    </row>
    <row r="5" spans="1:21" x14ac:dyDescent="0.25">
      <c r="A5" s="36">
        <v>3</v>
      </c>
      <c r="B5" s="33">
        <f>'Waste 3'!B31</f>
        <v>43</v>
      </c>
      <c r="C5" s="33">
        <f>'Waste 3'!C31</f>
        <v>249.4</v>
      </c>
      <c r="D5" s="33">
        <f>'Waste 3'!D31</f>
        <v>47.089214000000005</v>
      </c>
      <c r="E5" s="33">
        <f>'Waste 3'!E31</f>
        <v>101.71284500000002</v>
      </c>
      <c r="F5" s="33">
        <f>'Waste 3'!F31</f>
        <v>4.099405</v>
      </c>
      <c r="G5" s="33">
        <f>'Waste 3'!G31</f>
        <v>5.1599999999999993E-2</v>
      </c>
      <c r="H5" s="33">
        <f>'Waste 3'!H31</f>
        <v>0.34185000000000004</v>
      </c>
      <c r="I5" s="33">
        <f>'Waste 3'!I31</f>
        <v>2.1500000000000002E-2</v>
      </c>
      <c r="J5" s="33">
        <f>'Waste 3'!J31</f>
        <v>8.6000000000000009E-4</v>
      </c>
      <c r="K5" s="33">
        <f>'Waste 3'!K31</f>
        <v>2.15E-3</v>
      </c>
      <c r="L5" s="33">
        <f>'Waste 3'!L31</f>
        <v>1.4620000000000001E-2</v>
      </c>
      <c r="M5" s="33">
        <f>'Waste 3'!M31</f>
        <v>1.763E-2</v>
      </c>
      <c r="N5" s="33">
        <f>'Waste 3'!N31</f>
        <v>0</v>
      </c>
      <c r="O5" s="33">
        <f>'Waste 3'!O31</f>
        <v>0</v>
      </c>
      <c r="P5" s="33">
        <f>'Waste 3'!P31</f>
        <v>0</v>
      </c>
      <c r="Q5" s="33">
        <f>'Waste 3'!Q31</f>
        <v>46.977499999999999</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343</v>
      </c>
      <c r="C13" s="81">
        <f t="shared" ref="C13:U13" si="0">SUM(C3:C12)</f>
        <v>430.64499999999998</v>
      </c>
      <c r="D13" s="81">
        <f t="shared" si="0"/>
        <v>85.016718999999995</v>
      </c>
      <c r="E13" s="81">
        <f t="shared" si="0"/>
        <v>111.14835650000002</v>
      </c>
      <c r="F13" s="81">
        <f t="shared" si="0"/>
        <v>27.3590725</v>
      </c>
      <c r="G13" s="81">
        <f t="shared" si="0"/>
        <v>0.94857999999999998</v>
      </c>
      <c r="H13" s="81">
        <f t="shared" si="0"/>
        <v>4.3129</v>
      </c>
      <c r="I13" s="81">
        <f t="shared" si="0"/>
        <v>0.38657000000000002</v>
      </c>
      <c r="J13" s="81">
        <f t="shared" si="0"/>
        <v>2.2682499999999998E-2</v>
      </c>
      <c r="K13" s="81">
        <f t="shared" si="0"/>
        <v>9.610500000000001E-3</v>
      </c>
      <c r="L13" s="81">
        <f t="shared" si="0"/>
        <v>0.36679</v>
      </c>
      <c r="M13" s="81">
        <f t="shared" si="0"/>
        <v>0.19741299999999998</v>
      </c>
      <c r="N13" s="81">
        <f t="shared" si="0"/>
        <v>3059.45</v>
      </c>
      <c r="O13" s="81">
        <f t="shared" si="0"/>
        <v>311.32</v>
      </c>
      <c r="P13" s="81">
        <f t="shared" si="0"/>
        <v>0</v>
      </c>
      <c r="Q13" s="81">
        <f t="shared" si="0"/>
        <v>326.63875000000002</v>
      </c>
      <c r="R13" s="81">
        <f t="shared" si="0"/>
        <v>0</v>
      </c>
      <c r="S13" s="81">
        <f t="shared" si="0"/>
        <v>0.66520999999999997</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50</v>
      </c>
      <c r="D3" s="33">
        <f>'Field data and Waste 1'!C31</f>
        <v>95.46</v>
      </c>
      <c r="E3" s="33">
        <f>'Field data and Waste 1'!D31</f>
        <v>35.858731999999989</v>
      </c>
      <c r="F3" s="33">
        <f>'Field data and Waste 1'!E31</f>
        <v>5.9069100000000008</v>
      </c>
      <c r="G3" s="33">
        <f>'Field data and Waste 1'!F31</f>
        <v>14.971739999999999</v>
      </c>
      <c r="H3" s="33">
        <f>'Field data and Waste 1'!G31</f>
        <v>0.59770000000000001</v>
      </c>
      <c r="I3" s="33">
        <f>'Field data and Waste 1'!H31</f>
        <v>2.0554000000000001</v>
      </c>
      <c r="J3" s="33">
        <f>'Field data and Waste 1'!I31</f>
        <v>0.32507999999999998</v>
      </c>
      <c r="K3" s="33">
        <f>'Field data and Waste 1'!J31</f>
        <v>1.2727999999999998E-2</v>
      </c>
      <c r="L3" s="33">
        <f>'Field data and Waste 1'!K31</f>
        <v>2.4939999999999997E-3</v>
      </c>
      <c r="M3" s="33">
        <f>'Field data and Waste 1'!L31</f>
        <v>0.24510000000000001</v>
      </c>
      <c r="N3" s="33">
        <f>'Field data and Waste 1'!M31</f>
        <v>0.14533999999999997</v>
      </c>
      <c r="O3" s="33">
        <f>'Field data and Waste 1'!N31</f>
        <v>1685.6</v>
      </c>
      <c r="P3" s="33">
        <f>'Field data and Waste 1'!O31</f>
        <v>197.79999999999998</v>
      </c>
      <c r="Q3" s="33">
        <f>'Field data and Waste 1'!P31</f>
        <v>0</v>
      </c>
      <c r="R3" s="33">
        <f>'Field data and Waste 1'!Q31</f>
        <v>160.17499999999998</v>
      </c>
      <c r="S3" s="33">
        <f>'Field data and Waste 1'!R31</f>
        <v>0</v>
      </c>
      <c r="T3" s="33">
        <f>'Field data and Waste 1'!S31</f>
        <v>0.53749999999999998</v>
      </c>
      <c r="U3" s="33">
        <f>'Field data and Waste 1'!T31</f>
        <v>0</v>
      </c>
      <c r="V3" s="33">
        <f>'Field data and Waste 1'!U31</f>
        <v>0</v>
      </c>
    </row>
    <row r="4" spans="1:22" x14ac:dyDescent="0.25">
      <c r="A4" s="36">
        <v>2</v>
      </c>
      <c r="B4" s="91"/>
      <c r="C4" s="33">
        <f>'Waste 2'!B31</f>
        <v>250</v>
      </c>
      <c r="D4" s="33">
        <f>'Waste 2'!C31</f>
        <v>85.784999999999997</v>
      </c>
      <c r="E4" s="33">
        <f>'Waste 2'!D31</f>
        <v>2.0687730000000002</v>
      </c>
      <c r="F4" s="33">
        <f>'Waste 2'!E31</f>
        <v>3.5286015000000002</v>
      </c>
      <c r="G4" s="33">
        <f>'Waste 2'!F31</f>
        <v>8.2879274999999986</v>
      </c>
      <c r="H4" s="33">
        <f>'Waste 2'!G31</f>
        <v>0.29927999999999999</v>
      </c>
      <c r="I4" s="33">
        <f>'Waste 2'!H31</f>
        <v>1.9156499999999999</v>
      </c>
      <c r="J4" s="33">
        <f>'Waste 2'!I31</f>
        <v>3.9990000000000005E-2</v>
      </c>
      <c r="K4" s="33">
        <f>'Waste 2'!J31</f>
        <v>9.0945000000000002E-3</v>
      </c>
      <c r="L4" s="33">
        <f>'Waste 2'!K31</f>
        <v>4.9665000000000004E-3</v>
      </c>
      <c r="M4" s="33">
        <f>'Waste 2'!L31</f>
        <v>0.10707</v>
      </c>
      <c r="N4" s="33">
        <f>'Waste 2'!M31</f>
        <v>3.4443000000000001E-2</v>
      </c>
      <c r="O4" s="33">
        <f>'Waste 2'!N31</f>
        <v>1373.85</v>
      </c>
      <c r="P4" s="33">
        <f>'Waste 2'!O31</f>
        <v>113.52000000000001</v>
      </c>
      <c r="Q4" s="33">
        <f>'Waste 2'!P31</f>
        <v>0</v>
      </c>
      <c r="R4" s="33">
        <f>'Waste 2'!Q31</f>
        <v>119.48625000000001</v>
      </c>
      <c r="S4" s="33">
        <f>'Waste 2'!R31</f>
        <v>0</v>
      </c>
      <c r="T4" s="33">
        <f>'Waste 2'!S31</f>
        <v>0.12771000000000002</v>
      </c>
      <c r="U4" s="33">
        <f>'Waste 2'!T31</f>
        <v>0</v>
      </c>
      <c r="V4" s="33">
        <f>'Waste 2'!U31</f>
        <v>0</v>
      </c>
    </row>
    <row r="5" spans="1:22" x14ac:dyDescent="0.25">
      <c r="A5" s="36">
        <v>3</v>
      </c>
      <c r="B5" s="91"/>
      <c r="C5" s="33">
        <f>'Waste 3'!B31</f>
        <v>43</v>
      </c>
      <c r="D5" s="33">
        <f>'Waste 3'!C31</f>
        <v>249.4</v>
      </c>
      <c r="E5" s="33">
        <f>'Waste 3'!D31</f>
        <v>47.089214000000005</v>
      </c>
      <c r="F5" s="33">
        <f>'Waste 3'!E31</f>
        <v>101.71284500000002</v>
      </c>
      <c r="G5" s="33">
        <f>'Waste 3'!F31</f>
        <v>4.099405</v>
      </c>
      <c r="H5" s="33">
        <f>'Waste 3'!G31</f>
        <v>5.1599999999999993E-2</v>
      </c>
      <c r="I5" s="33">
        <f>'Waste 3'!H31</f>
        <v>0.34185000000000004</v>
      </c>
      <c r="J5" s="33">
        <f>'Waste 3'!I31</f>
        <v>2.1500000000000002E-2</v>
      </c>
      <c r="K5" s="33">
        <f>'Waste 3'!J31</f>
        <v>8.6000000000000009E-4</v>
      </c>
      <c r="L5" s="33">
        <f>'Waste 3'!K31</f>
        <v>2.15E-3</v>
      </c>
      <c r="M5" s="33">
        <f>'Waste 3'!L31</f>
        <v>1.4620000000000001E-2</v>
      </c>
      <c r="N5" s="33">
        <f>'Waste 3'!M31</f>
        <v>1.763E-2</v>
      </c>
      <c r="O5" s="33">
        <f>'Waste 3'!N31</f>
        <v>0</v>
      </c>
      <c r="P5" s="33">
        <f>'Waste 3'!O31</f>
        <v>0</v>
      </c>
      <c r="Q5" s="33">
        <f>'Waste 3'!P31</f>
        <v>0</v>
      </c>
      <c r="R5" s="33">
        <f>'Waste 3'!Q31</f>
        <v>46.977499999999999</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43</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e2fe1275fc8bdabfe0b310e2536567e2">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3b362547ec652c25299631c1725991f6"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REGU-415-1630015</_dlc_DocId>
    <_dlc_DocIdUrl xmlns="9be56660-2c31-41ef-bc00-23e72f632f2a">
      <Url>https://cyfoethnaturiolcymru.sharepoint.com/teams/Regulatory/Permitting/_layouts/15/DocIdRedir.aspx?ID=REGU-415-1630015</Url>
      <Description>REGU-415-1630015</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2022-10-03T23:00:00+00:00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5413F32D-0710-4515-8B8E-DC8F993BEA3D}"/>
</file>

<file path=customXml/itemProps3.xml><?xml version="1.0" encoding="utf-8"?>
<ds:datastoreItem xmlns:ds="http://schemas.openxmlformats.org/officeDocument/2006/customXml" ds:itemID="{187A8DB2-8206-4A4D-B1A4-A64C8D2893E4}"/>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schemas.openxmlformats.org/package/2006/metadata/core-properties"/>
    <ds:schemaRef ds:uri="http://schemas.microsoft.com/office/2006/documentManagement/types"/>
    <ds:schemaRef ds:uri="9be56660-2c31-41ef-bc00-23e72f632f2a"/>
    <ds:schemaRef ds:uri="http://schemas.microsoft.com/office/infopath/2007/PartnerControls"/>
    <ds:schemaRef ds:uri="http://purl.org/dc/elements/1.1/"/>
    <ds:schemaRef ds:uri="http://schemas.microsoft.com/office/2006/metadata/properties"/>
    <ds:schemaRef ds:uri="http://purl.org/dc/term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2022-10-05T10:18:30Z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c0095f7c-9e9d-4cb4-910d-d4de1f7d2d87</vt:lpwstr>
  </property>
  <property fmtid="{D5CDD505-2E9C-101B-9397-08002B2CF9AE}" pid="4" name="Order">
    <vt:r8>163001500</vt:r8>
  </property>
</Properties>
</file>