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301/"/>
    </mc:Choice>
  </mc:AlternateContent>
  <xr:revisionPtr revIDLastSave="0" documentId="13_ncr:1_{C65875A1-B489-4EF7-9FC3-7A4BDBB92D1D}" xr6:coauthVersionLast="47" xr6:coauthVersionMax="47" xr10:uidLastSave="{00000000-0000-0000-0000-000000000000}"/>
  <bookViews>
    <workbookView xWindow="-28920" yWindow="-120" windowWidth="29040" windowHeight="15840" tabRatio="870" activeTab="5"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N22" i="30"/>
  <c r="V20" i="30"/>
  <c r="Q18" i="30"/>
  <c r="P18" i="30"/>
  <c r="J18" i="30"/>
  <c r="I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R18" i="27"/>
  <c r="K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G22" i="26"/>
  <c r="T18"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T6" i="19" l="1"/>
  <c r="T20" i="19" s="1"/>
  <c r="U63" i="27"/>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V20"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23" i="21" s="1"/>
  <c r="R24" i="21" s="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23" i="22" s="1"/>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24" i="24" s="1"/>
  <c r="J17" i="24"/>
  <c r="J19" i="24" s="1"/>
  <c r="J20" i="24" s="1"/>
  <c r="Q59" i="24"/>
  <c r="R21" i="24"/>
  <c r="R17" i="24"/>
  <c r="R19" i="24" s="1"/>
  <c r="R20"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19" i="22" s="1"/>
  <c r="K21" i="22"/>
  <c r="R59" i="22"/>
  <c r="S17" i="22"/>
  <c r="S21" i="22"/>
  <c r="S23" i="22" s="1"/>
  <c r="D59" i="23"/>
  <c r="E17" i="23"/>
  <c r="E21" i="23"/>
  <c r="L59" i="23"/>
  <c r="M17" i="23"/>
  <c r="M21" i="23"/>
  <c r="T59" i="23"/>
  <c r="U17" i="23"/>
  <c r="U19" i="23" s="1"/>
  <c r="U21" i="23"/>
  <c r="U23" i="23" s="1"/>
  <c r="H21" i="24"/>
  <c r="H17" i="24"/>
  <c r="H19" i="24" s="1"/>
  <c r="H20" i="24" s="1"/>
  <c r="P17" i="24"/>
  <c r="P19" i="24" s="1"/>
  <c r="P20" i="24" s="1"/>
  <c r="P21" i="24"/>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R59" i="28"/>
  <c r="S17" i="28"/>
  <c r="S19" i="28" s="1"/>
  <c r="S20" i="28" s="1"/>
  <c r="S21" i="28"/>
  <c r="S23" i="28" s="1"/>
  <c r="S24" i="28" s="1"/>
  <c r="I59" i="29"/>
  <c r="J17" i="29"/>
  <c r="J21" i="29"/>
  <c r="Q59" i="29"/>
  <c r="R21" i="29"/>
  <c r="R23" i="29" s="1"/>
  <c r="R17" i="29"/>
  <c r="H59" i="30"/>
  <c r="I17" i="30"/>
  <c r="I19" i="30" s="1"/>
  <c r="I20" i="30" s="1"/>
  <c r="I21" i="30"/>
  <c r="Q17" i="30"/>
  <c r="Q21" i="30"/>
  <c r="Q23" i="30" s="1"/>
  <c r="Q24" i="30"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V19" i="23" s="1"/>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U20" i="26" s="1"/>
  <c r="C59" i="27"/>
  <c r="D17" i="27"/>
  <c r="K59" i="27"/>
  <c r="L17" i="27"/>
  <c r="S59" i="27"/>
  <c r="T17" i="27"/>
  <c r="T19" i="27" s="1"/>
  <c r="T20" i="27" s="1"/>
  <c r="C59" i="28"/>
  <c r="D21" i="28"/>
  <c r="D23" i="28" s="1"/>
  <c r="D24" i="28" s="1"/>
  <c r="D17" i="28"/>
  <c r="K59" i="28"/>
  <c r="L21" i="28"/>
  <c r="L17" i="28"/>
  <c r="S59" i="28"/>
  <c r="T21" i="28"/>
  <c r="T17" i="28"/>
  <c r="T19" i="28" s="1"/>
  <c r="T20" i="28" s="1"/>
  <c r="J59" i="29"/>
  <c r="K17" i="29"/>
  <c r="K21" i="29"/>
  <c r="R59" i="29"/>
  <c r="S21" i="29"/>
  <c r="S17" i="29"/>
  <c r="I59" i="30"/>
  <c r="J21" i="30"/>
  <c r="J23" i="30" s="1"/>
  <c r="J24" i="30" s="1"/>
  <c r="J17" i="30"/>
  <c r="J19" i="30" s="1"/>
  <c r="J20" i="30" s="1"/>
  <c r="Q59" i="30"/>
  <c r="R21" i="30"/>
  <c r="R23" i="30" s="1"/>
  <c r="R24" i="30" s="1"/>
  <c r="R17" i="30"/>
  <c r="R19" i="30" s="1"/>
  <c r="R20"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24" i="24" s="1"/>
  <c r="S17" i="24"/>
  <c r="G21" i="26"/>
  <c r="G17" i="26"/>
  <c r="G19" i="26" s="1"/>
  <c r="G20" i="26" s="1"/>
  <c r="O17" i="26"/>
  <c r="O21" i="26"/>
  <c r="E59" i="27"/>
  <c r="F17" i="27"/>
  <c r="F19" i="27" s="1"/>
  <c r="F20" i="27" s="1"/>
  <c r="M59" i="27"/>
  <c r="N17" i="27"/>
  <c r="U59" i="27"/>
  <c r="V17" i="27"/>
  <c r="V19" i="27" s="1"/>
  <c r="V20" i="27" s="1"/>
  <c r="E59" i="28"/>
  <c r="F17" i="28"/>
  <c r="F21" i="28"/>
  <c r="M59" i="28"/>
  <c r="N17" i="28"/>
  <c r="N19" i="28" s="1"/>
  <c r="N20" i="28" s="1"/>
  <c r="N21" i="28"/>
  <c r="U59" i="28"/>
  <c r="V17" i="28"/>
  <c r="V21" i="28"/>
  <c r="D59" i="29"/>
  <c r="E17" i="29"/>
  <c r="E21" i="29"/>
  <c r="E23" i="29" s="1"/>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21" i="22"/>
  <c r="O17" i="22"/>
  <c r="O19" i="22" s="1"/>
  <c r="O21" i="22"/>
  <c r="O23" i="22" s="1"/>
  <c r="H59" i="23"/>
  <c r="I21" i="23"/>
  <c r="I23" i="23" s="1"/>
  <c r="I17" i="23"/>
  <c r="I19" i="23" s="1"/>
  <c r="P59" i="23"/>
  <c r="Q17" i="23"/>
  <c r="Q21" i="23"/>
  <c r="Q23" i="23" s="1"/>
  <c r="C59" i="24"/>
  <c r="D17" i="24"/>
  <c r="D19" i="24" s="1"/>
  <c r="D20" i="24" s="1"/>
  <c r="D21" i="24"/>
  <c r="K59" i="24"/>
  <c r="L21" i="24"/>
  <c r="L17" i="24"/>
  <c r="L19" i="24" s="1"/>
  <c r="L20" i="24" s="1"/>
  <c r="S59" i="24"/>
  <c r="T21" i="24"/>
  <c r="T17" i="24"/>
  <c r="T19" i="24" s="1"/>
  <c r="T20" i="24" s="1"/>
  <c r="H21" i="26"/>
  <c r="H23" i="26" s="1"/>
  <c r="H24" i="26" s="1"/>
  <c r="H17" i="26"/>
  <c r="P21" i="26"/>
  <c r="P17" i="26"/>
  <c r="F59" i="28"/>
  <c r="G17" i="28"/>
  <c r="G19" i="28" s="1"/>
  <c r="G20" i="28" s="1"/>
  <c r="G21" i="28"/>
  <c r="G23" i="28" s="1"/>
  <c r="G24" i="28" s="1"/>
  <c r="N59" i="28"/>
  <c r="O17" i="28"/>
  <c r="O19" i="28" s="1"/>
  <c r="O20" i="28" s="1"/>
  <c r="O21" i="28"/>
  <c r="E59" i="29"/>
  <c r="F17" i="29"/>
  <c r="F19" i="29" s="1"/>
  <c r="F21" i="29"/>
  <c r="M59" i="29"/>
  <c r="N17" i="29"/>
  <c r="N21" i="29"/>
  <c r="N23" i="29" s="1"/>
  <c r="U59" i="29"/>
  <c r="V17" i="29"/>
  <c r="V21" i="29"/>
  <c r="V23" i="29" s="1"/>
  <c r="D59" i="30"/>
  <c r="E17" i="30"/>
  <c r="E21" i="30"/>
  <c r="L59" i="30"/>
  <c r="M17" i="30"/>
  <c r="M19" i="30" s="1"/>
  <c r="M20" i="30" s="1"/>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23" i="22" s="1"/>
  <c r="H17" i="22"/>
  <c r="H19" i="22" s="1"/>
  <c r="I59" i="23"/>
  <c r="J21" i="23"/>
  <c r="J17" i="23"/>
  <c r="J19" i="23" s="1"/>
  <c r="Q59" i="23"/>
  <c r="R21" i="23"/>
  <c r="R17" i="23"/>
  <c r="D59" i="24"/>
  <c r="E17" i="24"/>
  <c r="E21" i="24"/>
  <c r="L59" i="24"/>
  <c r="M17" i="24"/>
  <c r="M19" i="24" s="1"/>
  <c r="M20" i="24" s="1"/>
  <c r="M21" i="24"/>
  <c r="M23" i="24" s="1"/>
  <c r="M24" i="24" s="1"/>
  <c r="T59" i="24"/>
  <c r="U21" i="24"/>
  <c r="U17" i="24"/>
  <c r="U19" i="24" s="1"/>
  <c r="U20" i="24" s="1"/>
  <c r="H59" i="26"/>
  <c r="I17" i="26"/>
  <c r="I21" i="26"/>
  <c r="I23" i="26" s="1"/>
  <c r="I24" i="26" s="1"/>
  <c r="P59" i="26"/>
  <c r="Q17" i="26"/>
  <c r="Q19" i="26" s="1"/>
  <c r="Q20" i="26" s="1"/>
  <c r="Q21" i="26"/>
  <c r="E63" i="26"/>
  <c r="H17" i="27"/>
  <c r="P17" i="27"/>
  <c r="P19" i="27" s="1"/>
  <c r="P20" i="27" s="1"/>
  <c r="H21" i="28"/>
  <c r="H23" i="28" s="1"/>
  <c r="H24" i="28" s="1"/>
  <c r="H17" i="28"/>
  <c r="P21" i="28"/>
  <c r="P17" i="28"/>
  <c r="P19" i="28" s="1"/>
  <c r="P20" i="28" s="1"/>
  <c r="G17" i="29"/>
  <c r="G21" i="29"/>
  <c r="G23" i="29" s="1"/>
  <c r="O17" i="29"/>
  <c r="O19" i="29" s="1"/>
  <c r="O21" i="29"/>
  <c r="E59" i="30"/>
  <c r="F21" i="30"/>
  <c r="F17" i="30"/>
  <c r="F19" i="30" s="1"/>
  <c r="F20" i="30" s="1"/>
  <c r="M59" i="30"/>
  <c r="N21" i="30"/>
  <c r="N23" i="30" s="1"/>
  <c r="N24" i="30" s="1"/>
  <c r="N17" i="30"/>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O59" i="22"/>
  <c r="P21" i="22"/>
  <c r="P23" i="22" s="1"/>
  <c r="P17" i="22"/>
  <c r="T59" i="21"/>
  <c r="U17" i="21"/>
  <c r="U19" i="21" s="1"/>
  <c r="U20" i="21" s="1"/>
  <c r="U21" i="21"/>
  <c r="U23" i="21" s="1"/>
  <c r="U24" i="21" s="1"/>
  <c r="M17" i="21"/>
  <c r="M21" i="21"/>
  <c r="M23" i="21" s="1"/>
  <c r="M24" i="21" s="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24" i="24" s="1"/>
  <c r="F17" i="24"/>
  <c r="M59" i="24"/>
  <c r="N21" i="24"/>
  <c r="N23" i="24" s="1"/>
  <c r="N24" i="24" s="1"/>
  <c r="N17" i="24"/>
  <c r="N19" i="24" s="1"/>
  <c r="N20" i="24" s="1"/>
  <c r="U59" i="24"/>
  <c r="V21" i="24"/>
  <c r="V23" i="24" s="1"/>
  <c r="V24" i="24" s="1"/>
  <c r="V17" i="24"/>
  <c r="V19" i="24" s="1"/>
  <c r="V20" i="24" s="1"/>
  <c r="I58" i="26"/>
  <c r="I61" i="26" s="1"/>
  <c r="J17" i="26"/>
  <c r="J19" i="26" s="1"/>
  <c r="J20" i="26" s="1"/>
  <c r="J21" i="26"/>
  <c r="J23" i="26" s="1"/>
  <c r="J24" i="26" s="1"/>
  <c r="Q58" i="26"/>
  <c r="Q61" i="26" s="1"/>
  <c r="R21" i="26"/>
  <c r="R23" i="26" s="1"/>
  <c r="R24" i="26" s="1"/>
  <c r="R17" i="26"/>
  <c r="R19" i="26" s="1"/>
  <c r="R20" i="26" s="1"/>
  <c r="F63" i="26"/>
  <c r="I17" i="27"/>
  <c r="I19" i="27" s="1"/>
  <c r="I20" i="27" s="1"/>
  <c r="Q17" i="27"/>
  <c r="I21" i="28"/>
  <c r="I23" i="28" s="1"/>
  <c r="I24" i="28" s="1"/>
  <c r="I17" i="28"/>
  <c r="I19" i="28" s="1"/>
  <c r="I20" i="28" s="1"/>
  <c r="Q21" i="28"/>
  <c r="Q23" i="28" s="1"/>
  <c r="Q24" i="28" s="1"/>
  <c r="Q17" i="28"/>
  <c r="Q19" i="28" s="1"/>
  <c r="Q20" i="28" s="1"/>
  <c r="H21" i="29"/>
  <c r="H23" i="29" s="1"/>
  <c r="H17" i="29"/>
  <c r="H19" i="29" s="1"/>
  <c r="P21" i="29"/>
  <c r="P23" i="29" s="1"/>
  <c r="P17" i="29"/>
  <c r="P19" i="29" s="1"/>
  <c r="G21" i="30"/>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Q59" i="22"/>
  <c r="R17" i="22"/>
  <c r="R19" i="22" s="1"/>
  <c r="R21" i="22"/>
  <c r="R23" i="22" s="1"/>
  <c r="C59" i="23"/>
  <c r="D17" i="23"/>
  <c r="D19" i="23" s="1"/>
  <c r="D21" i="23"/>
  <c r="D23" i="23" s="1"/>
  <c r="S59" i="23"/>
  <c r="T17" i="23"/>
  <c r="T21" i="23"/>
  <c r="G17" i="24"/>
  <c r="G19" i="24" s="1"/>
  <c r="G20" i="24" s="1"/>
  <c r="G21" i="24"/>
  <c r="G23" i="24" s="1"/>
  <c r="G24" i="24" s="1"/>
  <c r="O17" i="24"/>
  <c r="O19" i="24" s="1"/>
  <c r="O20" i="24" s="1"/>
  <c r="O21" i="24"/>
  <c r="J59" i="26"/>
  <c r="K17" i="26"/>
  <c r="K19" i="26" s="1"/>
  <c r="K20" i="26" s="1"/>
  <c r="K21" i="26"/>
  <c r="R59" i="26"/>
  <c r="S17" i="26"/>
  <c r="S19" i="26" s="1"/>
  <c r="S20" i="26" s="1"/>
  <c r="S21" i="26"/>
  <c r="S23" i="26" s="1"/>
  <c r="S24" i="26" s="1"/>
  <c r="M63" i="26"/>
  <c r="I59" i="27"/>
  <c r="J17" i="27"/>
  <c r="J19" i="27" s="1"/>
  <c r="J20" i="27" s="1"/>
  <c r="Q59" i="27"/>
  <c r="R17" i="27"/>
  <c r="R19" i="27" s="1"/>
  <c r="R20" i="27" s="1"/>
  <c r="I59" i="28"/>
  <c r="J17" i="28"/>
  <c r="J19" i="28" s="1"/>
  <c r="J20" i="28" s="1"/>
  <c r="J21" i="28"/>
  <c r="J23" i="28" s="1"/>
  <c r="J24" i="28" s="1"/>
  <c r="Q59" i="28"/>
  <c r="R21" i="28"/>
  <c r="R23" i="28" s="1"/>
  <c r="R24" i="28" s="1"/>
  <c r="R17" i="28"/>
  <c r="R19" i="28" s="1"/>
  <c r="R20" i="28" s="1"/>
  <c r="I21" i="29"/>
  <c r="I23"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G23" i="22"/>
  <c r="K58" i="21"/>
  <c r="K61" i="21" s="1"/>
  <c r="K64" i="21" s="1"/>
  <c r="I21" i="27"/>
  <c r="I23" i="27" s="1"/>
  <c r="I24" i="27" s="1"/>
  <c r="Q21" i="27"/>
  <c r="R58" i="21"/>
  <c r="R61" i="21" s="1"/>
  <c r="R64" i="21" s="1"/>
  <c r="R65" i="21" s="1"/>
  <c r="O57" i="21"/>
  <c r="A43" i="21"/>
  <c r="J58" i="21"/>
  <c r="J61" i="21" s="1"/>
  <c r="E19" i="21"/>
  <c r="E20"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P23" i="27" s="1"/>
  <c r="P24" i="27" s="1"/>
  <c r="J58" i="22"/>
  <c r="J61" i="22" s="1"/>
  <c r="J58" i="26"/>
  <c r="J61" i="26" s="1"/>
  <c r="J23" i="23"/>
  <c r="R19" i="23"/>
  <c r="J58" i="27"/>
  <c r="J61" i="27" s="1"/>
  <c r="J64" i="27" s="1"/>
  <c r="R58" i="27"/>
  <c r="R61" i="27" s="1"/>
  <c r="R64" i="27" s="1"/>
  <c r="R58" i="28"/>
  <c r="R61" i="28" s="1"/>
  <c r="R64" i="28" s="1"/>
  <c r="F58" i="22"/>
  <c r="F61" i="22" s="1"/>
  <c r="N58" i="22"/>
  <c r="N61" i="22" s="1"/>
  <c r="F58" i="23"/>
  <c r="F61" i="23" s="1"/>
  <c r="N58" i="23"/>
  <c r="N61" i="23" s="1"/>
  <c r="D19" i="27"/>
  <c r="D20" i="27" s="1"/>
  <c r="L21" i="27"/>
  <c r="L23" i="27" s="1"/>
  <c r="L24" i="27" s="1"/>
  <c r="T21" i="27"/>
  <c r="T23" i="27" s="1"/>
  <c r="T24" i="27" s="1"/>
  <c r="H57" i="29"/>
  <c r="P58" i="21"/>
  <c r="P61" i="21" s="1"/>
  <c r="P64"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T65" i="29" s="1"/>
  <c r="I23" i="30"/>
  <c r="I24" i="30" s="1"/>
  <c r="E23" i="30"/>
  <c r="E24" i="30" s="1"/>
  <c r="J58" i="28"/>
  <c r="J61" i="28" s="1"/>
  <c r="R58" i="22"/>
  <c r="R61" i="22" s="1"/>
  <c r="R64" i="22" s="1"/>
  <c r="R65"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T65" i="27" s="1"/>
  <c r="J58" i="30"/>
  <c r="J61" i="30" s="1"/>
  <c r="J64" i="30" s="1"/>
  <c r="R58" i="30"/>
  <c r="R61" i="30" s="1"/>
  <c r="P57" i="30"/>
  <c r="J57" i="21"/>
  <c r="H59" i="21"/>
  <c r="Q23" i="22"/>
  <c r="R21" i="27"/>
  <c r="R23" i="27" s="1"/>
  <c r="R24" i="27" s="1"/>
  <c r="E58" i="27"/>
  <c r="E61" i="27" s="1"/>
  <c r="E64"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P57" i="29"/>
  <c r="T23" i="30"/>
  <c r="T24" i="30" s="1"/>
  <c r="G58" i="30"/>
  <c r="G61" i="30" s="1"/>
  <c r="O58" i="30"/>
  <c r="O61" i="30" s="1"/>
  <c r="Q57" i="30"/>
  <c r="A36" i="22"/>
  <c r="G58" i="27"/>
  <c r="G61" i="27" s="1"/>
  <c r="T58" i="28"/>
  <c r="T61" i="28" s="1"/>
  <c r="T64" i="28" s="1"/>
  <c r="C58" i="29"/>
  <c r="C61" i="29" s="1"/>
  <c r="C64" i="29" s="1"/>
  <c r="C65" i="29" s="1"/>
  <c r="H58" i="30"/>
  <c r="H61" i="30" s="1"/>
  <c r="H64" i="30" s="1"/>
  <c r="N59" i="30"/>
  <c r="K19" i="21"/>
  <c r="K20" i="21" s="1"/>
  <c r="Q57" i="21"/>
  <c r="B58" i="21"/>
  <c r="B61" i="21" s="1"/>
  <c r="I58" i="22"/>
  <c r="I61" i="22" s="1"/>
  <c r="I64" i="22" s="1"/>
  <c r="I65" i="22" s="1"/>
  <c r="Q58" i="22"/>
  <c r="Q61" i="22" s="1"/>
  <c r="D58" i="23"/>
  <c r="D61" i="23" s="1"/>
  <c r="L58" i="23"/>
  <c r="L61"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U65" i="23" s="1"/>
  <c r="O23" i="24"/>
  <c r="O24" i="24" s="1"/>
  <c r="F58" i="24"/>
  <c r="F61" i="24" s="1"/>
  <c r="N58" i="24"/>
  <c r="N61" i="24" s="1"/>
  <c r="F59" i="24"/>
  <c r="I58" i="27"/>
  <c r="I61" i="27" s="1"/>
  <c r="I64" i="27" s="1"/>
  <c r="Q58" i="27"/>
  <c r="Q61" i="27" s="1"/>
  <c r="Q64" i="27" s="1"/>
  <c r="Q65"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P19" i="21"/>
  <c r="P20" i="21" s="1"/>
  <c r="C58" i="22"/>
  <c r="C61" i="22" s="1"/>
  <c r="K58" i="22"/>
  <c r="K61" i="22" s="1"/>
  <c r="K64" i="22" s="1"/>
  <c r="K65" i="22" s="1"/>
  <c r="S58" i="22"/>
  <c r="S61" i="22" s="1"/>
  <c r="S64" i="22" s="1"/>
  <c r="S65" i="22" s="1"/>
  <c r="F57" i="23"/>
  <c r="D23" i="24"/>
  <c r="D24" i="24" s="1"/>
  <c r="L23" i="24"/>
  <c r="L24" i="24" s="1"/>
  <c r="T23" i="24"/>
  <c r="T24" i="24" s="1"/>
  <c r="G58" i="24"/>
  <c r="G61" i="24" s="1"/>
  <c r="O58" i="24"/>
  <c r="O61" i="24" s="1"/>
  <c r="N59" i="24"/>
  <c r="C58" i="26"/>
  <c r="C61" i="26" s="1"/>
  <c r="C64" i="26" s="1"/>
  <c r="K58" i="26"/>
  <c r="K61" i="26" s="1"/>
  <c r="S58" i="26"/>
  <c r="S61" i="26"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T58" i="26"/>
  <c r="T61" i="26" s="1"/>
  <c r="F57" i="26"/>
  <c r="C58" i="27"/>
  <c r="C61" i="27" s="1"/>
  <c r="C64" i="27" s="1"/>
  <c r="K58" i="27"/>
  <c r="K61" i="27" s="1"/>
  <c r="S58" i="27"/>
  <c r="S61" i="27" s="1"/>
  <c r="S64" i="27" s="1"/>
  <c r="P57" i="27"/>
  <c r="N59" i="27"/>
  <c r="H58" i="28"/>
  <c r="H61" i="28" s="1"/>
  <c r="P58" i="28"/>
  <c r="P61" i="28" s="1"/>
  <c r="N57" i="28"/>
  <c r="D23" i="29"/>
  <c r="L23" i="29"/>
  <c r="T23" i="29"/>
  <c r="G58" i="29"/>
  <c r="G61" i="29" s="1"/>
  <c r="O58" i="29"/>
  <c r="O61" i="29" s="1"/>
  <c r="P59" i="29"/>
  <c r="D64" i="30"/>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Q58" i="28"/>
  <c r="Q61" i="28" s="1"/>
  <c r="Q64" i="28" s="1"/>
  <c r="Q65" i="28" s="1"/>
  <c r="P23" i="28"/>
  <c r="P24" i="28" s="1"/>
  <c r="H58" i="29"/>
  <c r="H61" i="29" s="1"/>
  <c r="P58" i="29"/>
  <c r="P61" i="29" s="1"/>
  <c r="E58" i="30"/>
  <c r="E61" i="30" s="1"/>
  <c r="E64" i="30" s="1"/>
  <c r="M58" i="30"/>
  <c r="M61" i="30" s="1"/>
  <c r="U58" i="30"/>
  <c r="U61"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F63" i="30"/>
  <c r="N63" i="30"/>
  <c r="K19" i="30"/>
  <c r="K20" i="30" s="1"/>
  <c r="S19" i="30"/>
  <c r="S20" i="30" s="1"/>
  <c r="S23" i="30"/>
  <c r="S24" i="30" s="1"/>
  <c r="A31" i="30"/>
  <c r="A33" i="30"/>
  <c r="A39" i="30"/>
  <c r="A41" i="30"/>
  <c r="A47" i="30"/>
  <c r="A49" i="30"/>
  <c r="G57" i="30"/>
  <c r="O57" i="30"/>
  <c r="G59" i="30"/>
  <c r="G64" i="30" s="1"/>
  <c r="G65" i="30" s="1"/>
  <c r="O59" i="30"/>
  <c r="G63" i="30"/>
  <c r="O63" i="30"/>
  <c r="P63" i="30"/>
  <c r="I63" i="30"/>
  <c r="Q63" i="30"/>
  <c r="T19" i="30"/>
  <c r="T20" i="30" s="1"/>
  <c r="E19" i="30"/>
  <c r="E20" i="30" s="1"/>
  <c r="N19" i="30"/>
  <c r="N20" i="30" s="1"/>
  <c r="F23" i="30"/>
  <c r="F24" i="30" s="1"/>
  <c r="B63" i="30"/>
  <c r="J63" i="30"/>
  <c r="R63" i="30"/>
  <c r="A32" i="30"/>
  <c r="A34" i="30"/>
  <c r="A40" i="30"/>
  <c r="A42" i="30"/>
  <c r="A48" i="30"/>
  <c r="A50" i="30"/>
  <c r="C63" i="30"/>
  <c r="K63" i="30"/>
  <c r="S63" i="30"/>
  <c r="P19" i="30"/>
  <c r="P20" i="30" s="1"/>
  <c r="D63" i="30"/>
  <c r="L63" i="30"/>
  <c r="T63" i="30"/>
  <c r="H63" i="30"/>
  <c r="Q19" i="30"/>
  <c r="Q20" i="30" s="1"/>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N19" i="29"/>
  <c r="V19" i="29"/>
  <c r="F23" i="29"/>
  <c r="B63" i="29"/>
  <c r="J63" i="29"/>
  <c r="R63" i="29"/>
  <c r="L19" i="29"/>
  <c r="G19" i="29"/>
  <c r="A32" i="29"/>
  <c r="A34" i="29"/>
  <c r="A40" i="29"/>
  <c r="A42" i="29"/>
  <c r="A48" i="29"/>
  <c r="A50" i="29"/>
  <c r="C63" i="29"/>
  <c r="K63" i="29"/>
  <c r="S63" i="29"/>
  <c r="D63" i="29"/>
  <c r="L63" i="29"/>
  <c r="T63" i="29"/>
  <c r="E63" i="29"/>
  <c r="M63" i="29"/>
  <c r="K19" i="28"/>
  <c r="K20" i="28" s="1"/>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U20" i="28" s="1"/>
  <c r="M23" i="28"/>
  <c r="M24" i="28" s="1"/>
  <c r="I57" i="28"/>
  <c r="Q57" i="28"/>
  <c r="I63" i="28"/>
  <c r="Q63" i="28"/>
  <c r="F19" i="28"/>
  <c r="F20" i="28" s="1"/>
  <c r="V19" i="28"/>
  <c r="V20" i="28" s="1"/>
  <c r="F23" i="28"/>
  <c r="F24" i="28" s="1"/>
  <c r="N23" i="28"/>
  <c r="N24" i="28" s="1"/>
  <c r="V23" i="28"/>
  <c r="V24" i="28" s="1"/>
  <c r="B63" i="28"/>
  <c r="J63" i="28"/>
  <c r="R63" i="28"/>
  <c r="A32" i="28"/>
  <c r="A34" i="28"/>
  <c r="A40" i="28"/>
  <c r="A42" i="28"/>
  <c r="A48" i="28"/>
  <c r="A50" i="28"/>
  <c r="C63" i="28"/>
  <c r="K63" i="28"/>
  <c r="S63" i="28"/>
  <c r="H19" i="28"/>
  <c r="H20" i="28" s="1"/>
  <c r="D63" i="28"/>
  <c r="L63" i="28"/>
  <c r="T63" i="28"/>
  <c r="E63" i="28"/>
  <c r="M63" i="28"/>
  <c r="Q23" i="27"/>
  <c r="Q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U64" i="26"/>
  <c r="O23" i="26"/>
  <c r="O24" i="26" s="1"/>
  <c r="K23" i="26"/>
  <c r="K24"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E23" i="26"/>
  <c r="E24" i="26" s="1"/>
  <c r="M23" i="26"/>
  <c r="M24" i="26" s="1"/>
  <c r="I57" i="26"/>
  <c r="Q57" i="26"/>
  <c r="I59" i="26"/>
  <c r="Q59" i="26"/>
  <c r="Q64" i="26" s="1"/>
  <c r="I63" i="26"/>
  <c r="Q63" i="26"/>
  <c r="N19" i="26"/>
  <c r="N20" i="26" s="1"/>
  <c r="N23" i="26"/>
  <c r="N24" i="26" s="1"/>
  <c r="V23" i="26"/>
  <c r="V24" i="26" s="1"/>
  <c r="B63" i="26"/>
  <c r="J63" i="26"/>
  <c r="R63" i="26"/>
  <c r="O19" i="26"/>
  <c r="O20" i="26" s="1"/>
  <c r="A32" i="26"/>
  <c r="A34" i="26"/>
  <c r="A40" i="26"/>
  <c r="A42" i="26"/>
  <c r="A48" i="26"/>
  <c r="A50" i="26"/>
  <c r="C63" i="26"/>
  <c r="K63" i="26"/>
  <c r="S63" i="26"/>
  <c r="H19" i="26"/>
  <c r="H20" i="26" s="1"/>
  <c r="P19" i="26"/>
  <c r="P20" i="26" s="1"/>
  <c r="D63" i="26"/>
  <c r="L63" i="26"/>
  <c r="I19" i="26"/>
  <c r="I20" i="26" s="1"/>
  <c r="H23" i="24"/>
  <c r="H24" i="24" s="1"/>
  <c r="P23" i="24"/>
  <c r="P24" i="24" s="1"/>
  <c r="K19" i="24"/>
  <c r="K20" i="24" s="1"/>
  <c r="S19" i="24"/>
  <c r="S20" i="24" s="1"/>
  <c r="K23" i="24"/>
  <c r="K24" i="24" s="1"/>
  <c r="A31" i="24"/>
  <c r="A33" i="24"/>
  <c r="A37" i="24"/>
  <c r="A39" i="24"/>
  <c r="A41" i="24"/>
  <c r="A45" i="24"/>
  <c r="A47" i="24"/>
  <c r="A49" i="24"/>
  <c r="G57" i="24"/>
  <c r="O57" i="24"/>
  <c r="G59" i="24"/>
  <c r="O59" i="24"/>
  <c r="G63" i="24"/>
  <c r="O63" i="24"/>
  <c r="H59" i="24"/>
  <c r="P59" i="24"/>
  <c r="H63" i="24"/>
  <c r="P63" i="24"/>
  <c r="E19" i="24"/>
  <c r="E20" i="24" s="1"/>
  <c r="E23" i="24"/>
  <c r="E24" i="24" s="1"/>
  <c r="U23" i="24"/>
  <c r="U24" i="24" s="1"/>
  <c r="I57" i="24"/>
  <c r="Q57" i="24"/>
  <c r="I63" i="24"/>
  <c r="Q63" i="24"/>
  <c r="F19" i="24"/>
  <c r="F20" i="24" s="1"/>
  <c r="B63" i="24"/>
  <c r="J63" i="24"/>
  <c r="R63" i="24"/>
  <c r="A32" i="24"/>
  <c r="A34" i="24"/>
  <c r="A40" i="24"/>
  <c r="A42" i="24"/>
  <c r="A48" i="24"/>
  <c r="A50" i="24"/>
  <c r="C63" i="24"/>
  <c r="K63" i="24"/>
  <c r="S63" i="24"/>
  <c r="R23" i="24"/>
  <c r="R24"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O19" i="23"/>
  <c r="A32" i="23"/>
  <c r="A34" i="23"/>
  <c r="A40" i="23"/>
  <c r="A42" i="23"/>
  <c r="A48" i="23"/>
  <c r="A50" i="23"/>
  <c r="H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E19" i="22"/>
  <c r="M19" i="22"/>
  <c r="E23" i="22"/>
  <c r="I57" i="22"/>
  <c r="Q57" i="22"/>
  <c r="A39" i="22"/>
  <c r="A49" i="22"/>
  <c r="N19" i="22"/>
  <c r="V19" i="22"/>
  <c r="V23" i="22"/>
  <c r="G19" i="22"/>
  <c r="A32" i="22"/>
  <c r="A34" i="22"/>
  <c r="A40" i="22"/>
  <c r="A42" i="22"/>
  <c r="A48" i="22"/>
  <c r="A50" i="22"/>
  <c r="P19" i="22"/>
  <c r="H23" i="21"/>
  <c r="H24" i="21" s="1"/>
  <c r="L23" i="21"/>
  <c r="L24" i="21" s="1"/>
  <c r="N23" i="21"/>
  <c r="N24" i="21" s="1"/>
  <c r="A33" i="21"/>
  <c r="A37" i="21"/>
  <c r="A41" i="21"/>
  <c r="A45" i="21"/>
  <c r="A49" i="21"/>
  <c r="E58" i="21"/>
  <c r="E61" i="21" s="1"/>
  <c r="M58" i="21"/>
  <c r="M61" i="21" s="1"/>
  <c r="U58" i="21"/>
  <c r="U61" i="21" s="1"/>
  <c r="U64" i="21" s="1"/>
  <c r="S19" i="21"/>
  <c r="S20" i="21" s="1"/>
  <c r="I23" i="21"/>
  <c r="I24" i="21" s="1"/>
  <c r="C57" i="21"/>
  <c r="K57" i="21"/>
  <c r="S57" i="21"/>
  <c r="G19" i="21"/>
  <c r="G20" i="21" s="1"/>
  <c r="Q19" i="21"/>
  <c r="Q20" i="21" s="1"/>
  <c r="J23" i="21"/>
  <c r="J24" i="21" s="1"/>
  <c r="I19" i="21"/>
  <c r="I20" i="21" s="1"/>
  <c r="L19" i="21"/>
  <c r="L20" i="21" s="1"/>
  <c r="R19" i="21"/>
  <c r="R20" i="21" s="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T65" i="24" l="1"/>
  <c r="Q65" i="24"/>
  <c r="B65" i="24"/>
  <c r="C65" i="26"/>
  <c r="Q65" i="26"/>
  <c r="H65" i="26"/>
  <c r="C65" i="30"/>
  <c r="D65" i="30"/>
  <c r="E65" i="30"/>
  <c r="H65" i="30"/>
  <c r="J65" i="30"/>
  <c r="K65" i="30"/>
  <c r="T65" i="30"/>
  <c r="L65" i="30"/>
  <c r="T65" i="28"/>
  <c r="R65" i="28"/>
  <c r="K65" i="28"/>
  <c r="I65" i="28"/>
  <c r="S65" i="27"/>
  <c r="R65" i="27"/>
  <c r="J65" i="27"/>
  <c r="I65" i="27"/>
  <c r="E65" i="27"/>
  <c r="D65" i="27"/>
  <c r="C65" i="27"/>
  <c r="Q65" i="21"/>
  <c r="P65" i="21"/>
  <c r="K65" i="21"/>
  <c r="L65" i="21"/>
  <c r="D65" i="21"/>
  <c r="C23" i="21"/>
  <c r="C24" i="21" s="1"/>
  <c r="L64" i="28"/>
  <c r="L65" i="28" s="1"/>
  <c r="T64" i="21"/>
  <c r="T65" i="21" s="1"/>
  <c r="K64" i="27"/>
  <c r="K65" i="27" s="1"/>
  <c r="C64" i="22"/>
  <c r="C65" i="22" s="1"/>
  <c r="F64" i="26"/>
  <c r="F65" i="26" s="1"/>
  <c r="U64" i="30"/>
  <c r="U66" i="30" s="1"/>
  <c r="L64" i="23"/>
  <c r="L65" i="23" s="1"/>
  <c r="J64" i="28"/>
  <c r="J65" i="28" s="1"/>
  <c r="C64" i="21"/>
  <c r="C65" i="21" s="1"/>
  <c r="R64" i="30"/>
  <c r="R65" i="30" s="1"/>
  <c r="N64" i="22"/>
  <c r="N65" i="22" s="1"/>
  <c r="L64" i="26"/>
  <c r="L65" i="26" s="1"/>
  <c r="S64" i="26"/>
  <c r="S65" i="26" s="1"/>
  <c r="S64" i="29"/>
  <c r="S65" i="29" s="1"/>
  <c r="R64" i="29"/>
  <c r="R65" i="29" s="1"/>
  <c r="I64" i="26"/>
  <c r="I65" i="26" s="1"/>
  <c r="O64" i="21"/>
  <c r="O65" i="21" s="1"/>
  <c r="B64" i="30"/>
  <c r="B65" i="30" s="1"/>
  <c r="U65" i="30"/>
  <c r="U66" i="26"/>
  <c r="U65" i="26"/>
  <c r="U66" i="21"/>
  <c r="U65" i="21"/>
  <c r="N66" i="21"/>
  <c r="N65" i="21"/>
  <c r="M66" i="26"/>
  <c r="M65" i="26"/>
  <c r="F66"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C66" i="22"/>
  <c r="T66" i="21"/>
  <c r="H66" i="30"/>
  <c r="E66" i="30"/>
  <c r="L66" i="21"/>
  <c r="L66" i="28"/>
  <c r="L66" i="26"/>
  <c r="T66" i="30"/>
  <c r="C66" i="29"/>
  <c r="H66" i="22"/>
  <c r="R66" i="28"/>
  <c r="N64" i="26"/>
  <c r="O64" i="29"/>
  <c r="P64" i="29"/>
  <c r="S64" i="1"/>
  <c r="D66" i="27"/>
  <c r="N64" i="29"/>
  <c r="D66" i="23"/>
  <c r="O66" i="22"/>
  <c r="R64" i="1"/>
  <c r="R65" i="1" s="1"/>
  <c r="J66" i="23"/>
  <c r="Q64" i="1"/>
  <c r="U64" i="1"/>
  <c r="U65" i="1" s="1"/>
  <c r="P64" i="1"/>
  <c r="E66" i="27"/>
  <c r="J66" i="24"/>
  <c r="Q66" i="29"/>
  <c r="F64" i="29"/>
  <c r="O64" i="23"/>
  <c r="O64" i="30"/>
  <c r="N64" i="24"/>
  <c r="B66" i="24"/>
  <c r="K66" i="30"/>
  <c r="C66" i="30"/>
  <c r="I66" i="30"/>
  <c r="R66" i="29"/>
  <c r="I66" i="29"/>
  <c r="S66" i="29"/>
  <c r="T66" i="28"/>
  <c r="D66" i="28"/>
  <c r="Q66" i="28"/>
  <c r="I66" i="28"/>
  <c r="K66" i="28"/>
  <c r="Q66" i="27"/>
  <c r="I66" i="27"/>
  <c r="Q66" i="26"/>
  <c r="C66" i="26"/>
  <c r="I66" i="26"/>
  <c r="H66" i="26"/>
  <c r="D66" i="26"/>
  <c r="L66" i="24"/>
  <c r="D66" i="24"/>
  <c r="I66" i="23"/>
  <c r="E66" i="23"/>
  <c r="I66" i="22"/>
  <c r="M66" i="22"/>
  <c r="S66" i="22"/>
  <c r="K66" i="22"/>
  <c r="T66" i="22"/>
  <c r="K66" i="21"/>
  <c r="D66" i="21"/>
  <c r="R66" i="21"/>
  <c r="N64" i="1"/>
  <c r="M64" i="1"/>
  <c r="T64" i="1"/>
  <c r="L64" i="1"/>
  <c r="L65" i="1" s="1"/>
  <c r="J64" i="1"/>
  <c r="J65" i="1" s="1"/>
  <c r="K64" i="1"/>
  <c r="K65" i="1" s="1"/>
  <c r="O64" i="1"/>
  <c r="O65" i="1" s="1"/>
  <c r="C64" i="1"/>
  <c r="I64" i="1"/>
  <c r="H64" i="1"/>
  <c r="G64" i="1"/>
  <c r="F64" i="1"/>
  <c r="F65" i="1" s="1"/>
  <c r="E64" i="1"/>
  <c r="E65" i="1" s="1"/>
  <c r="D64" i="1"/>
  <c r="D65" i="1" s="1"/>
  <c r="B64" i="1"/>
  <c r="D63" i="1"/>
  <c r="L63" i="1"/>
  <c r="F63" i="1"/>
  <c r="R63" i="1"/>
  <c r="J63" i="1"/>
  <c r="Q63" i="1"/>
  <c r="I63" i="1"/>
  <c r="C63" i="1"/>
  <c r="K63" i="1"/>
  <c r="P63" i="1"/>
  <c r="H63" i="1"/>
  <c r="T63" i="1"/>
  <c r="S63" i="1"/>
  <c r="O63" i="1"/>
  <c r="G63" i="1"/>
  <c r="N63" i="1"/>
  <c r="E63" i="1"/>
  <c r="B63" i="1"/>
  <c r="U63" i="1"/>
  <c r="M63" i="1"/>
  <c r="G65" i="1" l="1"/>
  <c r="T65" i="1"/>
  <c r="H65" i="1"/>
  <c r="M65" i="1"/>
  <c r="P65" i="1"/>
  <c r="I65" i="1"/>
  <c r="N65" i="1"/>
  <c r="S65" i="1"/>
  <c r="C65" i="1"/>
  <c r="Q65" i="1"/>
  <c r="B65" i="1"/>
  <c r="Q66" i="1"/>
  <c r="L66" i="23"/>
  <c r="D66" i="22"/>
  <c r="L66" i="29"/>
  <c r="R66" i="30"/>
  <c r="S66" i="24"/>
  <c r="R66" i="26"/>
  <c r="S66" i="23"/>
  <c r="B66" i="30"/>
  <c r="M66" i="24"/>
  <c r="H66" i="21"/>
  <c r="P66" i="24"/>
  <c r="S66" i="26"/>
  <c r="O66" i="21"/>
  <c r="C66" i="21"/>
  <c r="Q66" i="22"/>
  <c r="U66" i="29"/>
  <c r="U65" i="29"/>
  <c r="U66" i="24"/>
  <c r="U65" i="24"/>
  <c r="U66" i="22"/>
  <c r="U65" i="22"/>
  <c r="U66" i="27"/>
  <c r="U65" i="27"/>
  <c r="U66" i="28"/>
  <c r="U65" i="28"/>
  <c r="T66" i="1"/>
  <c r="T66" i="26"/>
  <c r="T65" i="26"/>
  <c r="S66" i="28"/>
  <c r="S66" i="30"/>
  <c r="S65" i="30"/>
  <c r="S66" i="21"/>
  <c r="S65" i="21"/>
  <c r="R66" i="24"/>
  <c r="R65" i="24"/>
  <c r="R66" i="23"/>
  <c r="R65" i="23"/>
  <c r="Q66" i="23"/>
  <c r="Q65" i="23"/>
  <c r="P66" i="29"/>
  <c r="P65" i="29"/>
  <c r="P66" i="30"/>
  <c r="P65" i="30"/>
  <c r="P66" i="26"/>
  <c r="P66" i="28"/>
  <c r="P65" i="28"/>
  <c r="P66" i="27"/>
  <c r="O66" i="28"/>
  <c r="O65" i="28"/>
  <c r="O66" i="30"/>
  <c r="O65" i="30"/>
  <c r="O66" i="23"/>
  <c r="O65" i="23"/>
  <c r="O66" i="27"/>
  <c r="O65" i="27"/>
  <c r="O66" i="24"/>
  <c r="O65" i="24"/>
  <c r="O66" i="26"/>
  <c r="O65" i="26"/>
  <c r="O66" i="29"/>
  <c r="O65" i="29"/>
  <c r="N66" i="23"/>
  <c r="N66" i="28"/>
  <c r="N65" i="28"/>
  <c r="N66" i="30"/>
  <c r="N65" i="30"/>
  <c r="N66" i="27"/>
  <c r="N65" i="27"/>
  <c r="N66" i="26"/>
  <c r="N65" i="26"/>
  <c r="N66" i="24"/>
  <c r="N65" i="24"/>
  <c r="N66" i="29"/>
  <c r="N65" i="29"/>
  <c r="M66" i="23"/>
  <c r="M65" i="23"/>
  <c r="M66" i="27"/>
  <c r="M65" i="27"/>
  <c r="M66" i="21"/>
  <c r="M66" i="29"/>
  <c r="M66" i="28"/>
  <c r="M66" i="30"/>
  <c r="M65" i="30"/>
  <c r="L66" i="27"/>
  <c r="L65" i="27"/>
  <c r="L66" i="22"/>
  <c r="K66" i="23"/>
  <c r="K65" i="23"/>
  <c r="K66" i="29"/>
  <c r="K65" i="29"/>
  <c r="K66" i="26"/>
  <c r="K65" i="26"/>
  <c r="K66" i="24"/>
  <c r="J66" i="26"/>
  <c r="J66" i="29"/>
  <c r="J65" i="29"/>
  <c r="J66" i="21"/>
  <c r="J65" i="21"/>
  <c r="J66" i="22"/>
  <c r="J65" i="22"/>
  <c r="I66" i="21"/>
  <c r="I65" i="21"/>
  <c r="I66" i="24"/>
  <c r="H66" i="27"/>
  <c r="H65" i="27"/>
  <c r="H66" i="28"/>
  <c r="H65" i="28"/>
  <c r="H66" i="29"/>
  <c r="H65" i="29"/>
  <c r="H66" i="24"/>
  <c r="H65" i="24"/>
  <c r="G66" i="21"/>
  <c r="G65" i="21"/>
  <c r="G66" i="22"/>
  <c r="G65" i="22"/>
  <c r="G66" i="26"/>
  <c r="G65" i="26"/>
  <c r="G66" i="29"/>
  <c r="G65" i="29"/>
  <c r="G66" i="28"/>
  <c r="G65" i="28"/>
  <c r="G66" i="23"/>
  <c r="G65" i="23"/>
  <c r="G66" i="27"/>
  <c r="G65" i="27"/>
  <c r="G66" i="24"/>
  <c r="G65" i="24"/>
  <c r="F66" i="21"/>
  <c r="F65" i="21"/>
  <c r="F66" i="22"/>
  <c r="F65" i="22"/>
  <c r="F66" i="28"/>
  <c r="F65" i="28"/>
  <c r="F66" i="27"/>
  <c r="F65" i="27"/>
  <c r="F66" i="29"/>
  <c r="F65" i="29"/>
  <c r="F66" i="24"/>
  <c r="F65" i="24"/>
  <c r="F66" i="23"/>
  <c r="F65" i="23"/>
  <c r="F66" i="30"/>
  <c r="F65" i="30"/>
  <c r="E66" i="28"/>
  <c r="E65" i="28"/>
  <c r="E66" i="29"/>
  <c r="E65" i="29"/>
  <c r="E66" i="26"/>
  <c r="E65" i="26"/>
  <c r="E66" i="21"/>
  <c r="E65" i="21"/>
  <c r="E66" i="24"/>
  <c r="E65" i="24"/>
  <c r="D66" i="29"/>
  <c r="C66" i="28"/>
  <c r="C65" i="28"/>
  <c r="C66" i="24"/>
  <c r="C65" i="24"/>
  <c r="B66" i="27"/>
  <c r="B65" i="27"/>
  <c r="B66" i="28"/>
  <c r="B65" i="28"/>
  <c r="B66" i="21"/>
  <c r="B65" i="21"/>
  <c r="B66" i="26"/>
  <c r="B65" i="26"/>
  <c r="B66" i="22"/>
  <c r="B65" i="22"/>
  <c r="B66" i="29"/>
  <c r="B65" i="29"/>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<sst xmlns="http://schemas.openxmlformats.org/spreadsheetml/2006/main" count="2249" uniqueCount="175">
  <si>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</si>
  <si>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</si>
  <si>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</si>
  <si>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</si>
  <si>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</si>
  <si>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</si>
  <si>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</si>
  <si>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</si>
  <si>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</si>
  <si>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</si>
  <si>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</si>
  <si>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</si>
  <si>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</si>
  <si>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</si>
  <si>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</si>
  <si>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</si>
  <si>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</si>
  <si>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</si>
  <si>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</si>
  <si>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</si>
  <si>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</si>
  <si>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</si>
  <si>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</si>
  <si>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</si>
  <si>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</si>
  <si>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</si>
  <si>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</si>
  <si>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</si>
  <si>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</si>
  <si>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</si>
  <si>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</si>
  <si>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</si>
  <si>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</si>
  <si>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</si>
  <si>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</si>
  <si>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</si>
  <si>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</si>
  <si>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</si>
  <si>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</si>
  <si>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</si>
  <si>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</si>
  <si>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</si>
  <si>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</si>
  <si>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</si>
  <si>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</si>
  <si>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</si>
  <si>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</si>
  <si>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</si>
  <si>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</si>
  <si>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</si>
  <si>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</si>
  <si>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</si>
  <si>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</si>
  <si>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</si>
  <si>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</si>
  <si>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</si>
  <si>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</si>
  <si>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</si>
  <si>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</si>
  <si>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</si>
  <si>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</si>
  <si>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</si>
  <si>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</si>
  <si>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</si>
  <si>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</si>
  <si>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</si>
  <si>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</si>
  <si>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</si>
  <si>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</si>
  <si>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</si>
  <si>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</si>
  <si>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</si>
  <si>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</si>
  <si>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</si>
  <si>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</si>
  <si>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</si>
  <si>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</si>
  <si>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</si>
  <si>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</si>
  <si>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</si>
  <si>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</si>
  <si>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</si>
  <si>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</si>
  <si>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</si>
  <si>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</si>
  <si>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</si>
  <si>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</si>
  <si>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</si>
  <si>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</si>
  <si>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</si>
  <si>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</si>
  <si>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</si>
  <si>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</si>
  <si>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</si>
  <si>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</si>
  <si>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</si>
  <si>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</si>
  <si>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</si>
  <si>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</si>
  <si>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</si>
  <si>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</si>
  <si>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</si>
  <si>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</si>
  <si>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</si>
  <si>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</si>
  <si>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</si>
  <si>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</si>
  <si>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</si>
  <si>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</si>
  <si>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</si>
  <si>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</si>
  <si>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</si>
  <si>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</si>
  <si>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</si>
  <si>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</si>
  <si>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</si>
  <si>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</si>
  <si>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</si>
  <si>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</si>
  <si>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</si>
  <si>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</si>
  <si>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</si>
  <si>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</si>
  <si>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</si>
  <si>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</si>
  <si>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</si>
  <si>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</si>
  <si>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</si>
  <si>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</si>
  <si>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</si>
  <si>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</si>
  <si>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</si>
  <si>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</si>
  <si>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</si>
  <si>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</si>
  <si>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</si>
  <si>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</si>
  <si>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</si>
  <si>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</si>
  <si>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</si>
  <si>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</si>
  <si>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</si>
  <si>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</si>
  <si>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</si>
  <si>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</si>
  <si>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</si>
  <si>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</si>
  <si>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</si>
  <si>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</si>
  <si>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</si>
  <si>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</si>
  <si>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</si>
  <si>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</si>
  <si>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</si>
  <si>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</si>
  <si>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</si>
  <si>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</si>
  <si>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</si>
  <si>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</si>
  <si>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</si>
  <si>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Moderate</t>
  </si>
  <si>
    <t>PAN-019301</t>
  </si>
  <si>
    <t>19 09 02</t>
  </si>
  <si>
    <t xml:space="preserve">Byproduct Recovery Ltd </t>
  </si>
  <si>
    <t>Ethan Banfield</t>
  </si>
  <si>
    <t>Bryn Cowlyd WTW</t>
  </si>
  <si>
    <t xml:space="preserve">Mynydd Llandegai </t>
  </si>
  <si>
    <t>Farchwel, Tal-y-bont, Conwy, LL32 8UY</t>
  </si>
  <si>
    <t>Cwellyn</t>
  </si>
  <si>
    <t>Cefni</t>
  </si>
  <si>
    <t xml:space="preserve">Dolbenmaen </t>
  </si>
  <si>
    <t>Aber Falls</t>
  </si>
  <si>
    <t>02 07 02</t>
  </si>
  <si>
    <t>Alaw</t>
  </si>
  <si>
    <t>GP3792SK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</si>
</sst>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7" zoomScale="90" zoomScaleNormal="90" workbookViewId="0">
      <selection activeCell="C2" sqref="C2:D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161</v>
      </c>
      <c r="D1" s="122"/>
      <c r="E1" s="93" t="s">
        <v>45</v>
      </c>
      <c r="F1" s="96">
        <v>49.3</v>
      </c>
      <c r="G1" s="123" t="s">
        <v>43</v>
      </c>
      <c r="H1" s="124"/>
      <c r="I1" s="96">
        <v>5.2</v>
      </c>
      <c r="J1" s="127" t="s">
        <v>153</v>
      </c>
      <c r="K1" s="127"/>
      <c r="L1" s="96">
        <v>183</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174</v>
      </c>
      <c r="D2" s="120"/>
      <c r="E2" s="93" t="s">
        <v>109</v>
      </c>
      <c r="F2" s="96" t="s">
        <v>162</v>
      </c>
      <c r="G2" s="125" t="s">
        <v>110</v>
      </c>
      <c r="H2" s="126"/>
      <c r="I2" s="96"/>
      <c r="J2" s="127" t="s">
        <v>158</v>
      </c>
      <c r="K2" s="127"/>
      <c r="L2" s="96">
        <v>0.56999999999999995</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163</v>
      </c>
      <c r="D3" s="120"/>
      <c r="E3" s="93" t="s">
        <v>108</v>
      </c>
      <c r="F3" s="31" t="s">
        <v>78</v>
      </c>
      <c r="G3" s="127" t="s">
        <v>159</v>
      </c>
      <c r="H3" s="127"/>
      <c r="I3" s="96"/>
      <c r="J3" s="123" t="s">
        <v>154</v>
      </c>
      <c r="K3" s="124"/>
      <c r="L3" s="96">
        <f>(L1/(L2*10000))*100</f>
        <v>3.2105263157894739</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167</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v>10</v>
      </c>
      <c r="M8" s="15">
        <v>11</v>
      </c>
      <c r="N8" s="15">
        <v>12</v>
      </c>
      <c r="O8" s="15">
        <v>13</v>
      </c>
      <c r="P8" s="15">
        <v>15</v>
      </c>
      <c r="Q8" s="15">
        <v>16</v>
      </c>
      <c r="R8" s="15">
        <v>21</v>
      </c>
      <c r="S8" s="15">
        <v>22</v>
      </c>
      <c r="T8" s="15">
        <v>23</v>
      </c>
      <c r="U8" s="15">
        <v>7078</v>
      </c>
      <c r="V8" s="15">
        <v>7058</v>
      </c>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160</v>
      </c>
      <c r="D9" s="15" t="s">
        <v>160</v>
      </c>
      <c r="E9" s="15" t="s">
        <v>160</v>
      </c>
      <c r="F9" s="15" t="s">
        <v>160</v>
      </c>
      <c r="G9" s="15" t="s">
        <v>160</v>
      </c>
      <c r="H9" s="15" t="s">
        <v>160</v>
      </c>
      <c r="I9" s="15" t="s">
        <v>160</v>
      </c>
      <c r="J9" s="15" t="s">
        <v>160</v>
      </c>
      <c r="K9" s="15" t="s">
        <v>160</v>
      </c>
      <c r="L9" s="15" t="s">
        <v>160</v>
      </c>
      <c r="M9" s="15" t="s">
        <v>160</v>
      </c>
      <c r="N9" s="15" t="s">
        <v>160</v>
      </c>
      <c r="O9" s="15" t="s">
        <v>160</v>
      </c>
      <c r="P9" s="15" t="s">
        <v>160</v>
      </c>
      <c r="Q9" s="15" t="s">
        <v>160</v>
      </c>
      <c r="R9" s="15" t="s">
        <v>160</v>
      </c>
      <c r="S9" s="15" t="s">
        <v>160</v>
      </c>
      <c r="T9" s="15" t="s">
        <v>160</v>
      </c>
      <c r="U9" s="15" t="s">
        <v>160</v>
      </c>
      <c r="V9" s="15" t="s">
        <v>160</v>
      </c>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6.1</v>
      </c>
      <c r="D10" s="15">
        <v>5.8</v>
      </c>
      <c r="E10" s="15">
        <v>5.9</v>
      </c>
      <c r="F10" s="15">
        <v>5.3</v>
      </c>
      <c r="G10" s="15">
        <v>5.4</v>
      </c>
      <c r="H10" s="15">
        <v>5.9</v>
      </c>
      <c r="I10" s="15">
        <v>5.7</v>
      </c>
      <c r="J10" s="15">
        <v>5.5</v>
      </c>
      <c r="K10" s="15">
        <v>5.5</v>
      </c>
      <c r="L10" s="15">
        <v>5.3</v>
      </c>
      <c r="M10" s="15">
        <v>6.2</v>
      </c>
      <c r="N10" s="15">
        <v>5.4</v>
      </c>
      <c r="O10" s="15">
        <v>5.5</v>
      </c>
      <c r="P10" s="15">
        <v>5.3</v>
      </c>
      <c r="Q10" s="15">
        <v>5.3</v>
      </c>
      <c r="R10" s="15">
        <v>6.1</v>
      </c>
      <c r="S10" s="15">
        <v>5.8</v>
      </c>
      <c r="T10" s="15">
        <v>5.5</v>
      </c>
      <c r="U10" s="15">
        <v>5.7</v>
      </c>
      <c r="V10" s="15">
        <v>5.5</v>
      </c>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1</v>
      </c>
      <c r="D11" s="15">
        <v>3</v>
      </c>
      <c r="E11" s="15">
        <v>3</v>
      </c>
      <c r="F11" s="15">
        <v>2</v>
      </c>
      <c r="G11" s="15">
        <v>1</v>
      </c>
      <c r="H11" s="15">
        <v>1</v>
      </c>
      <c r="I11" s="15">
        <v>2</v>
      </c>
      <c r="J11" s="15">
        <v>1</v>
      </c>
      <c r="K11" s="15">
        <v>2</v>
      </c>
      <c r="L11" s="15">
        <v>2</v>
      </c>
      <c r="M11" s="15">
        <v>2</v>
      </c>
      <c r="N11" s="15">
        <v>3</v>
      </c>
      <c r="O11" s="15">
        <v>2</v>
      </c>
      <c r="P11" s="15">
        <v>3</v>
      </c>
      <c r="Q11" s="15">
        <v>2</v>
      </c>
      <c r="R11" s="15">
        <v>1</v>
      </c>
      <c r="S11" s="15">
        <v>3</v>
      </c>
      <c r="T11" s="15">
        <v>2</v>
      </c>
      <c r="U11" s="15">
        <v>1</v>
      </c>
      <c r="V11" s="15">
        <v>1</v>
      </c>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2</v>
      </c>
      <c r="E12" s="15">
        <v>2</v>
      </c>
      <c r="F12" s="15">
        <v>1</v>
      </c>
      <c r="G12" s="15">
        <v>0</v>
      </c>
      <c r="H12" s="15">
        <v>0</v>
      </c>
      <c r="I12" s="15">
        <v>2</v>
      </c>
      <c r="J12" s="15">
        <v>1</v>
      </c>
      <c r="K12" s="15">
        <v>2</v>
      </c>
      <c r="L12" s="15">
        <v>1</v>
      </c>
      <c r="M12" s="15">
        <v>0</v>
      </c>
      <c r="N12" s="15">
        <v>0</v>
      </c>
      <c r="O12" s="15">
        <v>0</v>
      </c>
      <c r="P12" s="15">
        <v>2</v>
      </c>
      <c r="Q12" s="15">
        <v>2</v>
      </c>
      <c r="R12" s="15">
        <v>2</v>
      </c>
      <c r="S12" s="15">
        <v>2</v>
      </c>
      <c r="T12" s="15">
        <v>2</v>
      </c>
      <c r="U12" s="15">
        <v>1</v>
      </c>
      <c r="V12" s="15">
        <v>1</v>
      </c>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1</v>
      </c>
      <c r="D13" s="15">
        <v>2</v>
      </c>
      <c r="E13" s="15">
        <v>2</v>
      </c>
      <c r="F13" s="15">
        <v>2</v>
      </c>
      <c r="G13" s="15">
        <v>2</v>
      </c>
      <c r="H13" s="15">
        <v>2</v>
      </c>
      <c r="I13" s="15">
        <v>1</v>
      </c>
      <c r="J13" s="15">
        <v>2</v>
      </c>
      <c r="K13" s="15">
        <v>2</v>
      </c>
      <c r="L13" s="15">
        <v>2</v>
      </c>
      <c r="M13" s="15">
        <v>1</v>
      </c>
      <c r="N13" s="15">
        <v>1</v>
      </c>
      <c r="O13" s="15">
        <v>2</v>
      </c>
      <c r="P13" s="15">
        <v>2</v>
      </c>
      <c r="Q13" s="15">
        <v>2</v>
      </c>
      <c r="R13" s="15">
        <v>2</v>
      </c>
      <c r="S13" s="15">
        <v>2</v>
      </c>
      <c r="T13" s="15">
        <v>2</v>
      </c>
      <c r="U13" s="15">
        <v>2</v>
      </c>
      <c r="V13" s="15">
        <v>2</v>
      </c>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t="s">
        <v>72</v>
      </c>
      <c r="S16" s="101" t="s">
        <v>72</v>
      </c>
      <c r="T16" s="101" t="s">
        <v>72</v>
      </c>
      <c r="U16" s="101" t="s">
        <v>72</v>
      </c>
      <c r="V16" s="101" t="s">
        <v>72</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4.5878420499999999</v>
      </c>
      <c r="D18" s="16">
        <f>$D32</f>
        <v>4.5878420499999999</v>
      </c>
      <c r="E18" s="16">
        <f>$D33</f>
        <v>4.5878420499999999</v>
      </c>
      <c r="F18" s="16">
        <f>$D34</f>
        <v>4.5878420499999999</v>
      </c>
      <c r="G18" s="16">
        <f>$D35</f>
        <v>4.5878420499999999</v>
      </c>
      <c r="H18" s="16">
        <f>$D36</f>
        <v>4.5878420499999999</v>
      </c>
      <c r="I18" s="16">
        <f>$D37</f>
        <v>4.5878420499999999</v>
      </c>
      <c r="J18" s="16">
        <f>$D38</f>
        <v>4.5878420499999999</v>
      </c>
      <c r="K18" s="16">
        <f>$D39</f>
        <v>4.5878420499999999</v>
      </c>
      <c r="L18" s="16">
        <f>$D40</f>
        <v>4.5878420499999999</v>
      </c>
      <c r="M18" s="16">
        <f>$D41</f>
        <v>4.5878420499999999</v>
      </c>
      <c r="N18" s="16">
        <f>$D42</f>
        <v>4.5878420499999999</v>
      </c>
      <c r="O18" s="16">
        <f>$D43</f>
        <v>4.5878420499999999</v>
      </c>
      <c r="P18" s="16">
        <f>$D44</f>
        <v>4.5878420499999999</v>
      </c>
      <c r="Q18" s="16">
        <f>$D45</f>
        <v>4.5878420499999999</v>
      </c>
      <c r="R18" s="16">
        <f>$D46</f>
        <v>4.5878420499999999</v>
      </c>
      <c r="S18" s="16">
        <f>$D47</f>
        <v>4.5878420499999999</v>
      </c>
      <c r="T18" s="16">
        <f>$D48</f>
        <v>4.5878420499999999</v>
      </c>
      <c r="U18" s="16">
        <f>$D49</f>
        <v>4.5878420499999999</v>
      </c>
      <c r="V18" s="25">
        <f>$D50</f>
        <v>4.5878420499999999</v>
      </c>
      <c r="AD18" s="52" t="s">
        <v>147</v>
      </c>
      <c r="AE18" s="30">
        <v>16</v>
      </c>
      <c r="AI18" s="48" t="s">
        <v>106</v>
      </c>
      <c r="AJ18" s="49">
        <v>5.9</v>
      </c>
      <c r="AK18" s="50">
        <v>18</v>
      </c>
      <c r="AL18" s="51">
        <v>16</v>
      </c>
      <c r="AM18" s="11">
        <v>6.2</v>
      </c>
      <c r="AN18" s="11" t="s">
        <v>112</v>
      </c>
    </row>
    <row r="19" spans="1:40" ht="13" x14ac:dyDescent="0.25">
      <c r="A19" s="131" t="s">
        <v>90</v>
      </c>
      <c r="B19" s="132"/>
      <c r="C19" s="16">
        <f>C18-C17</f>
        <v>-60.012157949999995</v>
      </c>
      <c r="D19" s="16">
        <f t="shared" ref="D19:V19" si="1">D18-D17</f>
        <v>-60.012157949999995</v>
      </c>
      <c r="E19" s="16">
        <f t="shared" si="1"/>
        <v>-60.012157949999995</v>
      </c>
      <c r="F19" s="16">
        <f t="shared" si="1"/>
        <v>-60.012157949999995</v>
      </c>
      <c r="G19" s="16">
        <f t="shared" si="1"/>
        <v>-60.012157949999995</v>
      </c>
      <c r="H19" s="16">
        <f t="shared" si="1"/>
        <v>-60.012157949999995</v>
      </c>
      <c r="I19" s="16">
        <f t="shared" si="1"/>
        <v>-60.012157949999995</v>
      </c>
      <c r="J19" s="16">
        <f t="shared" si="1"/>
        <v>-60.012157949999995</v>
      </c>
      <c r="K19" s="16">
        <f t="shared" si="1"/>
        <v>-60.012157949999995</v>
      </c>
      <c r="L19" s="16">
        <f t="shared" si="1"/>
        <v>-60.012157949999995</v>
      </c>
      <c r="M19" s="16">
        <f t="shared" si="1"/>
        <v>-60.012157949999995</v>
      </c>
      <c r="N19" s="16">
        <f t="shared" si="1"/>
        <v>-60.012157949999995</v>
      </c>
      <c r="O19" s="16">
        <f t="shared" si="1"/>
        <v>-60.012157949999995</v>
      </c>
      <c r="P19" s="16">
        <f t="shared" si="1"/>
        <v>-60.012157949999995</v>
      </c>
      <c r="Q19" s="16">
        <f t="shared" si="1"/>
        <v>-60.012157949999995</v>
      </c>
      <c r="R19" s="16">
        <f t="shared" si="1"/>
        <v>-60.012157949999995</v>
      </c>
      <c r="S19" s="16">
        <f t="shared" si="1"/>
        <v>-60.012157949999995</v>
      </c>
      <c r="T19" s="16">
        <f t="shared" si="1"/>
        <v>-60.012157949999995</v>
      </c>
      <c r="U19" s="16">
        <f t="shared" si="1"/>
        <v>-60.012157949999995</v>
      </c>
      <c r="V19" s="25">
        <f t="shared" si="1"/>
        <v>-60.012157949999995</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8.6750962499999997E-5</v>
      </c>
      <c r="D22" s="16">
        <f>$E32</f>
        <v>8.6750962499999997E-5</v>
      </c>
      <c r="E22" s="16">
        <f>$E33</f>
        <v>8.6750962499999997E-5</v>
      </c>
      <c r="F22" s="16">
        <f>$E34</f>
        <v>8.6750962499999997E-5</v>
      </c>
      <c r="G22" s="16">
        <f>$E35</f>
        <v>8.6750962499999997E-5</v>
      </c>
      <c r="H22" s="16">
        <f>$E36</f>
        <v>8.6750962499999997E-5</v>
      </c>
      <c r="I22" s="16">
        <f>$E37</f>
        <v>8.6750962499999997E-5</v>
      </c>
      <c r="J22" s="16">
        <f>$E38</f>
        <v>8.6750962499999997E-5</v>
      </c>
      <c r="K22" s="16">
        <f>$E39</f>
        <v>8.6750962499999997E-5</v>
      </c>
      <c r="L22" s="16">
        <f>$E40</f>
        <v>8.6750962499999997E-5</v>
      </c>
      <c r="M22" s="16">
        <f>$E41</f>
        <v>8.6750962499999997E-5</v>
      </c>
      <c r="N22" s="16">
        <f>$E42</f>
        <v>8.6750962499999997E-5</v>
      </c>
      <c r="O22" s="16">
        <f>$E43</f>
        <v>8.6750962499999997E-5</v>
      </c>
      <c r="P22" s="16">
        <f>$E44</f>
        <v>8.6750962499999997E-5</v>
      </c>
      <c r="Q22" s="16">
        <f>$E45</f>
        <v>8.6750962499999997E-5</v>
      </c>
      <c r="R22" s="16">
        <f>$E46</f>
        <v>8.6750962499999997E-5</v>
      </c>
      <c r="S22" s="16">
        <f>$E47</f>
        <v>8.6750962499999997E-5</v>
      </c>
      <c r="T22" s="16">
        <f>$E48</f>
        <v>8.6750962499999997E-5</v>
      </c>
      <c r="U22" s="16">
        <f>$E49</f>
        <v>8.6750962499999997E-5</v>
      </c>
      <c r="V22" s="16">
        <f>$E50</f>
        <v>8.6750962499999997E-5</v>
      </c>
      <c r="AI22" s="63" t="s">
        <v>102</v>
      </c>
      <c r="AJ22" s="64">
        <v>1.2</v>
      </c>
      <c r="AK22" s="65">
        <v>5</v>
      </c>
      <c r="AL22" s="29">
        <v>20</v>
      </c>
      <c r="AM22" s="11">
        <v>6.7</v>
      </c>
      <c r="AN22" s="11" t="s">
        <v>135</v>
      </c>
    </row>
    <row r="23" spans="1:40" ht="13" x14ac:dyDescent="0.25">
      <c r="A23" s="131" t="s">
        <v>92</v>
      </c>
      <c r="B23" s="132"/>
      <c r="C23" s="16">
        <f>C22-C21</f>
        <v>-227.99991324903749</v>
      </c>
      <c r="D23" s="16">
        <f t="shared" ref="D23:V23" si="3">D22-D21</f>
        <v>-227.99991324903749</v>
      </c>
      <c r="E23" s="16">
        <f t="shared" si="3"/>
        <v>-227.99991324903749</v>
      </c>
      <c r="F23" s="16">
        <f t="shared" si="3"/>
        <v>-227.99991324903749</v>
      </c>
      <c r="G23" s="16">
        <f t="shared" si="3"/>
        <v>-227.99991324903749</v>
      </c>
      <c r="H23" s="16">
        <f t="shared" si="3"/>
        <v>-227.99991324903749</v>
      </c>
      <c r="I23" s="16">
        <f t="shared" si="3"/>
        <v>-227.99991324903749</v>
      </c>
      <c r="J23" s="16">
        <f t="shared" si="3"/>
        <v>-227.99991324903749</v>
      </c>
      <c r="K23" s="16">
        <f t="shared" si="3"/>
        <v>-227.99991324903749</v>
      </c>
      <c r="L23" s="16">
        <f t="shared" si="3"/>
        <v>-227.99991324903749</v>
      </c>
      <c r="M23" s="16">
        <f t="shared" si="3"/>
        <v>-227.99991324903749</v>
      </c>
      <c r="N23" s="16">
        <f t="shared" si="3"/>
        <v>-227.99991324903749</v>
      </c>
      <c r="O23" s="16">
        <f t="shared" si="3"/>
        <v>-227.99991324903749</v>
      </c>
      <c r="P23" s="16">
        <f t="shared" si="3"/>
        <v>-227.99991324903749</v>
      </c>
      <c r="Q23" s="16">
        <f t="shared" si="3"/>
        <v>-227.99991324903749</v>
      </c>
      <c r="R23" s="16">
        <f t="shared" si="3"/>
        <v>-227.99991324903749</v>
      </c>
      <c r="S23" s="16">
        <f t="shared" si="3"/>
        <v>-227.99991324903749</v>
      </c>
      <c r="T23" s="16">
        <f t="shared" si="3"/>
        <v>-227.99991324903749</v>
      </c>
      <c r="U23" s="16">
        <f t="shared" si="3"/>
        <v>-227.99991324903749</v>
      </c>
      <c r="V23" s="16">
        <f t="shared" si="3"/>
        <v>-227.99991324903749</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3.31</v>
      </c>
      <c r="C28" s="15">
        <v>0.56999999999999995</v>
      </c>
      <c r="D28" s="15">
        <v>2.4199999999999999E-2</v>
      </c>
      <c r="E28" s="15">
        <v>8.6999999999999994E-3</v>
      </c>
      <c r="F28" s="15">
        <v>271</v>
      </c>
      <c r="G28" s="15">
        <v>7.8</v>
      </c>
      <c r="H28" s="15">
        <v>145</v>
      </c>
      <c r="I28" s="15">
        <v>26.5</v>
      </c>
      <c r="J28" s="15">
        <v>0.74</v>
      </c>
      <c r="K28" s="23">
        <v>0.61</v>
      </c>
      <c r="L28" s="15">
        <v>43.2</v>
      </c>
      <c r="M28" s="15">
        <v>9.69</v>
      </c>
      <c r="N28" s="15">
        <v>2700</v>
      </c>
      <c r="O28" s="15">
        <v>468000</v>
      </c>
      <c r="P28" s="15"/>
      <c r="Q28" s="15">
        <v>5970</v>
      </c>
      <c r="R28" s="15"/>
      <c r="S28" s="15">
        <v>11.5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47.16749999999999</v>
      </c>
      <c r="D31" s="77">
        <f>(IF(D$27="%w/w SAR",((D$28*10)*$B31),IF(D$27="%w/w DM",(((D$28*10)*($B$28/100))*$B31),IF(D$27="kg/t SAR",(D$28*$B31),IF(D$27="kg/t DM",((D$28*($B$28/100))*$B31),IF(D$27="mg/kg SAR",((D$28*0.001)*$B31),IF(D$27="mg/kg DM",(((D$28*0.001)*($B$28/100))*$B31),"0")))))))*2.291</f>
        <v>4.5878420499999999</v>
      </c>
      <c r="E31" s="77">
        <f>(IF(E$27="%w/w SAR",((E$28*10)*$B31),IF(E$27="%w/w DM",(((E$28*10)*($B$28/100))*$B31),IF(E$27="kg/t SAR",(E$28*$B31),IF(E$27="kg/t DM",((E$28*($B$28/100))*$B31),IF(E$27="mg/kg SAR",((E$28*0.001)*$B31),IF(E$27="mg/kg DM",(((E$28*0.001)*($B$28/100))*$B31),"0")))))))*1.205</f>
        <v>8.6750962499999997E-5</v>
      </c>
      <c r="F31" s="77">
        <f>(IF(F$27="%w/w SAR",((F$28*10)*$B31),IF(F$27="%w/w DM",(((F$28*10)*($B$28/100))*$B31),IF(F$27="kg/t SAR",(F$28*$B31),IF(F$27="kg/t DM",((F$28*($B$28/100))*$B31),IF(F$27="mg/kg SAR",((F$28*0.001)*$B31),IF(F$27="mg/kg DM",(((F$28*0.001)*($B$28/100))*$B31),"0")))))))*1.658</f>
        <v>3.7181064500000001</v>
      </c>
      <c r="G31" s="77">
        <f t="shared" ref="G31:P31" si="5">IF(G$27="%w/w SAR",((G$28*10)*$B31),IF(G$27="%w/w DM",(((G$28*10)*($B$28/100))*$B31),IF(G$27="kg/t SAR",(G$28*$B31),IF(G$27="kg/t DM",((G$28*($B$28/100))*$B31),IF(G$27="mg/kg SAR",((G$28*0.001)*$B31),IF(G$27="mg/kg DM",(((G$28*0.001)*($B$28/100))*$B31),0))))))</f>
        <v>6.4544999999999991E-2</v>
      </c>
      <c r="H31" s="77">
        <f t="shared" si="5"/>
        <v>1.1998749999999998</v>
      </c>
      <c r="I31" s="77">
        <f t="shared" si="5"/>
        <v>0.2192875</v>
      </c>
      <c r="J31" s="77">
        <f t="shared" si="5"/>
        <v>6.1234999999999987E-3</v>
      </c>
      <c r="K31" s="77">
        <f t="shared" si="5"/>
        <v>5.0477499999999993E-3</v>
      </c>
      <c r="L31" s="77">
        <f t="shared" si="5"/>
        <v>0.35747999999999996</v>
      </c>
      <c r="M31" s="77">
        <f t="shared" si="5"/>
        <v>8.0184749999999985E-2</v>
      </c>
      <c r="N31" s="77">
        <f t="shared" si="5"/>
        <v>22.342500000000001</v>
      </c>
      <c r="O31" s="77">
        <f t="shared" si="5"/>
        <v>3872.6999999999994</v>
      </c>
      <c r="P31" s="77">
        <f t="shared" si="5"/>
        <v>0</v>
      </c>
      <c r="Q31" s="77">
        <f>(IF(Q$27="%w/w SAR",((Q$28*10)*$B31),IF(Q$27="%w/w DM",(((Q$28*10)*($B$28/100))*$B31),IF(Q$27="kg/t SAR",(Q$28*$B31),IF(Q$27="kg/t DM",((Q$28*($B$28/100))*$B31),IF(Q$27="mg/kg SAR",((Q$28*0.001)*$B31),IF(Q$27="mg/kg DM",(((Q$28*0.001)*($B$28/100))*$B31),0)))))))*2.5</f>
        <v>123.50437499999998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9.5162499999999983E-2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47.16749999999999</v>
      </c>
      <c r="D32" s="77">
        <f t="shared" ref="D32:D50" si="7">(IF(D$27="%w/w SAR",((D$28*10)*$B32),IF(D$27="%w/w DM",(((D$28*10)*($B$28/100))*$B32),IF(D$27="kg/t SAR",(D$28*$B32),IF(D$27="kg/t DM",((D$28*($B$28/100))*$B32),IF(D$27="mg/kg SAR",((D$28*0.001)*$B32),IF(D$27="mg/kg DM",(((D$28*0.001)*($B$28/100))*$B32),"0")))))))*2.291</f>
        <v>4.5878420499999999</v>
      </c>
      <c r="E32" s="77">
        <f t="shared" ref="E32:E50" si="8">(IF(E$27="%w/w SAR",((E$28*10)*$B32),IF(E$27="%w/w DM",(((E$28*10)*($B$28/100))*$B32),IF(E$27="kg/t SAR",(E$28*$B32),IF(E$27="kg/t DM",((E$28*($B$28/100))*$B32),IF(E$27="mg/kg SAR",((E$28*0.001)*$B32),IF(E$27="mg/kg DM",(((E$28*0.001)*($B$28/100))*$B32),"0")))))))*1.205</f>
        <v>8.6750962499999997E-5</v>
      </c>
      <c r="F32" s="77">
        <f t="shared" ref="F32:F50" si="9">(IF(F$27="%w/w SAR",((F$28*10)*$B32),IF(F$27="%w/w DM",(((F$28*10)*($B$28/100))*$B32),IF(F$27="kg/t SAR",(F$28*$B32),IF(F$27="kg/t DM",((F$28*($B$28/100))*$B32),IF(F$27="mg/kg SAR",((F$28*0.001)*$B32),IF(F$27="mg/kg DM",(((F$28*0.001)*($B$28/100))*$B32),"0")))))))*1.658</f>
        <v>3.7181064500000001</v>
      </c>
      <c r="G32" s="77">
        <f t="shared" ref="G32:P50" si="10">IF(G$27="%w/w SAR",((G$28*10)*$B32),IF(G$27="%w/w DM",(((G$28*10)*($B$28/100))*$B32),IF(G$27="kg/t SAR",(G$28*$B32),IF(G$27="kg/t DM",((G$28*($B$28/100))*$B32),IF(G$27="mg/kg SAR",((G$28*0.001)*$B32),IF(G$27="mg/kg DM",(((G$28*0.001)*($B$28/100))*$B32),0))))))</f>
        <v>6.4544999999999991E-2</v>
      </c>
      <c r="H32" s="77">
        <f t="shared" si="10"/>
        <v>1.1998749999999998</v>
      </c>
      <c r="I32" s="77">
        <f t="shared" si="10"/>
        <v>0.2192875</v>
      </c>
      <c r="J32" s="77">
        <f t="shared" si="10"/>
        <v>6.1234999999999987E-3</v>
      </c>
      <c r="K32" s="77">
        <f t="shared" si="10"/>
        <v>5.0477499999999993E-3</v>
      </c>
      <c r="L32" s="77">
        <f t="shared" si="10"/>
        <v>0.35747999999999996</v>
      </c>
      <c r="M32" s="77">
        <f t="shared" si="10"/>
        <v>8.0184749999999985E-2</v>
      </c>
      <c r="N32" s="77">
        <f t="shared" si="10"/>
        <v>22.342500000000001</v>
      </c>
      <c r="O32" s="77">
        <f t="shared" si="10"/>
        <v>3872.6999999999994</v>
      </c>
      <c r="P32" s="77">
        <f t="shared" si="10"/>
        <v>0</v>
      </c>
      <c r="Q32" s="77">
        <f t="shared" ref="Q32:Q50" si="11">(IF(Q$27="%w/w SAR",((Q$28*10)*$B32),IF(Q$27="%w/w DM",(((Q$28*10)*($B$28/100))*$B32),IF(Q$27="kg/t SAR",(Q$28*$B32),IF(Q$27="kg/t DM",((Q$28*($B$28/100))*$B32),IF(Q$27="mg/kg SAR",((Q$28*0.001)*$B32),IF(Q$27="mg/kg DM",(((Q$28*0.001)*($B$28/100))*$B32),0)))))))*2.5</f>
        <v>123.50437499999998</v>
      </c>
      <c r="R32" s="77">
        <f t="shared" ref="R32:U50" si="12">IF(R$27="%w/w SAR",((R$28*10)*$B32),IF(R$27="%w/w DM",(((R$28*10)*($B$28/100))*$B32),IF(R$27="kg/t SAR",(R$28*$B32),IF(R$27="kg/t DM",((R$28*($B$28/100))*$B32),IF(R$27="mg/kg SAR",((R$28*0.001)*$B32),IF(R$27="mg/kg DM",(((R$28*0.001)*($B$28/100))*$B32),0))))))</f>
        <v>0</v>
      </c>
      <c r="S32" s="77">
        <f t="shared" si="12"/>
        <v>9.5162499999999983E-2</v>
      </c>
      <c r="T32" s="77">
        <f t="shared" si="12"/>
        <v>0</v>
      </c>
      <c r="U32" s="77">
        <f t="shared" si="12"/>
        <v>0</v>
      </c>
      <c r="AB32" s="59"/>
      <c r="AC32" s="59"/>
      <c r="AD32" s="59"/>
      <c r="AE32" s="59"/>
      <c r="AF32" s="59"/>
      <c r="AG32" s="59"/>
      <c r="AH32" s="59"/>
      <c r="AI32" s="59"/>
    </row>
    <row r="33" spans="1:35" s="72" customFormat="1" ht="13" x14ac:dyDescent="0.35">
      <c r="A33" s="13">
        <f>E8</f>
        <v>3</v>
      </c>
      <c r="B33" s="15">
        <v>250</v>
      </c>
      <c r="C33" s="77">
        <f t="shared" si="6"/>
        <v>47.16749999999999</v>
      </c>
      <c r="D33" s="77">
        <f t="shared" si="7"/>
        <v>4.5878420499999999</v>
      </c>
      <c r="E33" s="77">
        <f t="shared" si="8"/>
        <v>8.6750962499999997E-5</v>
      </c>
      <c r="F33" s="77">
        <f t="shared" si="9"/>
        <v>3.7181064500000001</v>
      </c>
      <c r="G33" s="77">
        <f t="shared" si="10"/>
        <v>6.4544999999999991E-2</v>
      </c>
      <c r="H33" s="77">
        <f t="shared" si="10"/>
        <v>1.1998749999999998</v>
      </c>
      <c r="I33" s="77">
        <f t="shared" si="10"/>
        <v>0.2192875</v>
      </c>
      <c r="J33" s="77">
        <f t="shared" si="10"/>
        <v>6.1234999999999987E-3</v>
      </c>
      <c r="K33" s="77">
        <f t="shared" si="10"/>
        <v>5.0477499999999993E-3</v>
      </c>
      <c r="L33" s="77">
        <f t="shared" si="10"/>
        <v>0.35747999999999996</v>
      </c>
      <c r="M33" s="77">
        <f t="shared" si="10"/>
        <v>8.0184749999999985E-2</v>
      </c>
      <c r="N33" s="77">
        <f t="shared" si="10"/>
        <v>22.342500000000001</v>
      </c>
      <c r="O33" s="77">
        <f t="shared" si="10"/>
        <v>3872.6999999999994</v>
      </c>
      <c r="P33" s="77">
        <f t="shared" si="10"/>
        <v>0</v>
      </c>
      <c r="Q33" s="77">
        <f t="shared" si="11"/>
        <v>123.50437499999998</v>
      </c>
      <c r="R33" s="77">
        <f t="shared" si="12"/>
        <v>0</v>
      </c>
      <c r="S33" s="77">
        <f t="shared" si="12"/>
        <v>9.5162499999999983E-2</v>
      </c>
      <c r="T33" s="77">
        <f t="shared" si="12"/>
        <v>0</v>
      </c>
      <c r="U33" s="77">
        <f t="shared" si="12"/>
        <v>0</v>
      </c>
      <c r="AB33" s="59"/>
      <c r="AC33" s="59"/>
      <c r="AD33" s="59"/>
      <c r="AE33" s="59"/>
      <c r="AF33" s="59"/>
      <c r="AG33" s="59"/>
      <c r="AH33" s="59"/>
      <c r="AI33" s="59"/>
    </row>
    <row r="34" spans="1:35" s="72" customFormat="1" ht="13" x14ac:dyDescent="0.35">
      <c r="A34" s="13">
        <f>F8</f>
        <v>4</v>
      </c>
      <c r="B34" s="15">
        <v>250</v>
      </c>
      <c r="C34" s="77">
        <f t="shared" si="6"/>
        <v>47.16749999999999</v>
      </c>
      <c r="D34" s="77">
        <f t="shared" si="7"/>
        <v>4.5878420499999999</v>
      </c>
      <c r="E34" s="77">
        <f t="shared" si="8"/>
        <v>8.6750962499999997E-5</v>
      </c>
      <c r="F34" s="77">
        <f t="shared" si="9"/>
        <v>3.7181064500000001</v>
      </c>
      <c r="G34" s="77">
        <f t="shared" si="10"/>
        <v>6.4544999999999991E-2</v>
      </c>
      <c r="H34" s="77">
        <f t="shared" si="10"/>
        <v>1.1998749999999998</v>
      </c>
      <c r="I34" s="77">
        <f t="shared" si="10"/>
        <v>0.2192875</v>
      </c>
      <c r="J34" s="77">
        <f t="shared" si="10"/>
        <v>6.1234999999999987E-3</v>
      </c>
      <c r="K34" s="77">
        <f t="shared" si="10"/>
        <v>5.0477499999999993E-3</v>
      </c>
      <c r="L34" s="77">
        <f t="shared" si="10"/>
        <v>0.35747999999999996</v>
      </c>
      <c r="M34" s="77">
        <f t="shared" si="10"/>
        <v>8.0184749999999985E-2</v>
      </c>
      <c r="N34" s="77">
        <f t="shared" si="10"/>
        <v>22.342500000000001</v>
      </c>
      <c r="O34" s="77">
        <f t="shared" si="10"/>
        <v>3872.6999999999994</v>
      </c>
      <c r="P34" s="77">
        <f t="shared" si="10"/>
        <v>0</v>
      </c>
      <c r="Q34" s="77">
        <f t="shared" si="11"/>
        <v>123.50437499999998</v>
      </c>
      <c r="R34" s="77">
        <f t="shared" si="12"/>
        <v>0</v>
      </c>
      <c r="S34" s="77">
        <f t="shared" si="12"/>
        <v>9.5162499999999983E-2</v>
      </c>
      <c r="T34" s="77">
        <f t="shared" si="12"/>
        <v>0</v>
      </c>
      <c r="U34" s="77">
        <f t="shared" si="12"/>
        <v>0</v>
      </c>
      <c r="AB34" s="59"/>
      <c r="AC34" s="59"/>
      <c r="AD34" s="59"/>
      <c r="AE34" s="59"/>
      <c r="AF34" s="59"/>
      <c r="AG34" s="59"/>
      <c r="AH34" s="59"/>
      <c r="AI34" s="59"/>
    </row>
    <row r="35" spans="1:35" s="72" customFormat="1" ht="13" x14ac:dyDescent="0.35">
      <c r="A35" s="13">
        <f>G8</f>
        <v>5</v>
      </c>
      <c r="B35" s="15">
        <v>250</v>
      </c>
      <c r="C35" s="77">
        <f t="shared" si="6"/>
        <v>47.16749999999999</v>
      </c>
      <c r="D35" s="77">
        <f t="shared" si="7"/>
        <v>4.5878420499999999</v>
      </c>
      <c r="E35" s="77">
        <f t="shared" si="8"/>
        <v>8.6750962499999997E-5</v>
      </c>
      <c r="F35" s="77">
        <f t="shared" si="9"/>
        <v>3.7181064500000001</v>
      </c>
      <c r="G35" s="77">
        <f t="shared" si="10"/>
        <v>6.4544999999999991E-2</v>
      </c>
      <c r="H35" s="77">
        <f t="shared" si="10"/>
        <v>1.1998749999999998</v>
      </c>
      <c r="I35" s="77">
        <f t="shared" si="10"/>
        <v>0.2192875</v>
      </c>
      <c r="J35" s="77">
        <f t="shared" si="10"/>
        <v>6.1234999999999987E-3</v>
      </c>
      <c r="K35" s="77">
        <f t="shared" si="10"/>
        <v>5.0477499999999993E-3</v>
      </c>
      <c r="L35" s="77">
        <f t="shared" si="10"/>
        <v>0.35747999999999996</v>
      </c>
      <c r="M35" s="77">
        <f t="shared" si="10"/>
        <v>8.0184749999999985E-2</v>
      </c>
      <c r="N35" s="77">
        <f t="shared" si="10"/>
        <v>22.342500000000001</v>
      </c>
      <c r="O35" s="77">
        <f t="shared" si="10"/>
        <v>3872.6999999999994</v>
      </c>
      <c r="P35" s="77">
        <f t="shared" si="10"/>
        <v>0</v>
      </c>
      <c r="Q35" s="77">
        <f t="shared" si="11"/>
        <v>123.50437499999998</v>
      </c>
      <c r="R35" s="77">
        <f t="shared" si="12"/>
        <v>0</v>
      </c>
      <c r="S35" s="77">
        <f t="shared" si="12"/>
        <v>9.5162499999999983E-2</v>
      </c>
      <c r="T35" s="77">
        <f t="shared" si="12"/>
        <v>0</v>
      </c>
      <c r="U35" s="77">
        <f t="shared" si="12"/>
        <v>0</v>
      </c>
      <c r="AB35" s="59"/>
      <c r="AC35" s="59"/>
      <c r="AD35" s="59"/>
      <c r="AE35" s="59"/>
      <c r="AF35" s="59"/>
      <c r="AG35" s="59"/>
      <c r="AH35" s="59"/>
      <c r="AI35" s="59"/>
    </row>
    <row r="36" spans="1:35" s="72" customFormat="1" ht="13" x14ac:dyDescent="0.35">
      <c r="A36" s="13">
        <f>H8</f>
        <v>6</v>
      </c>
      <c r="B36" s="15">
        <v>250</v>
      </c>
      <c r="C36" s="77">
        <f t="shared" si="6"/>
        <v>47.16749999999999</v>
      </c>
      <c r="D36" s="77">
        <f t="shared" si="7"/>
        <v>4.5878420499999999</v>
      </c>
      <c r="E36" s="77">
        <f t="shared" si="8"/>
        <v>8.6750962499999997E-5</v>
      </c>
      <c r="F36" s="77">
        <f t="shared" si="9"/>
        <v>3.7181064500000001</v>
      </c>
      <c r="G36" s="77">
        <f t="shared" si="10"/>
        <v>6.4544999999999991E-2</v>
      </c>
      <c r="H36" s="77">
        <f t="shared" si="10"/>
        <v>1.1998749999999998</v>
      </c>
      <c r="I36" s="77">
        <f t="shared" si="10"/>
        <v>0.2192875</v>
      </c>
      <c r="J36" s="77">
        <f t="shared" si="10"/>
        <v>6.1234999999999987E-3</v>
      </c>
      <c r="K36" s="77">
        <f t="shared" si="10"/>
        <v>5.0477499999999993E-3</v>
      </c>
      <c r="L36" s="77">
        <f t="shared" si="10"/>
        <v>0.35747999999999996</v>
      </c>
      <c r="M36" s="77">
        <f t="shared" si="10"/>
        <v>8.0184749999999985E-2</v>
      </c>
      <c r="N36" s="77">
        <f t="shared" si="10"/>
        <v>22.342500000000001</v>
      </c>
      <c r="O36" s="77">
        <f t="shared" si="10"/>
        <v>3872.6999999999994</v>
      </c>
      <c r="P36" s="77">
        <f t="shared" si="10"/>
        <v>0</v>
      </c>
      <c r="Q36" s="77">
        <f t="shared" si="11"/>
        <v>123.50437499999998</v>
      </c>
      <c r="R36" s="77">
        <f t="shared" si="12"/>
        <v>0</v>
      </c>
      <c r="S36" s="77">
        <f t="shared" si="12"/>
        <v>9.5162499999999983E-2</v>
      </c>
      <c r="T36" s="77">
        <f t="shared" si="12"/>
        <v>0</v>
      </c>
      <c r="U36" s="77">
        <f t="shared" si="12"/>
        <v>0</v>
      </c>
      <c r="AB36" s="59"/>
      <c r="AC36" s="59"/>
      <c r="AD36" s="59"/>
      <c r="AE36" s="59"/>
      <c r="AF36" s="59"/>
      <c r="AG36" s="59"/>
      <c r="AH36" s="59"/>
      <c r="AI36" s="59"/>
    </row>
    <row r="37" spans="1:35" s="72" customFormat="1" ht="13" x14ac:dyDescent="0.35">
      <c r="A37" s="13">
        <f>I8</f>
        <v>7</v>
      </c>
      <c r="B37" s="15">
        <v>250</v>
      </c>
      <c r="C37" s="77">
        <f t="shared" si="6"/>
        <v>47.16749999999999</v>
      </c>
      <c r="D37" s="77">
        <f t="shared" si="7"/>
        <v>4.5878420499999999</v>
      </c>
      <c r="E37" s="77">
        <f t="shared" si="8"/>
        <v>8.6750962499999997E-5</v>
      </c>
      <c r="F37" s="77">
        <f t="shared" si="9"/>
        <v>3.7181064500000001</v>
      </c>
      <c r="G37" s="77">
        <f t="shared" si="10"/>
        <v>6.4544999999999991E-2</v>
      </c>
      <c r="H37" s="77">
        <f t="shared" si="10"/>
        <v>1.1998749999999998</v>
      </c>
      <c r="I37" s="77">
        <f t="shared" si="10"/>
        <v>0.2192875</v>
      </c>
      <c r="J37" s="77">
        <f t="shared" si="10"/>
        <v>6.1234999999999987E-3</v>
      </c>
      <c r="K37" s="77">
        <f t="shared" si="10"/>
        <v>5.0477499999999993E-3</v>
      </c>
      <c r="L37" s="77">
        <f t="shared" si="10"/>
        <v>0.35747999999999996</v>
      </c>
      <c r="M37" s="77">
        <f t="shared" si="10"/>
        <v>8.0184749999999985E-2</v>
      </c>
      <c r="N37" s="77">
        <f t="shared" si="10"/>
        <v>22.342500000000001</v>
      </c>
      <c r="O37" s="77">
        <f t="shared" si="10"/>
        <v>3872.6999999999994</v>
      </c>
      <c r="P37" s="77">
        <f t="shared" si="10"/>
        <v>0</v>
      </c>
      <c r="Q37" s="77">
        <f t="shared" si="11"/>
        <v>123.50437499999998</v>
      </c>
      <c r="R37" s="77">
        <f t="shared" si="12"/>
        <v>0</v>
      </c>
      <c r="S37" s="77">
        <f t="shared" si="12"/>
        <v>9.5162499999999983E-2</v>
      </c>
      <c r="T37" s="77">
        <f t="shared" si="12"/>
        <v>0</v>
      </c>
      <c r="U37" s="77">
        <f t="shared" si="12"/>
        <v>0</v>
      </c>
      <c r="AB37" s="59"/>
      <c r="AC37" s="59"/>
      <c r="AD37" s="59"/>
      <c r="AE37" s="59"/>
      <c r="AF37" s="59"/>
      <c r="AG37" s="59"/>
      <c r="AH37" s="59"/>
      <c r="AI37" s="59"/>
    </row>
    <row r="38" spans="1:35" s="72" customFormat="1" ht="13" x14ac:dyDescent="0.35">
      <c r="A38" s="13">
        <f>J8</f>
        <v>8</v>
      </c>
      <c r="B38" s="15">
        <v>250</v>
      </c>
      <c r="C38" s="77">
        <f t="shared" si="6"/>
        <v>47.16749999999999</v>
      </c>
      <c r="D38" s="77">
        <f t="shared" si="7"/>
        <v>4.5878420499999999</v>
      </c>
      <c r="E38" s="77">
        <f t="shared" si="8"/>
        <v>8.6750962499999997E-5</v>
      </c>
      <c r="F38" s="77">
        <f t="shared" si="9"/>
        <v>3.7181064500000001</v>
      </c>
      <c r="G38" s="77">
        <f t="shared" si="10"/>
        <v>6.4544999999999991E-2</v>
      </c>
      <c r="H38" s="77">
        <f t="shared" si="10"/>
        <v>1.1998749999999998</v>
      </c>
      <c r="I38" s="77">
        <f t="shared" si="10"/>
        <v>0.2192875</v>
      </c>
      <c r="J38" s="77">
        <f t="shared" si="10"/>
        <v>6.1234999999999987E-3</v>
      </c>
      <c r="K38" s="77">
        <f t="shared" si="10"/>
        <v>5.0477499999999993E-3</v>
      </c>
      <c r="L38" s="77">
        <f t="shared" si="10"/>
        <v>0.35747999999999996</v>
      </c>
      <c r="M38" s="77">
        <f t="shared" si="10"/>
        <v>8.0184749999999985E-2</v>
      </c>
      <c r="N38" s="77">
        <f t="shared" si="10"/>
        <v>22.342500000000001</v>
      </c>
      <c r="O38" s="77">
        <f t="shared" si="10"/>
        <v>3872.6999999999994</v>
      </c>
      <c r="P38" s="77">
        <f t="shared" si="10"/>
        <v>0</v>
      </c>
      <c r="Q38" s="77">
        <f t="shared" si="11"/>
        <v>123.50437499999998</v>
      </c>
      <c r="R38" s="77">
        <f t="shared" si="12"/>
        <v>0</v>
      </c>
      <c r="S38" s="77">
        <f t="shared" si="12"/>
        <v>9.5162499999999983E-2</v>
      </c>
      <c r="T38" s="77">
        <f t="shared" si="12"/>
        <v>0</v>
      </c>
      <c r="U38" s="77">
        <f t="shared" si="12"/>
        <v>0</v>
      </c>
      <c r="AB38" s="59"/>
      <c r="AC38" s="59"/>
      <c r="AD38" s="59"/>
      <c r="AE38" s="59"/>
      <c r="AF38" s="59"/>
      <c r="AG38" s="59"/>
      <c r="AH38" s="59"/>
      <c r="AI38" s="59"/>
    </row>
    <row r="39" spans="1:35" s="72" customFormat="1" ht="13" x14ac:dyDescent="0.35">
      <c r="A39" s="13">
        <f>K8</f>
        <v>9</v>
      </c>
      <c r="B39" s="15">
        <v>250</v>
      </c>
      <c r="C39" s="77">
        <f t="shared" si="6"/>
        <v>47.16749999999999</v>
      </c>
      <c r="D39" s="77">
        <f t="shared" si="7"/>
        <v>4.5878420499999999</v>
      </c>
      <c r="E39" s="77">
        <f t="shared" si="8"/>
        <v>8.6750962499999997E-5</v>
      </c>
      <c r="F39" s="77">
        <f t="shared" si="9"/>
        <v>3.7181064500000001</v>
      </c>
      <c r="G39" s="77">
        <f t="shared" si="10"/>
        <v>6.4544999999999991E-2</v>
      </c>
      <c r="H39" s="77">
        <f t="shared" si="10"/>
        <v>1.1998749999999998</v>
      </c>
      <c r="I39" s="77">
        <f t="shared" si="10"/>
        <v>0.2192875</v>
      </c>
      <c r="J39" s="77">
        <f t="shared" si="10"/>
        <v>6.1234999999999987E-3</v>
      </c>
      <c r="K39" s="77">
        <f t="shared" si="10"/>
        <v>5.0477499999999993E-3</v>
      </c>
      <c r="L39" s="77">
        <f t="shared" si="10"/>
        <v>0.35747999999999996</v>
      </c>
      <c r="M39" s="77">
        <f t="shared" si="10"/>
        <v>8.0184749999999985E-2</v>
      </c>
      <c r="N39" s="77">
        <f t="shared" si="10"/>
        <v>22.342500000000001</v>
      </c>
      <c r="O39" s="77">
        <f t="shared" si="10"/>
        <v>3872.6999999999994</v>
      </c>
      <c r="P39" s="77">
        <f t="shared" si="10"/>
        <v>0</v>
      </c>
      <c r="Q39" s="77">
        <f t="shared" si="11"/>
        <v>123.50437499999998</v>
      </c>
      <c r="R39" s="77">
        <f t="shared" si="12"/>
        <v>0</v>
      </c>
      <c r="S39" s="77">
        <f t="shared" si="12"/>
        <v>9.5162499999999983E-2</v>
      </c>
      <c r="T39" s="77">
        <f t="shared" si="12"/>
        <v>0</v>
      </c>
      <c r="U39" s="77">
        <f t="shared" si="12"/>
        <v>0</v>
      </c>
      <c r="AB39" s="59"/>
      <c r="AC39" s="59"/>
      <c r="AD39" s="59"/>
      <c r="AE39" s="59"/>
      <c r="AF39" s="59"/>
      <c r="AG39" s="59"/>
      <c r="AH39" s="59"/>
      <c r="AI39" s="59"/>
    </row>
    <row r="40" spans="1:35" s="72" customFormat="1" ht="13" x14ac:dyDescent="0.35">
      <c r="A40" s="13">
        <f>L8</f>
        <v>10</v>
      </c>
      <c r="B40" s="15">
        <v>250</v>
      </c>
      <c r="C40" s="77">
        <f t="shared" si="6"/>
        <v>47.16749999999999</v>
      </c>
      <c r="D40" s="77">
        <f t="shared" si="7"/>
        <v>4.5878420499999999</v>
      </c>
      <c r="E40" s="77">
        <f t="shared" si="8"/>
        <v>8.6750962499999997E-5</v>
      </c>
      <c r="F40" s="77">
        <f t="shared" si="9"/>
        <v>3.7181064500000001</v>
      </c>
      <c r="G40" s="77">
        <f t="shared" si="10"/>
        <v>6.4544999999999991E-2</v>
      </c>
      <c r="H40" s="77">
        <f t="shared" si="10"/>
        <v>1.1998749999999998</v>
      </c>
      <c r="I40" s="77">
        <f t="shared" si="10"/>
        <v>0.2192875</v>
      </c>
      <c r="J40" s="77">
        <f t="shared" si="10"/>
        <v>6.1234999999999987E-3</v>
      </c>
      <c r="K40" s="77">
        <f t="shared" si="10"/>
        <v>5.0477499999999993E-3</v>
      </c>
      <c r="L40" s="77">
        <f t="shared" si="10"/>
        <v>0.35747999999999996</v>
      </c>
      <c r="M40" s="77">
        <f t="shared" si="10"/>
        <v>8.0184749999999985E-2</v>
      </c>
      <c r="N40" s="77">
        <f t="shared" si="10"/>
        <v>22.342500000000001</v>
      </c>
      <c r="O40" s="77">
        <f t="shared" si="10"/>
        <v>3872.6999999999994</v>
      </c>
      <c r="P40" s="77">
        <f t="shared" si="10"/>
        <v>0</v>
      </c>
      <c r="Q40" s="77">
        <f t="shared" si="11"/>
        <v>123.50437499999998</v>
      </c>
      <c r="R40" s="77">
        <f t="shared" si="12"/>
        <v>0</v>
      </c>
      <c r="S40" s="77">
        <f t="shared" si="12"/>
        <v>9.5162499999999983E-2</v>
      </c>
      <c r="T40" s="77">
        <f t="shared" si="12"/>
        <v>0</v>
      </c>
      <c r="U40" s="77">
        <f t="shared" si="12"/>
        <v>0</v>
      </c>
      <c r="AB40" s="59"/>
      <c r="AC40" s="59"/>
      <c r="AD40" s="59"/>
      <c r="AE40" s="59"/>
      <c r="AF40" s="59"/>
      <c r="AG40" s="59"/>
      <c r="AH40" s="59"/>
      <c r="AI40" s="59"/>
    </row>
    <row r="41" spans="1:35" s="72" customFormat="1" ht="13" x14ac:dyDescent="0.35">
      <c r="A41" s="13">
        <f>M8</f>
        <v>11</v>
      </c>
      <c r="B41" s="15">
        <v>250</v>
      </c>
      <c r="C41" s="77">
        <f t="shared" si="6"/>
        <v>47.16749999999999</v>
      </c>
      <c r="D41" s="77">
        <f t="shared" si="7"/>
        <v>4.5878420499999999</v>
      </c>
      <c r="E41" s="77">
        <f t="shared" si="8"/>
        <v>8.6750962499999997E-5</v>
      </c>
      <c r="F41" s="77">
        <f t="shared" si="9"/>
        <v>3.7181064500000001</v>
      </c>
      <c r="G41" s="77">
        <f t="shared" si="10"/>
        <v>6.4544999999999991E-2</v>
      </c>
      <c r="H41" s="77">
        <f t="shared" si="10"/>
        <v>1.1998749999999998</v>
      </c>
      <c r="I41" s="77">
        <f t="shared" si="10"/>
        <v>0.2192875</v>
      </c>
      <c r="J41" s="77">
        <f t="shared" si="10"/>
        <v>6.1234999999999987E-3</v>
      </c>
      <c r="K41" s="77">
        <f t="shared" si="10"/>
        <v>5.0477499999999993E-3</v>
      </c>
      <c r="L41" s="77">
        <f t="shared" si="10"/>
        <v>0.35747999999999996</v>
      </c>
      <c r="M41" s="77">
        <f t="shared" si="10"/>
        <v>8.0184749999999985E-2</v>
      </c>
      <c r="N41" s="77">
        <f t="shared" si="10"/>
        <v>22.342500000000001</v>
      </c>
      <c r="O41" s="77">
        <f t="shared" si="10"/>
        <v>3872.6999999999994</v>
      </c>
      <c r="P41" s="77">
        <f t="shared" si="10"/>
        <v>0</v>
      </c>
      <c r="Q41" s="77">
        <f t="shared" si="11"/>
        <v>123.50437499999998</v>
      </c>
      <c r="R41" s="77">
        <f t="shared" si="12"/>
        <v>0</v>
      </c>
      <c r="S41" s="77">
        <f t="shared" si="12"/>
        <v>9.5162499999999983E-2</v>
      </c>
      <c r="T41" s="77">
        <f t="shared" si="12"/>
        <v>0</v>
      </c>
      <c r="U41" s="77">
        <f t="shared" si="12"/>
        <v>0</v>
      </c>
      <c r="AB41" s="59"/>
      <c r="AC41" s="59"/>
      <c r="AD41" s="59"/>
      <c r="AE41" s="59"/>
      <c r="AF41" s="59"/>
      <c r="AG41" s="59"/>
      <c r="AH41" s="59"/>
      <c r="AI41" s="59"/>
    </row>
    <row r="42" spans="1:35" s="72" customFormat="1" ht="13" x14ac:dyDescent="0.35">
      <c r="A42" s="13">
        <f>N8</f>
        <v>12</v>
      </c>
      <c r="B42" s="15">
        <v>250</v>
      </c>
      <c r="C42" s="77">
        <f t="shared" si="6"/>
        <v>47.16749999999999</v>
      </c>
      <c r="D42" s="77">
        <f t="shared" si="7"/>
        <v>4.5878420499999999</v>
      </c>
      <c r="E42" s="77">
        <f t="shared" si="8"/>
        <v>8.6750962499999997E-5</v>
      </c>
      <c r="F42" s="77">
        <f t="shared" si="9"/>
        <v>3.7181064500000001</v>
      </c>
      <c r="G42" s="77">
        <f t="shared" si="10"/>
        <v>6.4544999999999991E-2</v>
      </c>
      <c r="H42" s="77">
        <f t="shared" si="10"/>
        <v>1.1998749999999998</v>
      </c>
      <c r="I42" s="77">
        <f t="shared" si="10"/>
        <v>0.2192875</v>
      </c>
      <c r="J42" s="77">
        <f t="shared" si="10"/>
        <v>6.1234999999999987E-3</v>
      </c>
      <c r="K42" s="77">
        <f t="shared" si="10"/>
        <v>5.0477499999999993E-3</v>
      </c>
      <c r="L42" s="77">
        <f t="shared" si="10"/>
        <v>0.35747999999999996</v>
      </c>
      <c r="M42" s="77">
        <f t="shared" si="10"/>
        <v>8.0184749999999985E-2</v>
      </c>
      <c r="N42" s="77">
        <f t="shared" si="10"/>
        <v>22.342500000000001</v>
      </c>
      <c r="O42" s="77">
        <f t="shared" si="10"/>
        <v>3872.6999999999994</v>
      </c>
      <c r="P42" s="77">
        <f t="shared" si="10"/>
        <v>0</v>
      </c>
      <c r="Q42" s="77">
        <f t="shared" si="11"/>
        <v>123.50437499999998</v>
      </c>
      <c r="R42" s="77">
        <f t="shared" si="12"/>
        <v>0</v>
      </c>
      <c r="S42" s="77">
        <f t="shared" si="12"/>
        <v>9.5162499999999983E-2</v>
      </c>
      <c r="T42" s="77">
        <f t="shared" si="12"/>
        <v>0</v>
      </c>
      <c r="U42" s="77">
        <f t="shared" si="12"/>
        <v>0</v>
      </c>
      <c r="AB42" s="59"/>
      <c r="AC42" s="59"/>
      <c r="AD42" s="59"/>
      <c r="AE42" s="59"/>
      <c r="AF42" s="59"/>
      <c r="AG42" s="59"/>
      <c r="AH42" s="59"/>
      <c r="AI42" s="59"/>
    </row>
    <row r="43" spans="1:35" s="72" customFormat="1" ht="13" x14ac:dyDescent="0.35">
      <c r="A43" s="13">
        <f>O8</f>
        <v>13</v>
      </c>
      <c r="B43" s="15">
        <v>250</v>
      </c>
      <c r="C43" s="77">
        <f t="shared" si="6"/>
        <v>47.16749999999999</v>
      </c>
      <c r="D43" s="77">
        <f t="shared" si="7"/>
        <v>4.5878420499999999</v>
      </c>
      <c r="E43" s="77">
        <f t="shared" si="8"/>
        <v>8.6750962499999997E-5</v>
      </c>
      <c r="F43" s="77">
        <f t="shared" si="9"/>
        <v>3.7181064500000001</v>
      </c>
      <c r="G43" s="77">
        <f t="shared" si="10"/>
        <v>6.4544999999999991E-2</v>
      </c>
      <c r="H43" s="77">
        <f t="shared" si="10"/>
        <v>1.1998749999999998</v>
      </c>
      <c r="I43" s="77">
        <f t="shared" si="10"/>
        <v>0.2192875</v>
      </c>
      <c r="J43" s="77">
        <f t="shared" si="10"/>
        <v>6.1234999999999987E-3</v>
      </c>
      <c r="K43" s="77">
        <f t="shared" si="10"/>
        <v>5.0477499999999993E-3</v>
      </c>
      <c r="L43" s="77">
        <f t="shared" si="10"/>
        <v>0.35747999999999996</v>
      </c>
      <c r="M43" s="77">
        <f t="shared" si="10"/>
        <v>8.0184749999999985E-2</v>
      </c>
      <c r="N43" s="77">
        <f t="shared" si="10"/>
        <v>22.342500000000001</v>
      </c>
      <c r="O43" s="77">
        <f t="shared" si="10"/>
        <v>3872.6999999999994</v>
      </c>
      <c r="P43" s="77">
        <f t="shared" si="10"/>
        <v>0</v>
      </c>
      <c r="Q43" s="77">
        <f t="shared" si="11"/>
        <v>123.50437499999998</v>
      </c>
      <c r="R43" s="77">
        <f t="shared" si="12"/>
        <v>0</v>
      </c>
      <c r="S43" s="77">
        <f t="shared" si="12"/>
        <v>9.5162499999999983E-2</v>
      </c>
      <c r="T43" s="77">
        <f t="shared" si="12"/>
        <v>0</v>
      </c>
      <c r="U43" s="77">
        <f t="shared" si="12"/>
        <v>0</v>
      </c>
      <c r="AB43" s="59"/>
      <c r="AC43" s="59"/>
      <c r="AD43" s="59"/>
      <c r="AE43" s="59"/>
      <c r="AF43" s="59"/>
      <c r="AG43" s="59"/>
      <c r="AH43" s="59"/>
      <c r="AI43" s="59"/>
    </row>
    <row r="44" spans="1:35" s="72" customFormat="1" ht="13" x14ac:dyDescent="0.35">
      <c r="A44" s="13">
        <f>P8</f>
        <v>15</v>
      </c>
      <c r="B44" s="15">
        <v>250</v>
      </c>
      <c r="C44" s="77">
        <f t="shared" si="6"/>
        <v>47.16749999999999</v>
      </c>
      <c r="D44" s="77">
        <f t="shared" si="7"/>
        <v>4.5878420499999999</v>
      </c>
      <c r="E44" s="77">
        <f t="shared" si="8"/>
        <v>8.6750962499999997E-5</v>
      </c>
      <c r="F44" s="77">
        <f t="shared" si="9"/>
        <v>3.7181064500000001</v>
      </c>
      <c r="G44" s="77">
        <f t="shared" si="10"/>
        <v>6.4544999999999991E-2</v>
      </c>
      <c r="H44" s="77">
        <f t="shared" si="10"/>
        <v>1.1998749999999998</v>
      </c>
      <c r="I44" s="77">
        <f t="shared" si="10"/>
        <v>0.2192875</v>
      </c>
      <c r="J44" s="77">
        <f t="shared" si="10"/>
        <v>6.1234999999999987E-3</v>
      </c>
      <c r="K44" s="77">
        <f t="shared" si="10"/>
        <v>5.0477499999999993E-3</v>
      </c>
      <c r="L44" s="77">
        <f t="shared" si="10"/>
        <v>0.35747999999999996</v>
      </c>
      <c r="M44" s="77">
        <f t="shared" si="10"/>
        <v>8.0184749999999985E-2</v>
      </c>
      <c r="N44" s="77">
        <f t="shared" si="10"/>
        <v>22.342500000000001</v>
      </c>
      <c r="O44" s="77">
        <f t="shared" si="10"/>
        <v>3872.6999999999994</v>
      </c>
      <c r="P44" s="77">
        <f t="shared" si="10"/>
        <v>0</v>
      </c>
      <c r="Q44" s="77">
        <f t="shared" si="11"/>
        <v>123.50437499999998</v>
      </c>
      <c r="R44" s="77">
        <f t="shared" si="12"/>
        <v>0</v>
      </c>
      <c r="S44" s="77">
        <f t="shared" si="12"/>
        <v>9.5162499999999983E-2</v>
      </c>
      <c r="T44" s="77">
        <f t="shared" si="12"/>
        <v>0</v>
      </c>
      <c r="U44" s="77">
        <f t="shared" si="12"/>
        <v>0</v>
      </c>
      <c r="AB44" s="59"/>
      <c r="AC44" s="59"/>
      <c r="AD44" s="59"/>
      <c r="AE44" s="59"/>
      <c r="AF44" s="59"/>
      <c r="AG44" s="59"/>
      <c r="AH44" s="59"/>
      <c r="AI44" s="59"/>
    </row>
    <row r="45" spans="1:35" s="72" customFormat="1" ht="13" x14ac:dyDescent="0.35">
      <c r="A45" s="13">
        <f>Q8</f>
        <v>16</v>
      </c>
      <c r="B45" s="15">
        <v>250</v>
      </c>
      <c r="C45" s="77">
        <f t="shared" si="6"/>
        <v>47.16749999999999</v>
      </c>
      <c r="D45" s="77">
        <f t="shared" si="7"/>
        <v>4.5878420499999999</v>
      </c>
      <c r="E45" s="77">
        <f t="shared" si="8"/>
        <v>8.6750962499999997E-5</v>
      </c>
      <c r="F45" s="77">
        <f t="shared" si="9"/>
        <v>3.7181064500000001</v>
      </c>
      <c r="G45" s="77">
        <f t="shared" si="10"/>
        <v>6.4544999999999991E-2</v>
      </c>
      <c r="H45" s="77">
        <f t="shared" si="10"/>
        <v>1.1998749999999998</v>
      </c>
      <c r="I45" s="77">
        <f t="shared" si="10"/>
        <v>0.2192875</v>
      </c>
      <c r="J45" s="77">
        <f t="shared" si="10"/>
        <v>6.1234999999999987E-3</v>
      </c>
      <c r="K45" s="77">
        <f t="shared" si="10"/>
        <v>5.0477499999999993E-3</v>
      </c>
      <c r="L45" s="77">
        <f t="shared" si="10"/>
        <v>0.35747999999999996</v>
      </c>
      <c r="M45" s="77">
        <f t="shared" si="10"/>
        <v>8.0184749999999985E-2</v>
      </c>
      <c r="N45" s="77">
        <f t="shared" si="10"/>
        <v>22.342500000000001</v>
      </c>
      <c r="O45" s="77">
        <f t="shared" si="10"/>
        <v>3872.6999999999994</v>
      </c>
      <c r="P45" s="77">
        <f t="shared" si="10"/>
        <v>0</v>
      </c>
      <c r="Q45" s="77">
        <f t="shared" si="11"/>
        <v>123.50437499999998</v>
      </c>
      <c r="R45" s="77">
        <f t="shared" si="12"/>
        <v>0</v>
      </c>
      <c r="S45" s="77">
        <f t="shared" si="12"/>
        <v>9.5162499999999983E-2</v>
      </c>
      <c r="T45" s="77">
        <f t="shared" si="12"/>
        <v>0</v>
      </c>
      <c r="U45" s="77">
        <f t="shared" si="12"/>
        <v>0</v>
      </c>
      <c r="AB45" s="59"/>
      <c r="AC45" s="59"/>
      <c r="AD45" s="59"/>
      <c r="AE45" s="59"/>
      <c r="AF45" s="59"/>
      <c r="AG45" s="59"/>
      <c r="AH45" s="59"/>
      <c r="AI45" s="59"/>
    </row>
    <row r="46" spans="1:35" s="72" customFormat="1" ht="13" x14ac:dyDescent="0.35">
      <c r="A46" s="13">
        <f>R8</f>
        <v>21</v>
      </c>
      <c r="B46" s="15">
        <v>250</v>
      </c>
      <c r="C46" s="77">
        <f t="shared" si="6"/>
        <v>47.16749999999999</v>
      </c>
      <c r="D46" s="77">
        <f t="shared" si="7"/>
        <v>4.5878420499999999</v>
      </c>
      <c r="E46" s="77">
        <f t="shared" si="8"/>
        <v>8.6750962499999997E-5</v>
      </c>
      <c r="F46" s="77">
        <f t="shared" si="9"/>
        <v>3.7181064500000001</v>
      </c>
      <c r="G46" s="77">
        <f t="shared" si="10"/>
        <v>6.4544999999999991E-2</v>
      </c>
      <c r="H46" s="77">
        <f t="shared" si="10"/>
        <v>1.1998749999999998</v>
      </c>
      <c r="I46" s="77">
        <f t="shared" si="10"/>
        <v>0.2192875</v>
      </c>
      <c r="J46" s="77">
        <f t="shared" si="10"/>
        <v>6.1234999999999987E-3</v>
      </c>
      <c r="K46" s="77">
        <f t="shared" si="10"/>
        <v>5.0477499999999993E-3</v>
      </c>
      <c r="L46" s="77">
        <f t="shared" si="10"/>
        <v>0.35747999999999996</v>
      </c>
      <c r="M46" s="77">
        <f t="shared" si="10"/>
        <v>8.0184749999999985E-2</v>
      </c>
      <c r="N46" s="77">
        <f t="shared" si="10"/>
        <v>22.342500000000001</v>
      </c>
      <c r="O46" s="77">
        <f t="shared" si="10"/>
        <v>3872.6999999999994</v>
      </c>
      <c r="P46" s="77">
        <f t="shared" si="10"/>
        <v>0</v>
      </c>
      <c r="Q46" s="77">
        <f t="shared" si="11"/>
        <v>123.50437499999998</v>
      </c>
      <c r="R46" s="77">
        <f t="shared" si="12"/>
        <v>0</v>
      </c>
      <c r="S46" s="77">
        <f t="shared" si="12"/>
        <v>9.5162499999999983E-2</v>
      </c>
      <c r="T46" s="77">
        <f t="shared" si="12"/>
        <v>0</v>
      </c>
      <c r="U46" s="77">
        <f t="shared" si="12"/>
        <v>0</v>
      </c>
      <c r="AB46" s="59"/>
      <c r="AC46" s="59"/>
      <c r="AD46" s="59"/>
      <c r="AE46" s="59"/>
      <c r="AF46" s="59"/>
      <c r="AG46" s="59"/>
      <c r="AH46" s="59"/>
      <c r="AI46" s="59"/>
    </row>
    <row r="47" spans="1:35" s="72" customFormat="1" ht="13" x14ac:dyDescent="0.35">
      <c r="A47" s="13">
        <f>S8</f>
        <v>22</v>
      </c>
      <c r="B47" s="15">
        <v>250</v>
      </c>
      <c r="C47" s="77">
        <f t="shared" si="6"/>
        <v>47.16749999999999</v>
      </c>
      <c r="D47" s="77">
        <f t="shared" si="7"/>
        <v>4.5878420499999999</v>
      </c>
      <c r="E47" s="77">
        <f t="shared" si="8"/>
        <v>8.6750962499999997E-5</v>
      </c>
      <c r="F47" s="77">
        <f t="shared" si="9"/>
        <v>3.7181064500000001</v>
      </c>
      <c r="G47" s="77">
        <f t="shared" si="10"/>
        <v>6.4544999999999991E-2</v>
      </c>
      <c r="H47" s="77">
        <f t="shared" si="10"/>
        <v>1.1998749999999998</v>
      </c>
      <c r="I47" s="77">
        <f t="shared" si="10"/>
        <v>0.2192875</v>
      </c>
      <c r="J47" s="77">
        <f t="shared" si="10"/>
        <v>6.1234999999999987E-3</v>
      </c>
      <c r="K47" s="77">
        <f t="shared" si="10"/>
        <v>5.0477499999999993E-3</v>
      </c>
      <c r="L47" s="77">
        <f t="shared" si="10"/>
        <v>0.35747999999999996</v>
      </c>
      <c r="M47" s="77">
        <f t="shared" si="10"/>
        <v>8.0184749999999985E-2</v>
      </c>
      <c r="N47" s="77">
        <f t="shared" si="10"/>
        <v>22.342500000000001</v>
      </c>
      <c r="O47" s="77">
        <f t="shared" si="10"/>
        <v>3872.6999999999994</v>
      </c>
      <c r="P47" s="77">
        <f t="shared" si="10"/>
        <v>0</v>
      </c>
      <c r="Q47" s="77">
        <f t="shared" si="11"/>
        <v>123.50437499999998</v>
      </c>
      <c r="R47" s="77">
        <f t="shared" si="12"/>
        <v>0</v>
      </c>
      <c r="S47" s="77">
        <f t="shared" si="12"/>
        <v>9.5162499999999983E-2</v>
      </c>
      <c r="T47" s="77">
        <f t="shared" si="12"/>
        <v>0</v>
      </c>
      <c r="U47" s="77">
        <f t="shared" si="12"/>
        <v>0</v>
      </c>
      <c r="AB47" s="59"/>
      <c r="AC47" s="59"/>
      <c r="AD47" s="59"/>
      <c r="AE47" s="59"/>
      <c r="AF47" s="59"/>
      <c r="AG47" s="59"/>
      <c r="AH47" s="59"/>
      <c r="AI47" s="59"/>
    </row>
    <row r="48" spans="1:35" s="72" customFormat="1" ht="13" x14ac:dyDescent="0.35">
      <c r="A48" s="13">
        <f>T8</f>
        <v>23</v>
      </c>
      <c r="B48" s="15">
        <v>250</v>
      </c>
      <c r="C48" s="77">
        <f t="shared" si="6"/>
        <v>47.16749999999999</v>
      </c>
      <c r="D48" s="77">
        <f t="shared" si="7"/>
        <v>4.5878420499999999</v>
      </c>
      <c r="E48" s="77">
        <f t="shared" si="8"/>
        <v>8.6750962499999997E-5</v>
      </c>
      <c r="F48" s="77">
        <f t="shared" si="9"/>
        <v>3.7181064500000001</v>
      </c>
      <c r="G48" s="77">
        <f t="shared" si="10"/>
        <v>6.4544999999999991E-2</v>
      </c>
      <c r="H48" s="77">
        <f t="shared" si="10"/>
        <v>1.1998749999999998</v>
      </c>
      <c r="I48" s="77">
        <f t="shared" si="10"/>
        <v>0.2192875</v>
      </c>
      <c r="J48" s="77">
        <f t="shared" si="10"/>
        <v>6.1234999999999987E-3</v>
      </c>
      <c r="K48" s="77">
        <f t="shared" si="10"/>
        <v>5.0477499999999993E-3</v>
      </c>
      <c r="L48" s="77">
        <f t="shared" si="10"/>
        <v>0.35747999999999996</v>
      </c>
      <c r="M48" s="77">
        <f t="shared" si="10"/>
        <v>8.0184749999999985E-2</v>
      </c>
      <c r="N48" s="77">
        <f t="shared" si="10"/>
        <v>22.342500000000001</v>
      </c>
      <c r="O48" s="77">
        <f t="shared" si="10"/>
        <v>3872.6999999999994</v>
      </c>
      <c r="P48" s="77">
        <f t="shared" si="10"/>
        <v>0</v>
      </c>
      <c r="Q48" s="77">
        <f t="shared" si="11"/>
        <v>123.50437499999998</v>
      </c>
      <c r="R48" s="77">
        <f t="shared" si="12"/>
        <v>0</v>
      </c>
      <c r="S48" s="77">
        <f t="shared" si="12"/>
        <v>9.5162499999999983E-2</v>
      </c>
      <c r="T48" s="77">
        <f t="shared" si="12"/>
        <v>0</v>
      </c>
      <c r="U48" s="77">
        <f t="shared" si="12"/>
        <v>0</v>
      </c>
      <c r="AB48" s="59"/>
      <c r="AC48" s="59"/>
      <c r="AD48" s="59"/>
      <c r="AE48" s="59"/>
      <c r="AF48" s="59"/>
      <c r="AG48" s="59"/>
      <c r="AH48" s="59"/>
      <c r="AI48" s="59"/>
    </row>
    <row r="49" spans="1:35" s="72" customFormat="1" ht="13" x14ac:dyDescent="0.35">
      <c r="A49" s="13">
        <f>U8</f>
        <v>7078</v>
      </c>
      <c r="B49" s="15">
        <v>250</v>
      </c>
      <c r="C49" s="77">
        <f t="shared" si="6"/>
        <v>47.16749999999999</v>
      </c>
      <c r="D49" s="77">
        <f t="shared" si="7"/>
        <v>4.5878420499999999</v>
      </c>
      <c r="E49" s="77">
        <f t="shared" si="8"/>
        <v>8.6750962499999997E-5</v>
      </c>
      <c r="F49" s="77">
        <f t="shared" si="9"/>
        <v>3.7181064500000001</v>
      </c>
      <c r="G49" s="77">
        <f t="shared" si="10"/>
        <v>6.4544999999999991E-2</v>
      </c>
      <c r="H49" s="77">
        <f t="shared" si="10"/>
        <v>1.1998749999999998</v>
      </c>
      <c r="I49" s="77">
        <f t="shared" si="10"/>
        <v>0.2192875</v>
      </c>
      <c r="J49" s="77">
        <f t="shared" si="10"/>
        <v>6.1234999999999987E-3</v>
      </c>
      <c r="K49" s="77">
        <f t="shared" si="10"/>
        <v>5.0477499999999993E-3</v>
      </c>
      <c r="L49" s="77">
        <f t="shared" si="10"/>
        <v>0.35747999999999996</v>
      </c>
      <c r="M49" s="77">
        <f t="shared" si="10"/>
        <v>8.0184749999999985E-2</v>
      </c>
      <c r="N49" s="77">
        <f t="shared" si="10"/>
        <v>22.342500000000001</v>
      </c>
      <c r="O49" s="77">
        <f t="shared" si="10"/>
        <v>3872.6999999999994</v>
      </c>
      <c r="P49" s="77">
        <f t="shared" si="10"/>
        <v>0</v>
      </c>
      <c r="Q49" s="77">
        <f t="shared" si="11"/>
        <v>123.50437499999998</v>
      </c>
      <c r="R49" s="77">
        <f t="shared" si="12"/>
        <v>0</v>
      </c>
      <c r="S49" s="77">
        <f t="shared" si="12"/>
        <v>9.5162499999999983E-2</v>
      </c>
      <c r="T49" s="77">
        <f t="shared" si="12"/>
        <v>0</v>
      </c>
      <c r="U49" s="77">
        <f t="shared" si="12"/>
        <v>0</v>
      </c>
      <c r="AB49" s="59"/>
      <c r="AC49" s="59"/>
      <c r="AD49" s="59"/>
      <c r="AE49" s="59"/>
      <c r="AF49" s="59"/>
      <c r="AG49" s="59"/>
      <c r="AH49" s="59"/>
      <c r="AI49" s="59"/>
    </row>
    <row r="50" spans="1:35" s="72" customFormat="1" ht="13.5" thickBot="1" x14ac:dyDescent="0.4">
      <c r="A50" s="14">
        <f>V8</f>
        <v>7058</v>
      </c>
      <c r="B50" s="15">
        <v>250</v>
      </c>
      <c r="C50" s="98">
        <f t="shared" si="6"/>
        <v>47.16749999999999</v>
      </c>
      <c r="D50" s="98">
        <f t="shared" si="7"/>
        <v>4.5878420499999999</v>
      </c>
      <c r="E50" s="98">
        <f t="shared" si="8"/>
        <v>8.6750962499999997E-5</v>
      </c>
      <c r="F50" s="98">
        <f t="shared" si="9"/>
        <v>3.7181064500000001</v>
      </c>
      <c r="G50" s="98">
        <f t="shared" si="10"/>
        <v>6.4544999999999991E-2</v>
      </c>
      <c r="H50" s="98">
        <f t="shared" si="10"/>
        <v>1.1998749999999998</v>
      </c>
      <c r="I50" s="98">
        <f t="shared" si="10"/>
        <v>0.2192875</v>
      </c>
      <c r="J50" s="98">
        <f t="shared" si="10"/>
        <v>6.1234999999999987E-3</v>
      </c>
      <c r="K50" s="98">
        <f t="shared" si="10"/>
        <v>5.0477499999999993E-3</v>
      </c>
      <c r="L50" s="98">
        <f t="shared" si="10"/>
        <v>0.35747999999999996</v>
      </c>
      <c r="M50" s="98">
        <f t="shared" si="10"/>
        <v>8.0184749999999985E-2</v>
      </c>
      <c r="N50" s="98">
        <f t="shared" si="10"/>
        <v>22.342500000000001</v>
      </c>
      <c r="O50" s="98">
        <f t="shared" si="10"/>
        <v>3872.6999999999994</v>
      </c>
      <c r="P50" s="98">
        <f t="shared" si="10"/>
        <v>0</v>
      </c>
      <c r="Q50" s="98">
        <f t="shared" si="11"/>
        <v>123.50437499999998</v>
      </c>
      <c r="R50" s="98">
        <f t="shared" si="12"/>
        <v>0</v>
      </c>
      <c r="S50" s="98">
        <f t="shared" si="12"/>
        <v>9.5162499999999983E-2</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str">
        <f>T16&amp;" I "&amp;(VLOOKUP(T14,Table24[],6,FALSE))</f>
        <v>Medium/Clay I Grass</v>
      </c>
      <c r="T58" s="13" t="str">
        <f>U16&amp;" I "&amp;(VLOOKUP(U14,Table24[],6,FALSE))</f>
        <v>Medium/Clay I Grass</v>
      </c>
      <c r="U58" s="13" t="str">
        <f>V16&amp;" I "&amp;(VLOOKUP(V14,Table24[],6,FALSE))</f>
        <v>Medium/Clay I Grass</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5" zoomScale="90" zoomScaleNormal="90" workbookViewId="0">
      <selection activeCell="B28" sqref="B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v>7.1</v>
      </c>
      <c r="J1" s="127" t="s">
        <v>153</v>
      </c>
      <c r="K1" s="127"/>
      <c r="L1" s="97">
        <v>281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162</v>
      </c>
      <c r="G2" s="125" t="s">
        <v>110</v>
      </c>
      <c r="H2" s="126"/>
      <c r="I2" s="118"/>
      <c r="J2" s="127" t="s">
        <v>158</v>
      </c>
      <c r="K2" s="127"/>
      <c r="L2" s="97">
        <v>0.71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t="s">
        <v>78</v>
      </c>
      <c r="G3" s="127" t="s">
        <v>159</v>
      </c>
      <c r="H3" s="127"/>
      <c r="I3" s="118"/>
      <c r="J3" s="123" t="s">
        <v>154</v>
      </c>
      <c r="K3" s="124"/>
      <c r="L3" s="97">
        <f>(L1/(L2*10000))*100</f>
        <v>3.957746478873239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9.2194422000000014</v>
      </c>
      <c r="D18" s="16">
        <f>$D32</f>
        <v>9.2194422000000014</v>
      </c>
      <c r="E18" s="16">
        <f>$D33</f>
        <v>9.2194422000000014</v>
      </c>
      <c r="F18" s="16">
        <f>$D34</f>
        <v>9.2194422000000014</v>
      </c>
      <c r="G18" s="16">
        <f>$D35</f>
        <v>9.2194422000000014</v>
      </c>
      <c r="H18" s="16">
        <f>$D36</f>
        <v>9.2194422000000014</v>
      </c>
      <c r="I18" s="16">
        <f>$D37</f>
        <v>9.2194422000000014</v>
      </c>
      <c r="J18" s="16">
        <f>$D38</f>
        <v>9.2194422000000014</v>
      </c>
      <c r="K18" s="16">
        <f>$D39</f>
        <v>9.2194422000000014</v>
      </c>
      <c r="L18" s="16">
        <f>$D40</f>
        <v>9.2194422000000014</v>
      </c>
      <c r="M18" s="16">
        <f>$D41</f>
        <v>9.2194422000000014</v>
      </c>
      <c r="N18" s="16">
        <f>$D42</f>
        <v>9.2194422000000014</v>
      </c>
      <c r="O18" s="16">
        <f>$D43</f>
        <v>9.2194422000000014</v>
      </c>
      <c r="P18" s="16">
        <f>$D44</f>
        <v>9.2194422000000014</v>
      </c>
      <c r="Q18" s="16">
        <f>$D45</f>
        <v>9.2194422000000014</v>
      </c>
      <c r="R18" s="16">
        <f>$D46</f>
        <v>9.2194422000000014</v>
      </c>
      <c r="S18" s="16">
        <f>$D47</f>
        <v>9.2194422000000014</v>
      </c>
      <c r="T18" s="16">
        <f>$D48</f>
        <v>9.2194422000000014</v>
      </c>
      <c r="U18" s="16">
        <f>$D49</f>
        <v>9.2194422000000014</v>
      </c>
      <c r="V18" s="25">
        <f>$D50</f>
        <v>9.2194422000000014</v>
      </c>
      <c r="AD18" s="52" t="s">
        <v>147</v>
      </c>
      <c r="AE18" s="30">
        <v>16</v>
      </c>
      <c r="AI18" s="48" t="s">
        <v>106</v>
      </c>
      <c r="AJ18" s="49">
        <v>5.9</v>
      </c>
      <c r="AK18" s="50">
        <v>18</v>
      </c>
      <c r="AL18" s="51">
        <v>16</v>
      </c>
      <c r="AM18" s="11">
        <v>6.2</v>
      </c>
      <c r="AN18" s="11" t="s">
        <v>112</v>
      </c>
    </row>
    <row r="19" spans="1:40" ht="13" x14ac:dyDescent="0.25">
      <c r="A19" s="131" t="s">
        <v>90</v>
      </c>
      <c r="B19" s="132"/>
      <c r="C19" s="16">
        <f>C18-C17</f>
        <v>-55.380557799999991</v>
      </c>
      <c r="D19" s="16">
        <f t="shared" ref="D19:V19" si="1">D18-D17</f>
        <v>-55.380557799999991</v>
      </c>
      <c r="E19" s="16">
        <f t="shared" si="1"/>
        <v>-55.380557799999991</v>
      </c>
      <c r="F19" s="16">
        <f t="shared" si="1"/>
        <v>-55.380557799999991</v>
      </c>
      <c r="G19" s="16">
        <f t="shared" si="1"/>
        <v>-55.380557799999991</v>
      </c>
      <c r="H19" s="16">
        <f t="shared" si="1"/>
        <v>-55.380557799999991</v>
      </c>
      <c r="I19" s="16">
        <f t="shared" si="1"/>
        <v>-55.380557799999991</v>
      </c>
      <c r="J19" s="16">
        <f t="shared" si="1"/>
        <v>-55.380557799999991</v>
      </c>
      <c r="K19" s="16">
        <f t="shared" si="1"/>
        <v>-55.380557799999991</v>
      </c>
      <c r="L19" s="16">
        <f t="shared" si="1"/>
        <v>-55.380557799999991</v>
      </c>
      <c r="M19" s="16">
        <f t="shared" si="1"/>
        <v>-55.380557799999991</v>
      </c>
      <c r="N19" s="16">
        <f t="shared" si="1"/>
        <v>-55.380557799999991</v>
      </c>
      <c r="O19" s="16">
        <f t="shared" si="1"/>
        <v>-55.380557799999991</v>
      </c>
      <c r="P19" s="16">
        <f t="shared" si="1"/>
        <v>-55.380557799999991</v>
      </c>
      <c r="Q19" s="16">
        <f t="shared" si="1"/>
        <v>-55.380557799999991</v>
      </c>
      <c r="R19" s="16">
        <f t="shared" si="1"/>
        <v>-55.380557799999991</v>
      </c>
      <c r="S19" s="16">
        <f t="shared" si="1"/>
        <v>-55.380557799999991</v>
      </c>
      <c r="T19" s="16">
        <f t="shared" si="1"/>
        <v>-55.380557799999991</v>
      </c>
      <c r="U19" s="16">
        <f t="shared" si="1"/>
        <v>-55.380557799999991</v>
      </c>
      <c r="V19" s="25">
        <f t="shared" si="1"/>
        <v>-55.380557799999991</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1.9630594750000001E-4</v>
      </c>
      <c r="D22" s="16">
        <f>$E32</f>
        <v>1.9630594750000001E-4</v>
      </c>
      <c r="E22" s="16">
        <f>$E33</f>
        <v>1.9630594750000001E-4</v>
      </c>
      <c r="F22" s="16">
        <f>$E34</f>
        <v>1.9630594750000001E-4</v>
      </c>
      <c r="G22" s="16">
        <f>$E35</f>
        <v>1.9630594750000001E-4</v>
      </c>
      <c r="H22" s="16">
        <f>$E36</f>
        <v>1.9630594750000001E-4</v>
      </c>
      <c r="I22" s="16">
        <f>$E37</f>
        <v>1.9630594750000001E-4</v>
      </c>
      <c r="J22" s="16">
        <f>$E38</f>
        <v>1.9630594750000001E-4</v>
      </c>
      <c r="K22" s="16">
        <f>$E39</f>
        <v>1.9630594750000001E-4</v>
      </c>
      <c r="L22" s="16">
        <f>$E40</f>
        <v>1.9630594750000001E-4</v>
      </c>
      <c r="M22" s="16">
        <f>$E41</f>
        <v>1.9630594750000001E-4</v>
      </c>
      <c r="N22" s="16">
        <f>$E42</f>
        <v>1.9630594750000001E-4</v>
      </c>
      <c r="O22" s="16">
        <f>$E43</f>
        <v>1.9630594750000001E-4</v>
      </c>
      <c r="P22" s="16">
        <f>$E44</f>
        <v>1.9630594750000001E-4</v>
      </c>
      <c r="Q22" s="16">
        <f>$E45</f>
        <v>1.9630594750000001E-4</v>
      </c>
      <c r="R22" s="16">
        <f>$E46</f>
        <v>1.9630594750000001E-4</v>
      </c>
      <c r="S22" s="16">
        <f>$E47</f>
        <v>1.9630594750000001E-4</v>
      </c>
      <c r="T22" s="16">
        <f>$E48</f>
        <v>1.9630594750000001E-4</v>
      </c>
      <c r="U22" s="16">
        <f>$E49</f>
        <v>1.9630594750000001E-4</v>
      </c>
      <c r="V22" s="16">
        <f>$E50</f>
        <v>1.9630594750000001E-4</v>
      </c>
      <c r="AI22" s="63" t="s">
        <v>102</v>
      </c>
      <c r="AJ22" s="64">
        <v>1.2</v>
      </c>
      <c r="AK22" s="65">
        <v>5</v>
      </c>
      <c r="AL22" s="29">
        <v>20</v>
      </c>
      <c r="AM22" s="11">
        <v>6.7</v>
      </c>
      <c r="AN22" s="11" t="s">
        <v>135</v>
      </c>
    </row>
    <row r="23" spans="1:40" ht="13" x14ac:dyDescent="0.25">
      <c r="A23" s="131" t="s">
        <v>92</v>
      </c>
      <c r="B23" s="132"/>
      <c r="C23" s="16">
        <f>C22-C21</f>
        <v>-227.9998036940525</v>
      </c>
      <c r="D23" s="16">
        <f t="shared" ref="D23:V23" si="3">D22-D21</f>
        <v>-227.9998036940525</v>
      </c>
      <c r="E23" s="16">
        <f t="shared" si="3"/>
        <v>-227.9998036940525</v>
      </c>
      <c r="F23" s="16">
        <f t="shared" si="3"/>
        <v>-227.9998036940525</v>
      </c>
      <c r="G23" s="16">
        <f t="shared" si="3"/>
        <v>-227.9998036940525</v>
      </c>
      <c r="H23" s="16">
        <f t="shared" si="3"/>
        <v>-227.9998036940525</v>
      </c>
      <c r="I23" s="16">
        <f t="shared" si="3"/>
        <v>-227.9998036940525</v>
      </c>
      <c r="J23" s="16">
        <f t="shared" si="3"/>
        <v>-227.9998036940525</v>
      </c>
      <c r="K23" s="16">
        <f t="shared" si="3"/>
        <v>-227.9998036940525</v>
      </c>
      <c r="L23" s="16">
        <f t="shared" si="3"/>
        <v>-227.9998036940525</v>
      </c>
      <c r="M23" s="16">
        <f t="shared" si="3"/>
        <v>-227.9998036940525</v>
      </c>
      <c r="N23" s="16">
        <f t="shared" si="3"/>
        <v>-227.9998036940525</v>
      </c>
      <c r="O23" s="16">
        <f t="shared" si="3"/>
        <v>-227.9998036940525</v>
      </c>
      <c r="P23" s="16">
        <f t="shared" si="3"/>
        <v>-227.9998036940525</v>
      </c>
      <c r="Q23" s="16">
        <f t="shared" si="3"/>
        <v>-227.9998036940525</v>
      </c>
      <c r="R23" s="16">
        <f t="shared" si="3"/>
        <v>-227.9998036940525</v>
      </c>
      <c r="S23" s="16">
        <f t="shared" si="3"/>
        <v>-227.9998036940525</v>
      </c>
      <c r="T23" s="16">
        <f t="shared" si="3"/>
        <v>-227.9998036940525</v>
      </c>
      <c r="U23" s="16">
        <f t="shared" si="3"/>
        <v>-227.9998036940525</v>
      </c>
      <c r="V23" s="16">
        <f t="shared" si="3"/>
        <v>-227.9998036940525</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7.06</v>
      </c>
      <c r="C28" s="15">
        <v>0.71</v>
      </c>
      <c r="D28" s="15">
        <v>2.2800000000000001E-2</v>
      </c>
      <c r="E28" s="15">
        <v>9.2300000000000004E-3</v>
      </c>
      <c r="F28" s="15">
        <v>594</v>
      </c>
      <c r="G28" s="15">
        <v>30.9</v>
      </c>
      <c r="H28" s="15">
        <v>495</v>
      </c>
      <c r="I28" s="15">
        <v>45.1</v>
      </c>
      <c r="J28" s="15">
        <v>1.9</v>
      </c>
      <c r="K28" s="23">
        <v>0.28999999999999998</v>
      </c>
      <c r="L28" s="15">
        <v>24.9</v>
      </c>
      <c r="M28" s="15">
        <v>10.9</v>
      </c>
      <c r="N28" s="15">
        <v>4860</v>
      </c>
      <c r="O28" s="15">
        <v>443000</v>
      </c>
      <c r="P28" s="15"/>
      <c r="Q28" s="15">
        <v>2040</v>
      </c>
      <c r="R28" s="15"/>
      <c r="S28" s="15">
        <v>10.3</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125.31499999999998</v>
      </c>
      <c r="D31" s="77">
        <f>(IF(D$27="%w/w SAR",((D$28*10)*$B31),IF(D$27="%w/w DM",(((D$28*10)*($B$28/100))*$B31),IF(D$27="kg/t SAR",(D$28*$B31),IF(D$27="kg/t DM",((D$28*($B$28/100))*$B31),IF(D$27="mg/kg SAR",((D$28*0.001)*$B31),IF(D$27="mg/kg DM",(((D$28*0.001)*($B$28/100))*$B31),"0")))))))*2.291</f>
        <v>9.2194422000000014</v>
      </c>
      <c r="E31" s="77">
        <f>(IF(E$27="%w/w SAR",((E$28*10)*$B31),IF(E$27="%w/w DM",(((E$28*10)*($B$28/100))*$B31),IF(E$27="kg/t SAR",(E$28*$B31),IF(E$27="kg/t DM",((E$28*($B$28/100))*$B31),IF(E$27="mg/kg SAR",((E$28*0.001)*$B31),IF(E$27="mg/kg DM",(((E$28*0.001)*($B$28/100))*$B31),"0")))))))*1.205</f>
        <v>1.9630594750000001E-4</v>
      </c>
      <c r="F31" s="77">
        <f>(IF(F$27="%w/w SAR",((F$28*10)*$B31),IF(F$27="%w/w DM",(((F$28*10)*($B$28/100))*$B31),IF(F$27="kg/t SAR",(F$28*$B31),IF(F$27="kg/t DM",((F$28*($B$28/100))*$B31),IF(F$27="mg/kg SAR",((F$28*0.001)*$B31),IF(F$27="mg/kg DM",(((F$28*0.001)*($B$28/100))*$B31),"0")))))))*1.658</f>
        <v>17.382637799999998</v>
      </c>
      <c r="G31" s="77">
        <f t="shared" ref="G31:P46" si="5">IF(G$27="%w/w SAR",((G$28*10)*$B31),IF(G$27="%w/w DM",(((G$28*10)*($B$28/100))*$B31),IF(G$27="kg/t SAR",(G$28*$B31),IF(G$27="kg/t DM",((G$28*($B$28/100))*$B31),IF(G$27="mg/kg SAR",((G$28*0.001)*$B31),IF(G$27="mg/kg DM",(((G$28*0.001)*($B$28/100))*$B31),0))))))</f>
        <v>0.54538500000000001</v>
      </c>
      <c r="H31" s="77">
        <f t="shared" si="5"/>
        <v>8.7367499999999989</v>
      </c>
      <c r="I31" s="77">
        <f t="shared" si="5"/>
        <v>0.79601499999999992</v>
      </c>
      <c r="J31" s="77">
        <f t="shared" si="5"/>
        <v>3.3534999999999995E-2</v>
      </c>
      <c r="K31" s="77">
        <f t="shared" si="5"/>
        <v>5.1184999999999998E-3</v>
      </c>
      <c r="L31" s="77">
        <f t="shared" si="5"/>
        <v>0.4394849999999999</v>
      </c>
      <c r="M31" s="77">
        <f t="shared" si="5"/>
        <v>0.192385</v>
      </c>
      <c r="N31" s="77">
        <f t="shared" si="5"/>
        <v>85.778999999999996</v>
      </c>
      <c r="O31" s="77">
        <f t="shared" si="5"/>
        <v>7818.9499999999989</v>
      </c>
      <c r="P31" s="77">
        <f t="shared" si="5"/>
        <v>0</v>
      </c>
      <c r="Q31" s="77">
        <f>(IF(Q$27="%w/w SAR",((Q$28*10)*$B31),IF(Q$27="%w/w DM",(((Q$28*10)*($B$28/100))*$B31),IF(Q$27="kg/t SAR",(Q$28*$B31),IF(Q$27="kg/t DM",((Q$28*($B$28/100))*$B31),IF(Q$27="mg/kg SAR",((Q$28*0.001)*$B31),IF(Q$27="mg/kg DM",(((Q$28*0.001)*($B$28/100))*$B31),0)))))))*2.5</f>
        <v>90.014999999999986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0.18179500000000001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125.31499999999998</v>
      </c>
      <c r="D32" s="77">
        <f t="shared" ref="D32:D50" si="7">(IF(D$27="%w/w SAR",((D$28*10)*$B32),IF(D$27="%w/w DM",(((D$28*10)*($B$28/100))*$B32),IF(D$27="kg/t SAR",(D$28*$B32),IF(D$27="kg/t DM",((D$28*($B$28/100))*$B32),IF(D$27="mg/kg SAR",((D$28*0.001)*$B32),IF(D$27="mg/kg DM",(((D$28*0.001)*($B$28/100))*$B32),"0")))))))*2.291</f>
        <v>9.2194422000000014</v>
      </c>
      <c r="E32" s="77">
        <f t="shared" ref="E32:E50" si="8">(IF(E$27="%w/w SAR",((E$28*10)*$B32),IF(E$27="%w/w DM",(((E$28*10)*($B$28/100))*$B32),IF(E$27="kg/t SAR",(E$28*$B32),IF(E$27="kg/t DM",((E$28*($B$28/100))*$B32),IF(E$27="mg/kg SAR",((E$28*0.001)*$B32),IF(E$27="mg/kg DM",(((E$28*0.001)*($B$28/100))*$B32),"0")))))))*1.205</f>
        <v>1.9630594750000001E-4</v>
      </c>
      <c r="F32" s="77">
        <f t="shared" ref="F32:F50" si="9">(IF(F$27="%w/w SAR",((F$28*10)*$B32),IF(F$27="%w/w DM",(((F$28*10)*($B$28/100))*$B32),IF(F$27="kg/t SAR",(F$28*$B32),IF(F$27="kg/t DM",((F$28*($B$28/100))*$B32),IF(F$27="mg/kg SAR",((F$28*0.001)*$B32),IF(F$27="mg/kg DM",(((F$28*0.001)*($B$28/100))*$B32),"0")))))))*1.658</f>
        <v>17.382637799999998</v>
      </c>
      <c r="G32" s="77">
        <f t="shared" si="5"/>
        <v>0.54538500000000001</v>
      </c>
      <c r="H32" s="77">
        <f t="shared" si="5"/>
        <v>8.7367499999999989</v>
      </c>
      <c r="I32" s="77">
        <f t="shared" si="5"/>
        <v>0.79601499999999992</v>
      </c>
      <c r="J32" s="77">
        <f t="shared" si="5"/>
        <v>3.3534999999999995E-2</v>
      </c>
      <c r="K32" s="77">
        <f t="shared" si="5"/>
        <v>5.1184999999999998E-3</v>
      </c>
      <c r="L32" s="77">
        <f t="shared" si="5"/>
        <v>0.4394849999999999</v>
      </c>
      <c r="M32" s="77">
        <f t="shared" si="5"/>
        <v>0.192385</v>
      </c>
      <c r="N32" s="77">
        <f t="shared" si="5"/>
        <v>85.778999999999996</v>
      </c>
      <c r="O32" s="77">
        <f t="shared" si="5"/>
        <v>7818.9499999999989</v>
      </c>
      <c r="P32" s="77">
        <f t="shared" si="5"/>
        <v>0</v>
      </c>
      <c r="Q32" s="77">
        <f t="shared" ref="Q32:Q50" si="10">(IF(Q$27="%w/w SAR",((Q$28*10)*$B32),IF(Q$27="%w/w DM",(((Q$28*10)*($B$28/100))*$B32),IF(Q$27="kg/t SAR",(Q$28*$B32),IF(Q$27="kg/t DM",((Q$28*($B$28/100))*$B32),IF(Q$27="mg/kg SAR",((Q$28*0.001)*$B32),IF(Q$27="mg/kg DM",(((Q$28*0.001)*($B$28/100))*$B32),0)))))))*2.5</f>
        <v>90.014999999999986</v>
      </c>
      <c r="R32" s="77">
        <f t="shared" ref="R32:U50" si="11">IF(R$27="%w/w SAR",((R$28*10)*$B32),IF(R$27="%w/w DM",(((R$28*10)*($B$28/100))*$B32),IF(R$27="kg/t SAR",(R$28*$B32),IF(R$27="kg/t DM",((R$28*($B$28/100))*$B32),IF(R$27="mg/kg SAR",((R$28*0.001)*$B32),IF(R$27="mg/kg DM",(((R$28*0.001)*($B$28/100))*$B32),0))))))</f>
        <v>0</v>
      </c>
      <c r="S32" s="77">
        <f t="shared" si="11"/>
        <v>0.18179500000000001</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125.31499999999998</v>
      </c>
      <c r="D33" s="77">
        <f t="shared" si="7"/>
        <v>9.2194422000000014</v>
      </c>
      <c r="E33" s="77">
        <f t="shared" si="8"/>
        <v>1.9630594750000001E-4</v>
      </c>
      <c r="F33" s="77">
        <f t="shared" si="9"/>
        <v>17.382637799999998</v>
      </c>
      <c r="G33" s="77">
        <f t="shared" si="5"/>
        <v>0.54538500000000001</v>
      </c>
      <c r="H33" s="77">
        <f t="shared" si="5"/>
        <v>8.7367499999999989</v>
      </c>
      <c r="I33" s="77">
        <f t="shared" si="5"/>
        <v>0.79601499999999992</v>
      </c>
      <c r="J33" s="77">
        <f t="shared" si="5"/>
        <v>3.3534999999999995E-2</v>
      </c>
      <c r="K33" s="77">
        <f t="shared" si="5"/>
        <v>5.1184999999999998E-3</v>
      </c>
      <c r="L33" s="77">
        <f t="shared" si="5"/>
        <v>0.4394849999999999</v>
      </c>
      <c r="M33" s="77">
        <f t="shared" si="5"/>
        <v>0.192385</v>
      </c>
      <c r="N33" s="77">
        <f t="shared" si="5"/>
        <v>85.778999999999996</v>
      </c>
      <c r="O33" s="77">
        <f t="shared" si="5"/>
        <v>7818.9499999999989</v>
      </c>
      <c r="P33" s="77">
        <f t="shared" si="5"/>
        <v>0</v>
      </c>
      <c r="Q33" s="77">
        <f t="shared" si="10"/>
        <v>90.014999999999986</v>
      </c>
      <c r="R33" s="77">
        <f t="shared" si="11"/>
        <v>0</v>
      </c>
      <c r="S33" s="77">
        <f t="shared" si="11"/>
        <v>0.18179500000000001</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125.31499999999998</v>
      </c>
      <c r="D34" s="77">
        <f t="shared" si="7"/>
        <v>9.2194422000000014</v>
      </c>
      <c r="E34" s="77">
        <f t="shared" si="8"/>
        <v>1.9630594750000001E-4</v>
      </c>
      <c r="F34" s="77">
        <f t="shared" si="9"/>
        <v>17.382637799999998</v>
      </c>
      <c r="G34" s="77">
        <f t="shared" si="5"/>
        <v>0.54538500000000001</v>
      </c>
      <c r="H34" s="77">
        <f t="shared" si="5"/>
        <v>8.7367499999999989</v>
      </c>
      <c r="I34" s="77">
        <f t="shared" si="5"/>
        <v>0.79601499999999992</v>
      </c>
      <c r="J34" s="77">
        <f t="shared" si="5"/>
        <v>3.3534999999999995E-2</v>
      </c>
      <c r="K34" s="77">
        <f t="shared" si="5"/>
        <v>5.1184999999999998E-3</v>
      </c>
      <c r="L34" s="77">
        <f t="shared" si="5"/>
        <v>0.4394849999999999</v>
      </c>
      <c r="M34" s="77">
        <f t="shared" si="5"/>
        <v>0.192385</v>
      </c>
      <c r="N34" s="77">
        <f t="shared" si="5"/>
        <v>85.778999999999996</v>
      </c>
      <c r="O34" s="77">
        <f t="shared" si="5"/>
        <v>7818.9499999999989</v>
      </c>
      <c r="P34" s="77">
        <f t="shared" si="5"/>
        <v>0</v>
      </c>
      <c r="Q34" s="77">
        <f t="shared" si="10"/>
        <v>90.014999999999986</v>
      </c>
      <c r="R34" s="77">
        <f t="shared" si="11"/>
        <v>0</v>
      </c>
      <c r="S34" s="77">
        <f t="shared" si="11"/>
        <v>0.18179500000000001</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125.31499999999998</v>
      </c>
      <c r="D35" s="77">
        <f t="shared" si="7"/>
        <v>9.2194422000000014</v>
      </c>
      <c r="E35" s="77">
        <f t="shared" si="8"/>
        <v>1.9630594750000001E-4</v>
      </c>
      <c r="F35" s="77">
        <f t="shared" si="9"/>
        <v>17.382637799999998</v>
      </c>
      <c r="G35" s="77">
        <f t="shared" si="5"/>
        <v>0.54538500000000001</v>
      </c>
      <c r="H35" s="77">
        <f t="shared" si="5"/>
        <v>8.7367499999999989</v>
      </c>
      <c r="I35" s="77">
        <f t="shared" si="5"/>
        <v>0.79601499999999992</v>
      </c>
      <c r="J35" s="77">
        <f t="shared" si="5"/>
        <v>3.3534999999999995E-2</v>
      </c>
      <c r="K35" s="77">
        <f t="shared" si="5"/>
        <v>5.1184999999999998E-3</v>
      </c>
      <c r="L35" s="77">
        <f t="shared" si="5"/>
        <v>0.4394849999999999</v>
      </c>
      <c r="M35" s="77">
        <f t="shared" si="5"/>
        <v>0.192385</v>
      </c>
      <c r="N35" s="77">
        <f t="shared" si="5"/>
        <v>85.778999999999996</v>
      </c>
      <c r="O35" s="77">
        <f t="shared" si="5"/>
        <v>7818.9499999999989</v>
      </c>
      <c r="P35" s="77">
        <f t="shared" si="5"/>
        <v>0</v>
      </c>
      <c r="Q35" s="77">
        <f t="shared" si="10"/>
        <v>90.014999999999986</v>
      </c>
      <c r="R35" s="77">
        <f t="shared" si="11"/>
        <v>0</v>
      </c>
      <c r="S35" s="77">
        <f t="shared" si="11"/>
        <v>0.18179500000000001</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125.31499999999998</v>
      </c>
      <c r="D36" s="77">
        <f t="shared" si="7"/>
        <v>9.2194422000000014</v>
      </c>
      <c r="E36" s="77">
        <f t="shared" si="8"/>
        <v>1.9630594750000001E-4</v>
      </c>
      <c r="F36" s="77">
        <f t="shared" si="9"/>
        <v>17.382637799999998</v>
      </c>
      <c r="G36" s="77">
        <f t="shared" si="5"/>
        <v>0.54538500000000001</v>
      </c>
      <c r="H36" s="77">
        <f t="shared" si="5"/>
        <v>8.7367499999999989</v>
      </c>
      <c r="I36" s="77">
        <f t="shared" si="5"/>
        <v>0.79601499999999992</v>
      </c>
      <c r="J36" s="77">
        <f t="shared" si="5"/>
        <v>3.3534999999999995E-2</v>
      </c>
      <c r="K36" s="77">
        <f t="shared" si="5"/>
        <v>5.1184999999999998E-3</v>
      </c>
      <c r="L36" s="77">
        <f t="shared" si="5"/>
        <v>0.4394849999999999</v>
      </c>
      <c r="M36" s="77">
        <f t="shared" si="5"/>
        <v>0.192385</v>
      </c>
      <c r="N36" s="77">
        <f t="shared" si="5"/>
        <v>85.778999999999996</v>
      </c>
      <c r="O36" s="77">
        <f t="shared" si="5"/>
        <v>7818.9499999999989</v>
      </c>
      <c r="P36" s="77">
        <f t="shared" si="5"/>
        <v>0</v>
      </c>
      <c r="Q36" s="77">
        <f t="shared" si="10"/>
        <v>90.014999999999986</v>
      </c>
      <c r="R36" s="77">
        <f t="shared" si="11"/>
        <v>0</v>
      </c>
      <c r="S36" s="77">
        <f t="shared" si="11"/>
        <v>0.18179500000000001</v>
      </c>
      <c r="T36" s="77">
        <f t="shared" si="11"/>
        <v>0</v>
      </c>
      <c r="U36" s="77">
        <f t="shared" si="11"/>
        <v>0</v>
      </c>
      <c r="AB36" s="59"/>
      <c r="AC36" s="59"/>
      <c r="AD36" s="59"/>
      <c r="AE36" s="59"/>
      <c r="AF36" s="59"/>
      <c r="AG36" s="59"/>
      <c r="AH36" s="59"/>
      <c r="AI36" s="59"/>
    </row>
    <row r="37" spans="1:35" s="72" customFormat="1" ht="13" x14ac:dyDescent="0.35">
      <c r="A37" s="13">
        <f>I8</f>
        <v>7</v>
      </c>
      <c r="B37" s="15">
        <v>250</v>
      </c>
      <c r="C37" s="77">
        <f t="shared" si="6"/>
        <v>125.31499999999998</v>
      </c>
      <c r="D37" s="77">
        <f t="shared" si="7"/>
        <v>9.2194422000000014</v>
      </c>
      <c r="E37" s="77">
        <f t="shared" si="8"/>
        <v>1.9630594750000001E-4</v>
      </c>
      <c r="F37" s="77">
        <f t="shared" si="9"/>
        <v>17.382637799999998</v>
      </c>
      <c r="G37" s="77">
        <f t="shared" si="5"/>
        <v>0.54538500000000001</v>
      </c>
      <c r="H37" s="77">
        <f t="shared" si="5"/>
        <v>8.7367499999999989</v>
      </c>
      <c r="I37" s="77">
        <f t="shared" si="5"/>
        <v>0.79601499999999992</v>
      </c>
      <c r="J37" s="77">
        <f t="shared" si="5"/>
        <v>3.3534999999999995E-2</v>
      </c>
      <c r="K37" s="77">
        <f t="shared" si="5"/>
        <v>5.1184999999999998E-3</v>
      </c>
      <c r="L37" s="77">
        <f t="shared" si="5"/>
        <v>0.4394849999999999</v>
      </c>
      <c r="M37" s="77">
        <f t="shared" si="5"/>
        <v>0.192385</v>
      </c>
      <c r="N37" s="77">
        <f t="shared" si="5"/>
        <v>85.778999999999996</v>
      </c>
      <c r="O37" s="77">
        <f t="shared" si="5"/>
        <v>7818.9499999999989</v>
      </c>
      <c r="P37" s="77">
        <f t="shared" si="5"/>
        <v>0</v>
      </c>
      <c r="Q37" s="77">
        <f t="shared" si="10"/>
        <v>90.014999999999986</v>
      </c>
      <c r="R37" s="77">
        <f t="shared" si="11"/>
        <v>0</v>
      </c>
      <c r="S37" s="77">
        <f t="shared" si="11"/>
        <v>0.18179500000000001</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125.31499999999998</v>
      </c>
      <c r="D38" s="77">
        <f t="shared" si="7"/>
        <v>9.2194422000000014</v>
      </c>
      <c r="E38" s="77">
        <f t="shared" si="8"/>
        <v>1.9630594750000001E-4</v>
      </c>
      <c r="F38" s="77">
        <f t="shared" si="9"/>
        <v>17.382637799999998</v>
      </c>
      <c r="G38" s="77">
        <f t="shared" si="5"/>
        <v>0.54538500000000001</v>
      </c>
      <c r="H38" s="77">
        <f t="shared" si="5"/>
        <v>8.7367499999999989</v>
      </c>
      <c r="I38" s="77">
        <f t="shared" si="5"/>
        <v>0.79601499999999992</v>
      </c>
      <c r="J38" s="77">
        <f t="shared" si="5"/>
        <v>3.3534999999999995E-2</v>
      </c>
      <c r="K38" s="77">
        <f t="shared" si="5"/>
        <v>5.1184999999999998E-3</v>
      </c>
      <c r="L38" s="77">
        <f t="shared" si="5"/>
        <v>0.4394849999999999</v>
      </c>
      <c r="M38" s="77">
        <f t="shared" si="5"/>
        <v>0.192385</v>
      </c>
      <c r="N38" s="77">
        <f t="shared" si="5"/>
        <v>85.778999999999996</v>
      </c>
      <c r="O38" s="77">
        <f t="shared" si="5"/>
        <v>7818.9499999999989</v>
      </c>
      <c r="P38" s="77">
        <f t="shared" si="5"/>
        <v>0</v>
      </c>
      <c r="Q38" s="77">
        <f t="shared" si="10"/>
        <v>90.014999999999986</v>
      </c>
      <c r="R38" s="77">
        <f t="shared" si="11"/>
        <v>0</v>
      </c>
      <c r="S38" s="77">
        <f t="shared" si="11"/>
        <v>0.18179500000000001</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125.31499999999998</v>
      </c>
      <c r="D39" s="77">
        <f t="shared" si="7"/>
        <v>9.2194422000000014</v>
      </c>
      <c r="E39" s="77">
        <f t="shared" si="8"/>
        <v>1.9630594750000001E-4</v>
      </c>
      <c r="F39" s="77">
        <f t="shared" si="9"/>
        <v>17.382637799999998</v>
      </c>
      <c r="G39" s="77">
        <f t="shared" si="5"/>
        <v>0.54538500000000001</v>
      </c>
      <c r="H39" s="77">
        <f t="shared" si="5"/>
        <v>8.7367499999999989</v>
      </c>
      <c r="I39" s="77">
        <f t="shared" si="5"/>
        <v>0.79601499999999992</v>
      </c>
      <c r="J39" s="77">
        <f t="shared" si="5"/>
        <v>3.3534999999999995E-2</v>
      </c>
      <c r="K39" s="77">
        <f t="shared" si="5"/>
        <v>5.1184999999999998E-3</v>
      </c>
      <c r="L39" s="77">
        <f t="shared" si="5"/>
        <v>0.4394849999999999</v>
      </c>
      <c r="M39" s="77">
        <f t="shared" si="5"/>
        <v>0.192385</v>
      </c>
      <c r="N39" s="77">
        <f t="shared" si="5"/>
        <v>85.778999999999996</v>
      </c>
      <c r="O39" s="77">
        <f t="shared" si="5"/>
        <v>7818.9499999999989</v>
      </c>
      <c r="P39" s="77">
        <f t="shared" si="5"/>
        <v>0</v>
      </c>
      <c r="Q39" s="77">
        <f t="shared" si="10"/>
        <v>90.014999999999986</v>
      </c>
      <c r="R39" s="77">
        <f t="shared" si="11"/>
        <v>0</v>
      </c>
      <c r="S39" s="77">
        <f t="shared" si="11"/>
        <v>0.18179500000000001</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125.31499999999998</v>
      </c>
      <c r="D40" s="77">
        <f t="shared" si="7"/>
        <v>9.2194422000000014</v>
      </c>
      <c r="E40" s="77">
        <f t="shared" si="8"/>
        <v>1.9630594750000001E-4</v>
      </c>
      <c r="F40" s="77">
        <f t="shared" si="9"/>
        <v>17.382637799999998</v>
      </c>
      <c r="G40" s="77">
        <f t="shared" si="5"/>
        <v>0.54538500000000001</v>
      </c>
      <c r="H40" s="77">
        <f t="shared" si="5"/>
        <v>8.7367499999999989</v>
      </c>
      <c r="I40" s="77">
        <f t="shared" si="5"/>
        <v>0.79601499999999992</v>
      </c>
      <c r="J40" s="77">
        <f t="shared" si="5"/>
        <v>3.3534999999999995E-2</v>
      </c>
      <c r="K40" s="77">
        <f t="shared" si="5"/>
        <v>5.1184999999999998E-3</v>
      </c>
      <c r="L40" s="77">
        <f t="shared" si="5"/>
        <v>0.4394849999999999</v>
      </c>
      <c r="M40" s="77">
        <f t="shared" si="5"/>
        <v>0.192385</v>
      </c>
      <c r="N40" s="77">
        <f t="shared" si="5"/>
        <v>85.778999999999996</v>
      </c>
      <c r="O40" s="77">
        <f t="shared" si="5"/>
        <v>7818.9499999999989</v>
      </c>
      <c r="P40" s="77">
        <f t="shared" si="5"/>
        <v>0</v>
      </c>
      <c r="Q40" s="77">
        <f t="shared" si="10"/>
        <v>90.014999999999986</v>
      </c>
      <c r="R40" s="77">
        <f t="shared" si="11"/>
        <v>0</v>
      </c>
      <c r="S40" s="77">
        <f t="shared" si="11"/>
        <v>0.18179500000000001</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125.31499999999998</v>
      </c>
      <c r="D41" s="77">
        <f t="shared" si="7"/>
        <v>9.2194422000000014</v>
      </c>
      <c r="E41" s="77">
        <f t="shared" si="8"/>
        <v>1.9630594750000001E-4</v>
      </c>
      <c r="F41" s="77">
        <f t="shared" si="9"/>
        <v>17.382637799999998</v>
      </c>
      <c r="G41" s="77">
        <f t="shared" si="5"/>
        <v>0.54538500000000001</v>
      </c>
      <c r="H41" s="77">
        <f t="shared" si="5"/>
        <v>8.7367499999999989</v>
      </c>
      <c r="I41" s="77">
        <f t="shared" si="5"/>
        <v>0.79601499999999992</v>
      </c>
      <c r="J41" s="77">
        <f t="shared" si="5"/>
        <v>3.3534999999999995E-2</v>
      </c>
      <c r="K41" s="77">
        <f t="shared" si="5"/>
        <v>5.1184999999999998E-3</v>
      </c>
      <c r="L41" s="77">
        <f t="shared" si="5"/>
        <v>0.4394849999999999</v>
      </c>
      <c r="M41" s="77">
        <f t="shared" si="5"/>
        <v>0.192385</v>
      </c>
      <c r="N41" s="77">
        <f t="shared" si="5"/>
        <v>85.778999999999996</v>
      </c>
      <c r="O41" s="77">
        <f t="shared" si="5"/>
        <v>7818.9499999999989</v>
      </c>
      <c r="P41" s="77">
        <f t="shared" si="5"/>
        <v>0</v>
      </c>
      <c r="Q41" s="77">
        <f t="shared" si="10"/>
        <v>90.014999999999986</v>
      </c>
      <c r="R41" s="77">
        <f t="shared" si="11"/>
        <v>0</v>
      </c>
      <c r="S41" s="77">
        <f t="shared" si="11"/>
        <v>0.18179500000000001</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125.31499999999998</v>
      </c>
      <c r="D42" s="77">
        <f t="shared" si="7"/>
        <v>9.2194422000000014</v>
      </c>
      <c r="E42" s="77">
        <f t="shared" si="8"/>
        <v>1.9630594750000001E-4</v>
      </c>
      <c r="F42" s="77">
        <f t="shared" si="9"/>
        <v>17.382637799999998</v>
      </c>
      <c r="G42" s="77">
        <f t="shared" si="5"/>
        <v>0.54538500000000001</v>
      </c>
      <c r="H42" s="77">
        <f t="shared" si="5"/>
        <v>8.7367499999999989</v>
      </c>
      <c r="I42" s="77">
        <f t="shared" si="5"/>
        <v>0.79601499999999992</v>
      </c>
      <c r="J42" s="77">
        <f t="shared" si="5"/>
        <v>3.3534999999999995E-2</v>
      </c>
      <c r="K42" s="77">
        <f t="shared" si="5"/>
        <v>5.1184999999999998E-3</v>
      </c>
      <c r="L42" s="77">
        <f t="shared" si="5"/>
        <v>0.4394849999999999</v>
      </c>
      <c r="M42" s="77">
        <f t="shared" si="5"/>
        <v>0.192385</v>
      </c>
      <c r="N42" s="77">
        <f t="shared" si="5"/>
        <v>85.778999999999996</v>
      </c>
      <c r="O42" s="77">
        <f t="shared" si="5"/>
        <v>7818.9499999999989</v>
      </c>
      <c r="P42" s="77">
        <f t="shared" si="5"/>
        <v>0</v>
      </c>
      <c r="Q42" s="77">
        <f t="shared" si="10"/>
        <v>90.014999999999986</v>
      </c>
      <c r="R42" s="77">
        <f t="shared" si="11"/>
        <v>0</v>
      </c>
      <c r="S42" s="77">
        <f t="shared" si="11"/>
        <v>0.18179500000000001</v>
      </c>
      <c r="T42" s="77">
        <f t="shared" si="11"/>
        <v>0</v>
      </c>
      <c r="U42" s="77">
        <f t="shared" si="11"/>
        <v>0</v>
      </c>
      <c r="AB42" s="59"/>
      <c r="AC42" s="59"/>
      <c r="AD42" s="59"/>
      <c r="AE42" s="59"/>
      <c r="AF42" s="59"/>
      <c r="AG42" s="59"/>
      <c r="AH42" s="59"/>
      <c r="AI42" s="59"/>
    </row>
    <row r="43" spans="1:35" s="72" customFormat="1" ht="13" x14ac:dyDescent="0.35">
      <c r="A43" s="13">
        <f>O8</f>
        <v>13</v>
      </c>
      <c r="B43" s="15">
        <v>250</v>
      </c>
      <c r="C43" s="77">
        <f t="shared" si="6"/>
        <v>125.31499999999998</v>
      </c>
      <c r="D43" s="77">
        <f t="shared" si="7"/>
        <v>9.2194422000000014</v>
      </c>
      <c r="E43" s="77">
        <f t="shared" si="8"/>
        <v>1.9630594750000001E-4</v>
      </c>
      <c r="F43" s="77">
        <f t="shared" si="9"/>
        <v>17.382637799999998</v>
      </c>
      <c r="G43" s="77">
        <f t="shared" si="5"/>
        <v>0.54538500000000001</v>
      </c>
      <c r="H43" s="77">
        <f t="shared" si="5"/>
        <v>8.7367499999999989</v>
      </c>
      <c r="I43" s="77">
        <f t="shared" si="5"/>
        <v>0.79601499999999992</v>
      </c>
      <c r="J43" s="77">
        <f t="shared" si="5"/>
        <v>3.3534999999999995E-2</v>
      </c>
      <c r="K43" s="77">
        <f t="shared" si="5"/>
        <v>5.1184999999999998E-3</v>
      </c>
      <c r="L43" s="77">
        <f t="shared" si="5"/>
        <v>0.4394849999999999</v>
      </c>
      <c r="M43" s="77">
        <f t="shared" si="5"/>
        <v>0.192385</v>
      </c>
      <c r="N43" s="77">
        <f t="shared" si="5"/>
        <v>85.778999999999996</v>
      </c>
      <c r="O43" s="77">
        <f t="shared" si="5"/>
        <v>7818.9499999999989</v>
      </c>
      <c r="P43" s="77">
        <f t="shared" si="5"/>
        <v>0</v>
      </c>
      <c r="Q43" s="77">
        <f t="shared" si="10"/>
        <v>90.014999999999986</v>
      </c>
      <c r="R43" s="77">
        <f t="shared" si="11"/>
        <v>0</v>
      </c>
      <c r="S43" s="77">
        <f t="shared" si="11"/>
        <v>0.18179500000000001</v>
      </c>
      <c r="T43" s="77">
        <f t="shared" si="11"/>
        <v>0</v>
      </c>
      <c r="U43" s="77">
        <f t="shared" si="11"/>
        <v>0</v>
      </c>
      <c r="AB43" s="59"/>
      <c r="AC43" s="59"/>
      <c r="AD43" s="59"/>
      <c r="AE43" s="59"/>
      <c r="AF43" s="59"/>
      <c r="AG43" s="59"/>
      <c r="AH43" s="59"/>
      <c r="AI43" s="59"/>
    </row>
    <row r="44" spans="1:35" s="72" customFormat="1" ht="13" x14ac:dyDescent="0.35">
      <c r="A44" s="13">
        <f>P8</f>
        <v>15</v>
      </c>
      <c r="B44" s="15">
        <v>250</v>
      </c>
      <c r="C44" s="77">
        <f t="shared" si="6"/>
        <v>125.31499999999998</v>
      </c>
      <c r="D44" s="77">
        <f t="shared" si="7"/>
        <v>9.2194422000000014</v>
      </c>
      <c r="E44" s="77">
        <f t="shared" si="8"/>
        <v>1.9630594750000001E-4</v>
      </c>
      <c r="F44" s="77">
        <f t="shared" si="9"/>
        <v>17.382637799999998</v>
      </c>
      <c r="G44" s="77">
        <f t="shared" si="5"/>
        <v>0.54538500000000001</v>
      </c>
      <c r="H44" s="77">
        <f t="shared" si="5"/>
        <v>8.7367499999999989</v>
      </c>
      <c r="I44" s="77">
        <f t="shared" si="5"/>
        <v>0.79601499999999992</v>
      </c>
      <c r="J44" s="77">
        <f t="shared" si="5"/>
        <v>3.3534999999999995E-2</v>
      </c>
      <c r="K44" s="77">
        <f t="shared" si="5"/>
        <v>5.1184999999999998E-3</v>
      </c>
      <c r="L44" s="77">
        <f t="shared" si="5"/>
        <v>0.4394849999999999</v>
      </c>
      <c r="M44" s="77">
        <f t="shared" si="5"/>
        <v>0.192385</v>
      </c>
      <c r="N44" s="77">
        <f t="shared" si="5"/>
        <v>85.778999999999996</v>
      </c>
      <c r="O44" s="77">
        <f t="shared" si="5"/>
        <v>7818.9499999999989</v>
      </c>
      <c r="P44" s="77">
        <f t="shared" si="5"/>
        <v>0</v>
      </c>
      <c r="Q44" s="77">
        <f t="shared" si="10"/>
        <v>90.014999999999986</v>
      </c>
      <c r="R44" s="77">
        <f t="shared" si="11"/>
        <v>0</v>
      </c>
      <c r="S44" s="77">
        <f t="shared" si="11"/>
        <v>0.18179500000000001</v>
      </c>
      <c r="T44" s="77">
        <f t="shared" si="11"/>
        <v>0</v>
      </c>
      <c r="U44" s="77">
        <f t="shared" si="11"/>
        <v>0</v>
      </c>
      <c r="AB44" s="59"/>
      <c r="AC44" s="59"/>
      <c r="AD44" s="59"/>
      <c r="AE44" s="59"/>
      <c r="AF44" s="59"/>
      <c r="AG44" s="59"/>
      <c r="AH44" s="59"/>
      <c r="AI44" s="59"/>
    </row>
    <row r="45" spans="1:35" s="72" customFormat="1" ht="13" x14ac:dyDescent="0.35">
      <c r="A45" s="13">
        <f>Q8</f>
        <v>16</v>
      </c>
      <c r="B45" s="15">
        <v>250</v>
      </c>
      <c r="C45" s="77">
        <f t="shared" si="6"/>
        <v>125.31499999999998</v>
      </c>
      <c r="D45" s="77">
        <f t="shared" si="7"/>
        <v>9.2194422000000014</v>
      </c>
      <c r="E45" s="77">
        <f t="shared" si="8"/>
        <v>1.9630594750000001E-4</v>
      </c>
      <c r="F45" s="77">
        <f t="shared" si="9"/>
        <v>17.382637799999998</v>
      </c>
      <c r="G45" s="77">
        <f t="shared" si="5"/>
        <v>0.54538500000000001</v>
      </c>
      <c r="H45" s="77">
        <f t="shared" si="5"/>
        <v>8.7367499999999989</v>
      </c>
      <c r="I45" s="77">
        <f t="shared" si="5"/>
        <v>0.79601499999999992</v>
      </c>
      <c r="J45" s="77">
        <f t="shared" si="5"/>
        <v>3.3534999999999995E-2</v>
      </c>
      <c r="K45" s="77">
        <f t="shared" si="5"/>
        <v>5.1184999999999998E-3</v>
      </c>
      <c r="L45" s="77">
        <f t="shared" si="5"/>
        <v>0.4394849999999999</v>
      </c>
      <c r="M45" s="77">
        <f t="shared" si="5"/>
        <v>0.192385</v>
      </c>
      <c r="N45" s="77">
        <f t="shared" si="5"/>
        <v>85.778999999999996</v>
      </c>
      <c r="O45" s="77">
        <f t="shared" si="5"/>
        <v>7818.9499999999989</v>
      </c>
      <c r="P45" s="77">
        <f t="shared" si="5"/>
        <v>0</v>
      </c>
      <c r="Q45" s="77">
        <f t="shared" si="10"/>
        <v>90.014999999999986</v>
      </c>
      <c r="R45" s="77">
        <f t="shared" si="11"/>
        <v>0</v>
      </c>
      <c r="S45" s="77">
        <f t="shared" si="11"/>
        <v>0.18179500000000001</v>
      </c>
      <c r="T45" s="77">
        <f t="shared" si="11"/>
        <v>0</v>
      </c>
      <c r="U45" s="77">
        <f t="shared" si="11"/>
        <v>0</v>
      </c>
      <c r="AB45" s="59"/>
      <c r="AC45" s="59"/>
      <c r="AD45" s="59"/>
      <c r="AE45" s="59"/>
      <c r="AF45" s="59"/>
      <c r="AG45" s="59"/>
      <c r="AH45" s="59"/>
      <c r="AI45" s="59"/>
    </row>
    <row r="46" spans="1:35" s="72" customFormat="1" ht="13" x14ac:dyDescent="0.35">
      <c r="A46" s="13">
        <f>R8</f>
        <v>21</v>
      </c>
      <c r="B46" s="15">
        <v>250</v>
      </c>
      <c r="C46" s="77">
        <f t="shared" si="6"/>
        <v>125.31499999999998</v>
      </c>
      <c r="D46" s="77">
        <f t="shared" si="7"/>
        <v>9.2194422000000014</v>
      </c>
      <c r="E46" s="77">
        <f t="shared" si="8"/>
        <v>1.9630594750000001E-4</v>
      </c>
      <c r="F46" s="77">
        <f t="shared" si="9"/>
        <v>17.382637799999998</v>
      </c>
      <c r="G46" s="77">
        <f t="shared" si="5"/>
        <v>0.54538500000000001</v>
      </c>
      <c r="H46" s="77">
        <f t="shared" si="5"/>
        <v>8.7367499999999989</v>
      </c>
      <c r="I46" s="77">
        <f t="shared" si="5"/>
        <v>0.79601499999999992</v>
      </c>
      <c r="J46" s="77">
        <f t="shared" si="5"/>
        <v>3.3534999999999995E-2</v>
      </c>
      <c r="K46" s="77">
        <f t="shared" si="5"/>
        <v>5.1184999999999998E-3</v>
      </c>
      <c r="L46" s="77">
        <f t="shared" si="5"/>
        <v>0.4394849999999999</v>
      </c>
      <c r="M46" s="77">
        <f t="shared" si="5"/>
        <v>0.192385</v>
      </c>
      <c r="N46" s="77">
        <f t="shared" si="5"/>
        <v>85.778999999999996</v>
      </c>
      <c r="O46" s="77">
        <f t="shared" si="5"/>
        <v>7818.9499999999989</v>
      </c>
      <c r="P46" s="77">
        <f t="shared" si="5"/>
        <v>0</v>
      </c>
      <c r="Q46" s="77">
        <f t="shared" si="10"/>
        <v>90.014999999999986</v>
      </c>
      <c r="R46" s="77">
        <f t="shared" si="11"/>
        <v>0</v>
      </c>
      <c r="S46" s="77">
        <f t="shared" si="11"/>
        <v>0.18179500000000001</v>
      </c>
      <c r="T46" s="77">
        <f t="shared" si="11"/>
        <v>0</v>
      </c>
      <c r="U46" s="77">
        <f t="shared" si="11"/>
        <v>0</v>
      </c>
      <c r="AB46" s="59"/>
      <c r="AC46" s="59"/>
      <c r="AD46" s="59"/>
      <c r="AE46" s="59"/>
      <c r="AF46" s="59"/>
      <c r="AG46" s="59"/>
      <c r="AH46" s="59"/>
      <c r="AI46" s="59"/>
    </row>
    <row r="47" spans="1:35" s="72" customFormat="1" ht="13" x14ac:dyDescent="0.35">
      <c r="A47" s="13">
        <f>S8</f>
        <v>22</v>
      </c>
      <c r="B47" s="15">
        <v>250</v>
      </c>
      <c r="C47" s="77">
        <f t="shared" si="6"/>
        <v>125.31499999999998</v>
      </c>
      <c r="D47" s="77">
        <f t="shared" si="7"/>
        <v>9.2194422000000014</v>
      </c>
      <c r="E47" s="77">
        <f t="shared" si="8"/>
        <v>1.9630594750000001E-4</v>
      </c>
      <c r="F47" s="77">
        <f t="shared" si="9"/>
        <v>17.382637799999998</v>
      </c>
      <c r="G47" s="77">
        <f t="shared" ref="G47:P50" si="12">IF(G$27="%w/w SAR",((G$28*10)*$B47),IF(G$27="%w/w DM",(((G$28*10)*($B$28/100))*$B47),IF(G$27="kg/t SAR",(G$28*$B47),IF(G$27="kg/t DM",((G$28*($B$28/100))*$B47),IF(G$27="mg/kg SAR",((G$28*0.001)*$B47),IF(G$27="mg/kg DM",(((G$28*0.001)*($B$28/100))*$B47),0))))))</f>
        <v>0.54538500000000001</v>
      </c>
      <c r="H47" s="77">
        <f t="shared" si="12"/>
        <v>8.7367499999999989</v>
      </c>
      <c r="I47" s="77">
        <f t="shared" si="12"/>
        <v>0.79601499999999992</v>
      </c>
      <c r="J47" s="77">
        <f t="shared" si="12"/>
        <v>3.3534999999999995E-2</v>
      </c>
      <c r="K47" s="77">
        <f t="shared" si="12"/>
        <v>5.1184999999999998E-3</v>
      </c>
      <c r="L47" s="77">
        <f t="shared" si="12"/>
        <v>0.4394849999999999</v>
      </c>
      <c r="M47" s="77">
        <f t="shared" si="12"/>
        <v>0.192385</v>
      </c>
      <c r="N47" s="77">
        <f t="shared" si="12"/>
        <v>85.778999999999996</v>
      </c>
      <c r="O47" s="77">
        <f t="shared" si="12"/>
        <v>7818.9499999999989</v>
      </c>
      <c r="P47" s="77">
        <f t="shared" si="12"/>
        <v>0</v>
      </c>
      <c r="Q47" s="77">
        <f t="shared" si="10"/>
        <v>90.014999999999986</v>
      </c>
      <c r="R47" s="77">
        <f t="shared" si="11"/>
        <v>0</v>
      </c>
      <c r="S47" s="77">
        <f t="shared" si="11"/>
        <v>0.18179500000000001</v>
      </c>
      <c r="T47" s="77">
        <f t="shared" si="11"/>
        <v>0</v>
      </c>
      <c r="U47" s="77">
        <f t="shared" si="11"/>
        <v>0</v>
      </c>
      <c r="AB47" s="59"/>
      <c r="AC47" s="59"/>
      <c r="AD47" s="59"/>
      <c r="AE47" s="59"/>
      <c r="AF47" s="59"/>
      <c r="AG47" s="59"/>
      <c r="AH47" s="59"/>
      <c r="AI47" s="59"/>
    </row>
    <row r="48" spans="1:35" s="72" customFormat="1" ht="13" x14ac:dyDescent="0.35">
      <c r="A48" s="13">
        <f>T8</f>
        <v>23</v>
      </c>
      <c r="B48" s="15">
        <v>250</v>
      </c>
      <c r="C48" s="77">
        <f t="shared" si="6"/>
        <v>125.31499999999998</v>
      </c>
      <c r="D48" s="77">
        <f t="shared" si="7"/>
        <v>9.2194422000000014</v>
      </c>
      <c r="E48" s="77">
        <f t="shared" si="8"/>
        <v>1.9630594750000001E-4</v>
      </c>
      <c r="F48" s="77">
        <f t="shared" si="9"/>
        <v>17.382637799999998</v>
      </c>
      <c r="G48" s="77">
        <f t="shared" si="12"/>
        <v>0.54538500000000001</v>
      </c>
      <c r="H48" s="77">
        <f t="shared" si="12"/>
        <v>8.7367499999999989</v>
      </c>
      <c r="I48" s="77">
        <f t="shared" si="12"/>
        <v>0.79601499999999992</v>
      </c>
      <c r="J48" s="77">
        <f t="shared" si="12"/>
        <v>3.3534999999999995E-2</v>
      </c>
      <c r="K48" s="77">
        <f t="shared" si="12"/>
        <v>5.1184999999999998E-3</v>
      </c>
      <c r="L48" s="77">
        <f t="shared" si="12"/>
        <v>0.4394849999999999</v>
      </c>
      <c r="M48" s="77">
        <f t="shared" si="12"/>
        <v>0.192385</v>
      </c>
      <c r="N48" s="77">
        <f t="shared" si="12"/>
        <v>85.778999999999996</v>
      </c>
      <c r="O48" s="77">
        <f t="shared" si="12"/>
        <v>7818.9499999999989</v>
      </c>
      <c r="P48" s="77">
        <f t="shared" si="12"/>
        <v>0</v>
      </c>
      <c r="Q48" s="77">
        <f t="shared" si="10"/>
        <v>90.014999999999986</v>
      </c>
      <c r="R48" s="77">
        <f t="shared" si="11"/>
        <v>0</v>
      </c>
      <c r="S48" s="77">
        <f t="shared" si="11"/>
        <v>0.18179500000000001</v>
      </c>
      <c r="T48" s="77">
        <f t="shared" si="11"/>
        <v>0</v>
      </c>
      <c r="U48" s="77">
        <f t="shared" si="11"/>
        <v>0</v>
      </c>
      <c r="AB48" s="59"/>
      <c r="AC48" s="59"/>
      <c r="AD48" s="59"/>
      <c r="AE48" s="59"/>
      <c r="AF48" s="59"/>
      <c r="AG48" s="59"/>
      <c r="AH48" s="59"/>
      <c r="AI48" s="59"/>
    </row>
    <row r="49" spans="1:35" s="72" customFormat="1" ht="13" x14ac:dyDescent="0.35">
      <c r="A49" s="13">
        <f>U8</f>
        <v>7078</v>
      </c>
      <c r="B49" s="15">
        <v>250</v>
      </c>
      <c r="C49" s="77">
        <f t="shared" si="6"/>
        <v>125.31499999999998</v>
      </c>
      <c r="D49" s="77">
        <f t="shared" si="7"/>
        <v>9.2194422000000014</v>
      </c>
      <c r="E49" s="77">
        <f t="shared" si="8"/>
        <v>1.9630594750000001E-4</v>
      </c>
      <c r="F49" s="77">
        <f t="shared" si="9"/>
        <v>17.382637799999998</v>
      </c>
      <c r="G49" s="77">
        <f t="shared" si="12"/>
        <v>0.54538500000000001</v>
      </c>
      <c r="H49" s="77">
        <f t="shared" si="12"/>
        <v>8.7367499999999989</v>
      </c>
      <c r="I49" s="77">
        <f t="shared" si="12"/>
        <v>0.79601499999999992</v>
      </c>
      <c r="J49" s="77">
        <f t="shared" si="12"/>
        <v>3.3534999999999995E-2</v>
      </c>
      <c r="K49" s="77">
        <f t="shared" si="12"/>
        <v>5.1184999999999998E-3</v>
      </c>
      <c r="L49" s="77">
        <f t="shared" si="12"/>
        <v>0.4394849999999999</v>
      </c>
      <c r="M49" s="77">
        <f t="shared" si="12"/>
        <v>0.192385</v>
      </c>
      <c r="N49" s="77">
        <f t="shared" si="12"/>
        <v>85.778999999999996</v>
      </c>
      <c r="O49" s="77">
        <f t="shared" si="12"/>
        <v>7818.9499999999989</v>
      </c>
      <c r="P49" s="77">
        <f t="shared" si="12"/>
        <v>0</v>
      </c>
      <c r="Q49" s="77">
        <f t="shared" si="10"/>
        <v>90.014999999999986</v>
      </c>
      <c r="R49" s="77">
        <f t="shared" si="11"/>
        <v>0</v>
      </c>
      <c r="S49" s="77">
        <f t="shared" si="11"/>
        <v>0.18179500000000001</v>
      </c>
      <c r="T49" s="77">
        <f t="shared" si="11"/>
        <v>0</v>
      </c>
      <c r="U49" s="77">
        <f t="shared" si="11"/>
        <v>0</v>
      </c>
      <c r="AB49" s="59"/>
      <c r="AC49" s="59"/>
      <c r="AD49" s="59"/>
      <c r="AE49" s="59"/>
      <c r="AF49" s="59"/>
      <c r="AG49" s="59"/>
      <c r="AH49" s="59"/>
      <c r="AI49" s="59"/>
    </row>
    <row r="50" spans="1:35" s="72" customFormat="1" ht="13.5" thickBot="1" x14ac:dyDescent="0.4">
      <c r="A50" s="14">
        <f>V8</f>
        <v>7058</v>
      </c>
      <c r="B50" s="15">
        <v>250</v>
      </c>
      <c r="C50" s="98">
        <f t="shared" si="6"/>
        <v>125.31499999999998</v>
      </c>
      <c r="D50" s="98">
        <f t="shared" si="7"/>
        <v>9.2194422000000014</v>
      </c>
      <c r="E50" s="98">
        <f t="shared" si="8"/>
        <v>1.9630594750000001E-4</v>
      </c>
      <c r="F50" s="98">
        <f t="shared" si="9"/>
        <v>17.382637799999998</v>
      </c>
      <c r="G50" s="98">
        <f t="shared" si="12"/>
        <v>0.54538500000000001</v>
      </c>
      <c r="H50" s="98">
        <f t="shared" si="12"/>
        <v>8.7367499999999989</v>
      </c>
      <c r="I50" s="98">
        <f t="shared" si="12"/>
        <v>0.79601499999999992</v>
      </c>
      <c r="J50" s="98">
        <f t="shared" si="12"/>
        <v>3.3534999999999995E-2</v>
      </c>
      <c r="K50" s="98">
        <f t="shared" si="12"/>
        <v>5.1184999999999998E-3</v>
      </c>
      <c r="L50" s="98">
        <f t="shared" si="12"/>
        <v>0.4394849999999999</v>
      </c>
      <c r="M50" s="98">
        <f t="shared" si="12"/>
        <v>0.192385</v>
      </c>
      <c r="N50" s="98">
        <f t="shared" si="12"/>
        <v>85.778999999999996</v>
      </c>
      <c r="O50" s="98">
        <f t="shared" si="12"/>
        <v>7818.9499999999989</v>
      </c>
      <c r="P50" s="98">
        <f t="shared" si="12"/>
        <v>0</v>
      </c>
      <c r="Q50" s="98">
        <f t="shared" si="10"/>
        <v>90.014999999999986</v>
      </c>
      <c r="R50" s="98">
        <f t="shared" si="11"/>
        <v>0</v>
      </c>
      <c r="S50" s="98">
        <f t="shared" si="11"/>
        <v>0.18179500000000001</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str">
        <f>T16&amp;" I "&amp;(VLOOKUP(T14,Table245[],6,FALSE))</f>
        <v>Medium/Clay I Grass</v>
      </c>
      <c r="T58" s="13" t="str">
        <f>U16&amp;" I "&amp;(VLOOKUP(U14,Table245[],6,FALSE))</f>
        <v>Medium/Clay I Grass</v>
      </c>
      <c r="U58" s="13" t="str">
        <f>V16&amp;" I "&amp;(VLOOKUP(V14,Table245[],6,FALSE))</f>
        <v>Medium/Clay I Grass</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250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3"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v>7</v>
      </c>
      <c r="J1" s="127" t="s">
        <v>153</v>
      </c>
      <c r="K1" s="127"/>
      <c r="L1" s="97">
        <v>316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162</v>
      </c>
      <c r="G2" s="125" t="s">
        <v>110</v>
      </c>
      <c r="H2" s="126"/>
      <c r="I2" s="118"/>
      <c r="J2" s="127" t="s">
        <v>158</v>
      </c>
      <c r="K2" s="127"/>
      <c r="L2" s="97">
        <v>1.08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t="s">
        <v>78</v>
      </c>
      <c r="G3" s="127" t="s">
        <v>159</v>
      </c>
      <c r="H3" s="127"/>
      <c r="I3" s="118"/>
      <c r="J3" s="123" t="s">
        <v>154</v>
      </c>
      <c r="K3" s="124"/>
      <c r="L3" s="97">
        <f>(L1/(L2*10000))*100</f>
        <v>2.925925925925926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63.955853829999988</v>
      </c>
      <c r="D18" s="16">
        <f>$D32</f>
        <v>0</v>
      </c>
      <c r="E18" s="16">
        <f>$D33</f>
        <v>0</v>
      </c>
      <c r="F18" s="16">
        <f>$D34</f>
        <v>0</v>
      </c>
      <c r="G18" s="16">
        <f>$D35</f>
        <v>0</v>
      </c>
      <c r="H18" s="16">
        <f>$D36</f>
        <v>0</v>
      </c>
      <c r="I18" s="16">
        <f>$D37</f>
        <v>0</v>
      </c>
      <c r="J18" s="16">
        <f>$D38</f>
        <v>0</v>
      </c>
      <c r="K18" s="16">
        <f>$D39</f>
        <v>0</v>
      </c>
      <c r="L18" s="16">
        <f>$D40</f>
        <v>0</v>
      </c>
      <c r="M18" s="16">
        <f>$D41</f>
        <v>63.955853829999988</v>
      </c>
      <c r="N18" s="16">
        <f>$D42</f>
        <v>0</v>
      </c>
      <c r="O18" s="16">
        <f>$D43</f>
        <v>0</v>
      </c>
      <c r="P18" s="16">
        <f>$D44</f>
        <v>0</v>
      </c>
      <c r="Q18" s="16">
        <f>$D45</f>
        <v>0</v>
      </c>
      <c r="R18" s="16">
        <f>$D46</f>
        <v>63.955853829999988</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-0.64414617000000618</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-0.64414617000000618</v>
      </c>
      <c r="N19" s="16">
        <f t="shared" si="1"/>
        <v>-64.599999999999994</v>
      </c>
      <c r="O19" s="16">
        <f t="shared" si="1"/>
        <v>-64.599999999999994</v>
      </c>
      <c r="P19" s="16">
        <f t="shared" si="1"/>
        <v>-64.599999999999994</v>
      </c>
      <c r="Q19" s="16">
        <f t="shared" si="1"/>
        <v>-64.599999999999994</v>
      </c>
      <c r="R19" s="16">
        <f t="shared" si="1"/>
        <v>-0.64414617000000618</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1.6027415800000001E-4</v>
      </c>
      <c r="D22" s="16">
        <f>$E32</f>
        <v>0</v>
      </c>
      <c r="E22" s="16">
        <f>$E33</f>
        <v>0</v>
      </c>
      <c r="F22" s="16">
        <f>$E34</f>
        <v>0</v>
      </c>
      <c r="G22" s="16">
        <f>$E35</f>
        <v>0</v>
      </c>
      <c r="H22" s="16">
        <f>$E36</f>
        <v>0</v>
      </c>
      <c r="I22" s="16">
        <f>$E37</f>
        <v>0</v>
      </c>
      <c r="J22" s="16">
        <f>$E38</f>
        <v>0</v>
      </c>
      <c r="K22" s="16">
        <f>$E39</f>
        <v>0</v>
      </c>
      <c r="L22" s="16">
        <f>$E40</f>
        <v>0</v>
      </c>
      <c r="M22" s="16">
        <f>$E41</f>
        <v>1.6027415800000001E-4</v>
      </c>
      <c r="N22" s="16">
        <f>$E42</f>
        <v>0</v>
      </c>
      <c r="O22" s="16">
        <f>$E43</f>
        <v>0</v>
      </c>
      <c r="P22" s="16">
        <f>$E44</f>
        <v>0</v>
      </c>
      <c r="Q22" s="16">
        <f>$E45</f>
        <v>0</v>
      </c>
      <c r="R22" s="16">
        <f>$E46</f>
        <v>1.6027415800000001E-4</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-227.99983972584201</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-227.99983972584201</v>
      </c>
      <c r="N23" s="16">
        <f t="shared" si="3"/>
        <v>-228</v>
      </c>
      <c r="O23" s="16">
        <f t="shared" si="3"/>
        <v>-228</v>
      </c>
      <c r="P23" s="16">
        <f t="shared" si="3"/>
        <v>-228</v>
      </c>
      <c r="Q23" s="16">
        <f t="shared" si="3"/>
        <v>-228</v>
      </c>
      <c r="R23" s="16">
        <f t="shared" si="3"/>
        <v>-227.99983972584201</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4.18</v>
      </c>
      <c r="C28" s="15">
        <v>1.08</v>
      </c>
      <c r="D28" s="15">
        <v>0.36099999999999999</v>
      </c>
      <c r="E28" s="15">
        <v>1.72E-2</v>
      </c>
      <c r="F28" s="15">
        <v>448</v>
      </c>
      <c r="G28" s="15">
        <v>69.900000000000006</v>
      </c>
      <c r="H28" s="15">
        <v>232</v>
      </c>
      <c r="I28" s="15">
        <v>6.2</v>
      </c>
      <c r="J28" s="15">
        <v>0.55000000000000004</v>
      </c>
      <c r="K28" s="23">
        <v>0.48</v>
      </c>
      <c r="L28" s="15">
        <v>18.2</v>
      </c>
      <c r="M28" s="15">
        <v>4.3</v>
      </c>
      <c r="N28" s="15">
        <v>185000</v>
      </c>
      <c r="O28" s="15">
        <v>6990</v>
      </c>
      <c r="P28" s="15"/>
      <c r="Q28" s="15">
        <v>9850</v>
      </c>
      <c r="R28" s="15"/>
      <c r="S28" s="15">
        <v>29.7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185</v>
      </c>
      <c r="C31" s="77">
        <f>IF(C$27="%w/w SAR",((C$28*10)*$B31),IF(C$27="%w/w DM",(((C$28*10)*($B$28/100))*$B31),IF(C$27="kg/t SAR",(C$28*$B31),IF(C$27="kg/t DM",((C$28*($B$28/100))*$B31),IF(C$27="mg/kg SAR",((C$28*0.001)*$B31),IF(C$27="mg/kg DM",(((C$28*0.001)*($B$28/100))*$B31),0))))))</f>
        <v>83.516400000000004</v>
      </c>
      <c r="D31" s="77">
        <f>(IF(D$27="%w/w SAR",((D$28*10)*$B31),IF(D$27="%w/w DM",(((D$28*10)*($B$28/100))*$B31),IF(D$27="kg/t SAR",(D$28*$B31),IF(D$27="kg/t DM",((D$28*($B$28/100))*$B31),IF(D$27="mg/kg SAR",((D$28*0.001)*$B31),IF(D$27="mg/kg DM",(((D$28*0.001)*($B$28/100))*$B31),"0")))))))*2.291</f>
        <v>63.955853829999988</v>
      </c>
      <c r="E31" s="77">
        <f>(IF(E$27="%w/w SAR",((E$28*10)*$B31),IF(E$27="%w/w DM",(((E$28*10)*($B$28/100))*$B31),IF(E$27="kg/t SAR",(E$28*$B31),IF(E$27="kg/t DM",((E$28*($B$28/100))*$B31),IF(E$27="mg/kg SAR",((E$28*0.001)*$B31),IF(E$27="mg/kg DM",(((E$28*0.001)*($B$28/100))*$B31),"0")))))))*1.205</f>
        <v>1.6027415800000001E-4</v>
      </c>
      <c r="F31" s="77">
        <f>(IF(F$27="%w/w SAR",((F$28*10)*$B31),IF(F$27="%w/w DM",(((F$28*10)*($B$28/100))*$B31),IF(F$27="kg/t SAR",(F$28*$B31),IF(F$27="kg/t DM",((F$28*($B$28/100))*$B31),IF(F$27="mg/kg SAR",((F$28*0.001)*$B31),IF(F$27="mg/kg DM",(((F$28*0.001)*($B$28/100))*$B31),"0")))))))*1.658</f>
        <v>5.7439486719999993</v>
      </c>
      <c r="G31" s="77">
        <f t="shared" ref="G31:P46" si="5">IF(G$27="%w/w SAR",((G$28*10)*$B31),IF(G$27="%w/w DM",(((G$28*10)*($B$28/100))*$B31),IF(G$27="kg/t SAR",(G$28*$B31),IF(G$27="kg/t DM",((G$28*($B$28/100))*$B31),IF(G$27="mg/kg SAR",((G$28*0.001)*$B31),IF(G$27="mg/kg DM",(((G$28*0.001)*($B$28/100))*$B31),0))))))</f>
        <v>0.54053669999999998</v>
      </c>
      <c r="H31" s="77">
        <f t="shared" si="5"/>
        <v>1.7940559999999999</v>
      </c>
      <c r="I31" s="77">
        <f t="shared" si="5"/>
        <v>4.7944600000000004E-2</v>
      </c>
      <c r="J31" s="77">
        <f t="shared" si="5"/>
        <v>4.2531499999999998E-3</v>
      </c>
      <c r="K31" s="77">
        <f t="shared" si="5"/>
        <v>3.7118400000000001E-3</v>
      </c>
      <c r="L31" s="77">
        <f t="shared" si="5"/>
        <v>0.14074059999999999</v>
      </c>
      <c r="M31" s="77">
        <f t="shared" si="5"/>
        <v>3.3251899999999994E-2</v>
      </c>
      <c r="N31" s="77">
        <f t="shared" si="5"/>
        <v>1430.605</v>
      </c>
      <c r="O31" s="77">
        <f t="shared" si="5"/>
        <v>54.053669999999997</v>
      </c>
      <c r="P31" s="77">
        <f t="shared" si="5"/>
        <v>0</v>
      </c>
      <c r="Q31" s="77">
        <f>(IF(Q$27="%w/w SAR",((Q$28*10)*$B31),IF(Q$27="%w/w DM",(((Q$28*10)*($B$28/100))*$B31),IF(Q$27="kg/t SAR",(Q$28*$B31),IF(Q$27="kg/t DM",((Q$28*($B$28/100))*$B31),IF(Q$27="mg/kg SAR",((Q$28*0.001)*$B31),IF(Q$27="mg/kg DM",(((Q$28*0.001)*($B$28/100))*$B31),0)))))))*2.5</f>
        <v>190.42512499999998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0.22967009999999999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185</v>
      </c>
      <c r="C41" s="77">
        <f t="shared" si="6"/>
        <v>83.516400000000004</v>
      </c>
      <c r="D41" s="77">
        <f t="shared" si="7"/>
        <v>63.955853829999988</v>
      </c>
      <c r="E41" s="77">
        <f t="shared" si="8"/>
        <v>1.6027415800000001E-4</v>
      </c>
      <c r="F41" s="77">
        <f t="shared" si="9"/>
        <v>5.7439486719999993</v>
      </c>
      <c r="G41" s="77">
        <f t="shared" si="5"/>
        <v>0.54053669999999998</v>
      </c>
      <c r="H41" s="77">
        <f t="shared" si="5"/>
        <v>1.7940559999999999</v>
      </c>
      <c r="I41" s="77">
        <f t="shared" si="5"/>
        <v>4.7944600000000004E-2</v>
      </c>
      <c r="J41" s="77">
        <f t="shared" si="5"/>
        <v>4.2531499999999998E-3</v>
      </c>
      <c r="K41" s="77">
        <f t="shared" si="5"/>
        <v>3.7118400000000001E-3</v>
      </c>
      <c r="L41" s="77">
        <f t="shared" si="5"/>
        <v>0.14074059999999999</v>
      </c>
      <c r="M41" s="77">
        <f t="shared" si="5"/>
        <v>3.3251899999999994E-2</v>
      </c>
      <c r="N41" s="77">
        <f t="shared" si="5"/>
        <v>1430.605</v>
      </c>
      <c r="O41" s="77">
        <f t="shared" si="5"/>
        <v>54.053669999999997</v>
      </c>
      <c r="P41" s="77">
        <f t="shared" si="5"/>
        <v>0</v>
      </c>
      <c r="Q41" s="77">
        <f t="shared" si="10"/>
        <v>190.42512499999998</v>
      </c>
      <c r="R41" s="77">
        <f t="shared" si="11"/>
        <v>0</v>
      </c>
      <c r="S41" s="77">
        <f t="shared" si="11"/>
        <v>0.22967009999999999</v>
      </c>
      <c r="T41" s="77">
        <f t="shared" si="11"/>
        <v>0</v>
      </c>
      <c r="U41" s="77">
        <f t="shared" si="11"/>
        <v>0</v>
      </c>
      <c r="AB41" s="59"/>
      <c r="AC41" s="59"/>
      <c r="AD41" s="59"/>
      <c r="AE41" s="59"/>
      <c r="AF41" s="59"/>
      <c r="AG41" s="59"/>
      <c r="AH41" s="59"/>
      <c r="AI41" s="59"/>
    </row>
    <row r="42" spans="1:35" s="72" customFormat="1" ht="13" x14ac:dyDescent="0.35">
      <c r="A42" s="13">
        <f>N8</f>
        <v>12</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0</v>
      </c>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v>185</v>
      </c>
      <c r="C46" s="77">
        <f t="shared" si="6"/>
        <v>83.516400000000004</v>
      </c>
      <c r="D46" s="77">
        <f t="shared" si="7"/>
        <v>63.955853829999988</v>
      </c>
      <c r="E46" s="77">
        <f t="shared" si="8"/>
        <v>1.6027415800000001E-4</v>
      </c>
      <c r="F46" s="77">
        <f t="shared" si="9"/>
        <v>5.7439486719999993</v>
      </c>
      <c r="G46" s="77">
        <f t="shared" si="5"/>
        <v>0.54053669999999998</v>
      </c>
      <c r="H46" s="77">
        <f t="shared" si="5"/>
        <v>1.7940559999999999</v>
      </c>
      <c r="I46" s="77">
        <f t="shared" si="5"/>
        <v>4.7944600000000004E-2</v>
      </c>
      <c r="J46" s="77">
        <f t="shared" si="5"/>
        <v>4.2531499999999998E-3</v>
      </c>
      <c r="K46" s="77">
        <f t="shared" si="5"/>
        <v>3.7118400000000001E-3</v>
      </c>
      <c r="L46" s="77">
        <f t="shared" si="5"/>
        <v>0.14074059999999999</v>
      </c>
      <c r="M46" s="77">
        <f t="shared" si="5"/>
        <v>3.3251899999999994E-2</v>
      </c>
      <c r="N46" s="77">
        <f t="shared" si="5"/>
        <v>1430.605</v>
      </c>
      <c r="O46" s="77">
        <f t="shared" si="5"/>
        <v>54.053669999999997</v>
      </c>
      <c r="P46" s="77">
        <f t="shared" si="5"/>
        <v>0</v>
      </c>
      <c r="Q46" s="77">
        <f t="shared" si="10"/>
        <v>190.42512499999998</v>
      </c>
      <c r="R46" s="77">
        <f t="shared" si="11"/>
        <v>0</v>
      </c>
      <c r="S46" s="77">
        <f t="shared" si="11"/>
        <v>0.22967009999999999</v>
      </c>
      <c r="T46" s="77">
        <f t="shared" si="11"/>
        <v>0</v>
      </c>
      <c r="U46" s="77">
        <f t="shared" si="11"/>
        <v>0</v>
      </c>
      <c r="AB46" s="59"/>
      <c r="AC46" s="59"/>
      <c r="AD46" s="59"/>
      <c r="AE46" s="59"/>
      <c r="AF46" s="59"/>
      <c r="AG46" s="59"/>
      <c r="AH46" s="59"/>
      <c r="AI46" s="59"/>
    </row>
    <row r="47" spans="1:35" s="72" customFormat="1" ht="13" x14ac:dyDescent="0.35">
      <c r="A47" s="13">
        <f>S8</f>
        <v>22</v>
      </c>
      <c r="B47" s="15">
        <v>0</v>
      </c>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v>0</v>
      </c>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v>0</v>
      </c>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v>0</v>
      </c>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str">
        <f>T16&amp;" I "&amp;(VLOOKUP(T14,Table245811[],6,FALSE))</f>
        <v>Medium/Clay I Grass</v>
      </c>
      <c r="T58" s="13" t="str">
        <f>U16&amp;" I "&amp;(VLOOKUP(U14,Table245811[],6,FALSE))</f>
        <v>Medium/Clay I Grass</v>
      </c>
      <c r="U58" s="13" t="str">
        <f>V16&amp;" I "&amp;(VLOOKUP(V14,Table245811[],6,FALSE))</f>
        <v>Medium/Clay I Grass</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185</v>
      </c>
      <c r="C62" s="77">
        <f>B32</f>
        <v>0</v>
      </c>
      <c r="D62" s="77">
        <f>B33</f>
        <v>0</v>
      </c>
      <c r="E62" s="77">
        <f>B34</f>
        <v>0</v>
      </c>
      <c r="F62" s="77">
        <f>B35</f>
        <v>0</v>
      </c>
      <c r="G62" s="77">
        <f>B36</f>
        <v>0</v>
      </c>
      <c r="H62" s="77">
        <f>B37</f>
        <v>0</v>
      </c>
      <c r="I62" s="77">
        <f>B38</f>
        <v>0</v>
      </c>
      <c r="J62" s="77">
        <f>B39</f>
        <v>0</v>
      </c>
      <c r="K62" s="77">
        <f>B40</f>
        <v>0</v>
      </c>
      <c r="L62" s="77">
        <f>B41</f>
        <v>185</v>
      </c>
      <c r="M62" s="77">
        <f>B42</f>
        <v>0</v>
      </c>
      <c r="N62" s="77">
        <f>B43</f>
        <v>0</v>
      </c>
      <c r="O62" s="77">
        <f>B44</f>
        <v>0</v>
      </c>
      <c r="P62" s="77">
        <f>B45</f>
        <v>0</v>
      </c>
      <c r="Q62" s="77">
        <f>B46</f>
        <v>185</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v>6.5</v>
      </c>
      <c r="J1" s="127" t="s">
        <v>153</v>
      </c>
      <c r="K1" s="127"/>
      <c r="L1" s="97">
        <v>507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162</v>
      </c>
      <c r="G2" s="125" t="s">
        <v>110</v>
      </c>
      <c r="H2" s="126"/>
      <c r="I2" s="118"/>
      <c r="J2" s="127" t="s">
        <v>158</v>
      </c>
      <c r="K2" s="127"/>
      <c r="L2" s="97">
        <v>1.17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t="s">
        <v>78</v>
      </c>
      <c r="G3" s="127" t="s">
        <v>159</v>
      </c>
      <c r="H3" s="127"/>
      <c r="I3" s="118"/>
      <c r="J3" s="123" t="s">
        <v>154</v>
      </c>
      <c r="K3" s="124"/>
      <c r="L3" s="97">
        <f>(L1/(L2*10000))*100</f>
        <v>4.3333333333333339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61.049422499999991</v>
      </c>
      <c r="D18" s="16">
        <f>$D32</f>
        <v>0</v>
      </c>
      <c r="E18" s="16">
        <f>$D33</f>
        <v>0</v>
      </c>
      <c r="F18" s="16">
        <f>$D34</f>
        <v>0</v>
      </c>
      <c r="G18" s="16">
        <f>$D35</f>
        <v>0</v>
      </c>
      <c r="H18" s="16">
        <f>$D36</f>
        <v>0</v>
      </c>
      <c r="I18" s="16">
        <f>$D37</f>
        <v>0</v>
      </c>
      <c r="J18" s="16">
        <f>$D38</f>
        <v>0</v>
      </c>
      <c r="K18" s="16">
        <f>$D39</f>
        <v>0</v>
      </c>
      <c r="L18" s="16">
        <f>$D40</f>
        <v>0</v>
      </c>
      <c r="M18" s="16">
        <f>$D41</f>
        <v>61.049422499999991</v>
      </c>
      <c r="N18" s="16">
        <f>$D42</f>
        <v>0</v>
      </c>
      <c r="O18" s="16">
        <f>$D43</f>
        <v>0</v>
      </c>
      <c r="P18" s="16">
        <f>$D44</f>
        <v>0</v>
      </c>
      <c r="Q18" s="16">
        <f>$D45</f>
        <v>0</v>
      </c>
      <c r="R18" s="16">
        <f>$D46</f>
        <v>61.049422499999991</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-3.5505775000000028</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-3.5505775000000028</v>
      </c>
      <c r="N19" s="16">
        <f t="shared" si="1"/>
        <v>-64.599999999999994</v>
      </c>
      <c r="O19" s="16">
        <f t="shared" si="1"/>
        <v>-64.599999999999994</v>
      </c>
      <c r="P19" s="16">
        <f t="shared" si="1"/>
        <v>-64.599999999999994</v>
      </c>
      <c r="Q19" s="16">
        <f t="shared" si="1"/>
        <v>-64.599999999999994</v>
      </c>
      <c r="R19" s="16">
        <f t="shared" si="1"/>
        <v>-3.5505775000000028</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3.4502765000000003E-4</v>
      </c>
      <c r="D22" s="16">
        <f>$E32</f>
        <v>0</v>
      </c>
      <c r="E22" s="16">
        <f>$E33</f>
        <v>0</v>
      </c>
      <c r="F22" s="16">
        <f>$E34</f>
        <v>0</v>
      </c>
      <c r="G22" s="16">
        <f>$E35</f>
        <v>0</v>
      </c>
      <c r="H22" s="16">
        <f>$E36</f>
        <v>0</v>
      </c>
      <c r="I22" s="16">
        <f>$E37</f>
        <v>0</v>
      </c>
      <c r="J22" s="16">
        <f>$E38</f>
        <v>0</v>
      </c>
      <c r="K22" s="16">
        <f>$E39</f>
        <v>0</v>
      </c>
      <c r="L22" s="16">
        <f>$E40</f>
        <v>0</v>
      </c>
      <c r="M22" s="16">
        <f>$E41</f>
        <v>3.4502765000000003E-4</v>
      </c>
      <c r="N22" s="16">
        <f>$E42</f>
        <v>0</v>
      </c>
      <c r="O22" s="16">
        <f>$E43</f>
        <v>0</v>
      </c>
      <c r="P22" s="16">
        <f>$E44</f>
        <v>0</v>
      </c>
      <c r="Q22" s="16">
        <f>$E45</f>
        <v>0</v>
      </c>
      <c r="R22" s="16">
        <f>$E46</f>
        <v>3.4502765000000003E-4</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-227.99965497234999</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-227.99965497234999</v>
      </c>
      <c r="N23" s="16">
        <f t="shared" si="3"/>
        <v>-228</v>
      </c>
      <c r="O23" s="16">
        <f t="shared" si="3"/>
        <v>-228</v>
      </c>
      <c r="P23" s="16">
        <f t="shared" si="3"/>
        <v>-228</v>
      </c>
      <c r="Q23" s="16">
        <f t="shared" si="3"/>
        <v>-228</v>
      </c>
      <c r="R23" s="16">
        <f t="shared" si="3"/>
        <v>-227.99965497234999</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4.18</v>
      </c>
      <c r="C28" s="15">
        <v>1.17</v>
      </c>
      <c r="D28" s="15">
        <v>0.255</v>
      </c>
      <c r="E28" s="15">
        <v>2.7400000000000001E-2</v>
      </c>
      <c r="F28" s="15">
        <v>891</v>
      </c>
      <c r="G28" s="15">
        <v>28</v>
      </c>
      <c r="H28" s="15">
        <v>89.9</v>
      </c>
      <c r="I28" s="15">
        <v>6.2</v>
      </c>
      <c r="J28" s="15">
        <v>0.41</v>
      </c>
      <c r="K28" s="23">
        <v>0.54</v>
      </c>
      <c r="L28" s="15">
        <v>21.8</v>
      </c>
      <c r="M28" s="15">
        <v>6.61</v>
      </c>
      <c r="N28" s="15"/>
      <c r="O28" s="15"/>
      <c r="P28" s="15"/>
      <c r="Q28" s="15">
        <v>13100</v>
      </c>
      <c r="R28" s="15"/>
      <c r="S28" s="15">
        <v>15.4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122.26499999999999</v>
      </c>
      <c r="D31" s="77">
        <f>(IF(D$27="%w/w SAR",((D$28*10)*$B31),IF(D$27="%w/w DM",(((D$28*10)*($B$28/100))*$B31),IF(D$27="kg/t SAR",(D$28*$B31),IF(D$27="kg/t DM",((D$28*($B$28/100))*$B31),IF(D$27="mg/kg SAR",((D$28*0.001)*$B31),IF(D$27="mg/kg DM",(((D$28*0.001)*($B$28/100))*$B31),"0")))))))*2.291</f>
        <v>61.049422499999991</v>
      </c>
      <c r="E31" s="77">
        <f>(IF(E$27="%w/w SAR",((E$28*10)*$B31),IF(E$27="%w/w DM",(((E$28*10)*($B$28/100))*$B31),IF(E$27="kg/t SAR",(E$28*$B31),IF(E$27="kg/t DM",((E$28*($B$28/100))*$B31),IF(E$27="mg/kg SAR",((E$28*0.001)*$B31),IF(E$27="mg/kg DM",(((E$28*0.001)*($B$28/100))*$B31),"0")))))))*1.205</f>
        <v>3.4502765000000003E-4</v>
      </c>
      <c r="F31" s="77">
        <f>(IF(F$27="%w/w SAR",((F$28*10)*$B31),IF(F$27="%w/w DM",(((F$28*10)*($B$28/100))*$B31),IF(F$27="kg/t SAR",(F$28*$B31),IF(F$27="kg/t DM",((F$28*($B$28/100))*$B31),IF(F$27="mg/kg SAR",((F$28*0.001)*$B31),IF(F$27="mg/kg DM",(((F$28*0.001)*($B$28/100))*$B31),"0")))))))*1.658</f>
        <v>15.437555099999999</v>
      </c>
      <c r="G31" s="77">
        <f t="shared" ref="G31:P46" si="5">IF(G$27="%w/w SAR",((G$28*10)*$B31),IF(G$27="%w/w DM",(((G$28*10)*($B$28/100))*$B31),IF(G$27="kg/t SAR",(G$28*$B31),IF(G$27="kg/t DM",((G$28*($B$28/100))*$B31),IF(G$27="mg/kg SAR",((G$28*0.001)*$B31),IF(G$27="mg/kg DM",(((G$28*0.001)*($B$28/100))*$B31),0))))))</f>
        <v>0.29260000000000003</v>
      </c>
      <c r="H31" s="77">
        <f t="shared" si="5"/>
        <v>0.93945500000000004</v>
      </c>
      <c r="I31" s="77">
        <f t="shared" si="5"/>
        <v>6.4790000000000014E-2</v>
      </c>
      <c r="J31" s="77">
        <f t="shared" si="5"/>
        <v>4.2844999999999992E-3</v>
      </c>
      <c r="K31" s="77">
        <f t="shared" si="5"/>
        <v>5.6430000000000004E-3</v>
      </c>
      <c r="L31" s="77">
        <f t="shared" si="5"/>
        <v>0.22780999999999998</v>
      </c>
      <c r="M31" s="77">
        <f t="shared" si="5"/>
        <v>6.9074500000000011E-2</v>
      </c>
      <c r="N31" s="77">
        <f t="shared" si="5"/>
        <v>0</v>
      </c>
      <c r="O31" s="77">
        <f t="shared" si="5"/>
        <v>0</v>
      </c>
      <c r="P31" s="77">
        <f t="shared" si="5"/>
        <v>0</v>
      </c>
      <c r="Q31" s="77">
        <f>(IF(Q$27="%w/w SAR",((Q$28*10)*$B31),IF(Q$27="%w/w DM",(((Q$28*10)*($B$28/100))*$B31),IF(Q$27="kg/t SAR",(Q$28*$B31),IF(Q$27="kg/t DM",((Q$28*($B$28/100))*$B31),IF(Q$27="mg/kg SAR",((Q$28*0.001)*$B31),IF(Q$27="mg/kg DM",(((Q$28*0.001)*($B$28/100))*$B31),0)))))))*2.5</f>
        <v>342.23749999999995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0.16092999999999999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122.26499999999999</v>
      </c>
      <c r="D41" s="77">
        <f t="shared" si="7"/>
        <v>61.049422499999991</v>
      </c>
      <c r="E41" s="77">
        <f t="shared" si="8"/>
        <v>3.4502765000000003E-4</v>
      </c>
      <c r="F41" s="77">
        <f t="shared" si="9"/>
        <v>15.437555099999999</v>
      </c>
      <c r="G41" s="77">
        <f t="shared" si="5"/>
        <v>0.29260000000000003</v>
      </c>
      <c r="H41" s="77">
        <f t="shared" si="5"/>
        <v>0.93945500000000004</v>
      </c>
      <c r="I41" s="77">
        <f t="shared" si="5"/>
        <v>6.4790000000000014E-2</v>
      </c>
      <c r="J41" s="77">
        <f t="shared" si="5"/>
        <v>4.2844999999999992E-3</v>
      </c>
      <c r="K41" s="77">
        <f t="shared" si="5"/>
        <v>5.6430000000000004E-3</v>
      </c>
      <c r="L41" s="77">
        <f t="shared" si="5"/>
        <v>0.22780999999999998</v>
      </c>
      <c r="M41" s="77">
        <f t="shared" si="5"/>
        <v>6.9074500000000011E-2</v>
      </c>
      <c r="N41" s="77">
        <f t="shared" si="5"/>
        <v>0</v>
      </c>
      <c r="O41" s="77">
        <f t="shared" si="5"/>
        <v>0</v>
      </c>
      <c r="P41" s="77">
        <f t="shared" si="5"/>
        <v>0</v>
      </c>
      <c r="Q41" s="77">
        <f t="shared" si="10"/>
        <v>342.23749999999995</v>
      </c>
      <c r="R41" s="77">
        <f t="shared" si="11"/>
        <v>0</v>
      </c>
      <c r="S41" s="77">
        <f t="shared" si="11"/>
        <v>0.16092999999999999</v>
      </c>
      <c r="T41" s="77">
        <f t="shared" si="11"/>
        <v>0</v>
      </c>
      <c r="U41" s="77">
        <f t="shared" si="11"/>
        <v>0</v>
      </c>
      <c r="AB41" s="59"/>
      <c r="AC41" s="59"/>
      <c r="AD41" s="59"/>
      <c r="AE41" s="59"/>
      <c r="AF41" s="59"/>
      <c r="AG41" s="59"/>
      <c r="AH41" s="59"/>
      <c r="AI41" s="59"/>
    </row>
    <row r="42" spans="1:35" s="72" customFormat="1" ht="13" x14ac:dyDescent="0.35">
      <c r="A42" s="13">
        <f>N8</f>
        <v>12</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0</v>
      </c>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v>250</v>
      </c>
      <c r="C46" s="77">
        <f t="shared" si="6"/>
        <v>122.26499999999999</v>
      </c>
      <c r="D46" s="77">
        <f t="shared" si="7"/>
        <v>61.049422499999991</v>
      </c>
      <c r="E46" s="77">
        <f t="shared" si="8"/>
        <v>3.4502765000000003E-4</v>
      </c>
      <c r="F46" s="77">
        <f t="shared" si="9"/>
        <v>15.437555099999999</v>
      </c>
      <c r="G46" s="77">
        <f t="shared" si="5"/>
        <v>0.29260000000000003</v>
      </c>
      <c r="H46" s="77">
        <f t="shared" si="5"/>
        <v>0.93945500000000004</v>
      </c>
      <c r="I46" s="77">
        <f t="shared" si="5"/>
        <v>6.4790000000000014E-2</v>
      </c>
      <c r="J46" s="77">
        <f t="shared" si="5"/>
        <v>4.2844999999999992E-3</v>
      </c>
      <c r="K46" s="77">
        <f t="shared" si="5"/>
        <v>5.6430000000000004E-3</v>
      </c>
      <c r="L46" s="77">
        <f t="shared" si="5"/>
        <v>0.22780999999999998</v>
      </c>
      <c r="M46" s="77">
        <f t="shared" si="5"/>
        <v>6.9074500000000011E-2</v>
      </c>
      <c r="N46" s="77">
        <f t="shared" si="5"/>
        <v>0</v>
      </c>
      <c r="O46" s="77">
        <f t="shared" si="5"/>
        <v>0</v>
      </c>
      <c r="P46" s="77">
        <f t="shared" si="5"/>
        <v>0</v>
      </c>
      <c r="Q46" s="77">
        <f t="shared" si="10"/>
        <v>342.23749999999995</v>
      </c>
      <c r="R46" s="77">
        <f t="shared" si="11"/>
        <v>0</v>
      </c>
      <c r="S46" s="77">
        <f t="shared" si="11"/>
        <v>0.16092999999999999</v>
      </c>
      <c r="T46" s="77">
        <f t="shared" si="11"/>
        <v>0</v>
      </c>
      <c r="U46" s="77">
        <f t="shared" si="11"/>
        <v>0</v>
      </c>
      <c r="AB46" s="59"/>
      <c r="AC46" s="59"/>
      <c r="AD46" s="59"/>
      <c r="AE46" s="59"/>
      <c r="AF46" s="59"/>
      <c r="AG46" s="59"/>
      <c r="AH46" s="59"/>
      <c r="AI46" s="59"/>
    </row>
    <row r="47" spans="1:35" s="72" customFormat="1" ht="13" x14ac:dyDescent="0.35">
      <c r="A47" s="13">
        <f>S8</f>
        <v>22</v>
      </c>
      <c r="B47" s="15">
        <v>0</v>
      </c>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v>0</v>
      </c>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v>0</v>
      </c>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v>0</v>
      </c>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str">
        <f>T16&amp;" I "&amp;(VLOOKUP(T14,Table24581112[],6,FALSE))</f>
        <v>Medium/Clay I Grass</v>
      </c>
      <c r="T58" s="13" t="str">
        <f>U16&amp;" I "&amp;(VLOOKUP(U14,Table24581112[],6,FALSE))</f>
        <v>Medium/Clay I Grass</v>
      </c>
      <c r="U58" s="13" t="str">
        <f>V16&amp;" I "&amp;(VLOOKUP(V14,Table24581112[],6,FALSE))</f>
        <v>Medium/Clay I Grass</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250</v>
      </c>
      <c r="C62" s="77">
        <f>B32</f>
        <v>0</v>
      </c>
      <c r="D62" s="77">
        <f>B33</f>
        <v>0</v>
      </c>
      <c r="E62" s="77">
        <f>B34</f>
        <v>0</v>
      </c>
      <c r="F62" s="77">
        <f>B35</f>
        <v>0</v>
      </c>
      <c r="G62" s="77">
        <f>B36</f>
        <v>0</v>
      </c>
      <c r="H62" s="77">
        <f>B37</f>
        <v>0</v>
      </c>
      <c r="I62" s="77">
        <f>B38</f>
        <v>0</v>
      </c>
      <c r="J62" s="77">
        <f>B39</f>
        <v>0</v>
      </c>
      <c r="K62" s="77">
        <f>B40</f>
        <v>0</v>
      </c>
      <c r="L62" s="77">
        <f>B41</f>
        <v>250</v>
      </c>
      <c r="M62" s="77">
        <f>B42</f>
        <v>0</v>
      </c>
      <c r="N62" s="77">
        <f>B43</f>
        <v>0</v>
      </c>
      <c r="O62" s="77">
        <f>B44</f>
        <v>0</v>
      </c>
      <c r="P62" s="77">
        <f>B45</f>
        <v>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2" zoomScale="90" zoomScaleNormal="90" workbookViewId="0">
      <selection activeCell="E41" sqref="E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v>7</v>
      </c>
      <c r="J1" s="127" t="s">
        <v>153</v>
      </c>
      <c r="K1" s="127"/>
      <c r="L1" s="97">
        <v>327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162</v>
      </c>
      <c r="G2" s="125" t="s">
        <v>110</v>
      </c>
      <c r="H2" s="126"/>
      <c r="I2" s="118"/>
      <c r="J2" s="127" t="s">
        <v>158</v>
      </c>
      <c r="K2" s="127"/>
      <c r="L2" s="97">
        <v>1.05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t="s">
        <v>78</v>
      </c>
      <c r="G3" s="127" t="s">
        <v>159</v>
      </c>
      <c r="H3" s="127"/>
      <c r="I3" s="118"/>
      <c r="J3" s="123" t="s">
        <v>154</v>
      </c>
      <c r="K3" s="124"/>
      <c r="L3" s="97">
        <f>(L1/(L2*10000))*100</f>
        <v>3.1142857142857143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19.184261250000002</v>
      </c>
      <c r="D18" s="16">
        <f>$D32</f>
        <v>0</v>
      </c>
      <c r="E18" s="16">
        <f>$D33</f>
        <v>0</v>
      </c>
      <c r="F18" s="16">
        <f>$D34</f>
        <v>0</v>
      </c>
      <c r="G18" s="16">
        <f>$D35</f>
        <v>0</v>
      </c>
      <c r="H18" s="16">
        <f>$D36</f>
        <v>0</v>
      </c>
      <c r="I18" s="16">
        <f>$D37</f>
        <v>0</v>
      </c>
      <c r="J18" s="16">
        <f>$D38</f>
        <v>0</v>
      </c>
      <c r="K18" s="16">
        <f>$D39</f>
        <v>0</v>
      </c>
      <c r="L18" s="16">
        <f>$D40</f>
        <v>0</v>
      </c>
      <c r="M18" s="16">
        <f>$D41</f>
        <v>19.184261250000002</v>
      </c>
      <c r="N18" s="16">
        <f>$D42</f>
        <v>0</v>
      </c>
      <c r="O18" s="16">
        <f>$D43</f>
        <v>0</v>
      </c>
      <c r="P18" s="16">
        <f>$D44</f>
        <v>0</v>
      </c>
      <c r="Q18" s="16">
        <f>$D45</f>
        <v>0</v>
      </c>
      <c r="R18" s="16">
        <f>$D46</f>
        <v>19.184261250000002</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-45.415738749999988</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-45.415738749999988</v>
      </c>
      <c r="N19" s="16">
        <f t="shared" si="1"/>
        <v>-64.599999999999994</v>
      </c>
      <c r="O19" s="16">
        <f t="shared" si="1"/>
        <v>-64.599999999999994</v>
      </c>
      <c r="P19" s="16">
        <f t="shared" si="1"/>
        <v>-64.599999999999994</v>
      </c>
      <c r="Q19" s="16">
        <f t="shared" si="1"/>
        <v>-64.599999999999994</v>
      </c>
      <c r="R19" s="16">
        <f t="shared" si="1"/>
        <v>-45.415738749999988</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4.3651125000000001E-5</v>
      </c>
      <c r="D22" s="16">
        <f>$E32</f>
        <v>0</v>
      </c>
      <c r="E22" s="16">
        <f>$E33</f>
        <v>0</v>
      </c>
      <c r="F22" s="16">
        <f>$E34</f>
        <v>0</v>
      </c>
      <c r="G22" s="16">
        <f>$E35</f>
        <v>0</v>
      </c>
      <c r="H22" s="16">
        <f>$E36</f>
        <v>0</v>
      </c>
      <c r="I22" s="16">
        <f>$E37</f>
        <v>0</v>
      </c>
      <c r="J22" s="16">
        <f>$E38</f>
        <v>0</v>
      </c>
      <c r="K22" s="16">
        <f>$E39</f>
        <v>0</v>
      </c>
      <c r="L22" s="16">
        <f>$E40</f>
        <v>0</v>
      </c>
      <c r="M22" s="16">
        <f>$E41</f>
        <v>4.3651125000000001E-5</v>
      </c>
      <c r="N22" s="16">
        <f>$E42</f>
        <v>0</v>
      </c>
      <c r="O22" s="16">
        <f>$E43</f>
        <v>0</v>
      </c>
      <c r="P22" s="16">
        <f>$E44</f>
        <v>0</v>
      </c>
      <c r="Q22" s="16">
        <f>$E45</f>
        <v>0</v>
      </c>
      <c r="R22" s="16">
        <f>$E46</f>
        <v>4.3651125000000001E-5</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-227.999956348875</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-227.999956348875</v>
      </c>
      <c r="N23" s="16">
        <f t="shared" si="3"/>
        <v>-228</v>
      </c>
      <c r="O23" s="16">
        <f t="shared" si="3"/>
        <v>-228</v>
      </c>
      <c r="P23" s="16">
        <f t="shared" si="3"/>
        <v>-228</v>
      </c>
      <c r="Q23" s="16">
        <f t="shared" si="3"/>
        <v>-228</v>
      </c>
      <c r="R23" s="16">
        <f t="shared" si="3"/>
        <v>-227.999956348875</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1.05</v>
      </c>
      <c r="C28" s="15">
        <v>1.05</v>
      </c>
      <c r="D28" s="15">
        <v>0.31900000000000001</v>
      </c>
      <c r="E28" s="15">
        <v>1.38E-2</v>
      </c>
      <c r="F28" s="15">
        <v>254</v>
      </c>
      <c r="G28" s="15">
        <v>29.4</v>
      </c>
      <c r="H28" s="15">
        <v>603</v>
      </c>
      <c r="I28" s="15">
        <v>6.2</v>
      </c>
      <c r="J28" s="15">
        <v>3</v>
      </c>
      <c r="K28" s="23">
        <v>0.61</v>
      </c>
      <c r="L28" s="15">
        <v>26.8</v>
      </c>
      <c r="M28" s="15">
        <v>4.3</v>
      </c>
      <c r="N28" s="15">
        <v>164000</v>
      </c>
      <c r="O28" s="15">
        <v>3600</v>
      </c>
      <c r="P28" s="15"/>
      <c r="Q28" s="15">
        <v>7800</v>
      </c>
      <c r="R28" s="15"/>
      <c r="S28" s="15">
        <v>17.899999999999999</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27.5625</v>
      </c>
      <c r="D31" s="77">
        <f>(IF(D$27="%w/w SAR",((D$28*10)*$B31),IF(D$27="%w/w DM",(((D$28*10)*($B$28/100))*$B31),IF(D$27="kg/t SAR",(D$28*$B31),IF(D$27="kg/t DM",((D$28*($B$28/100))*$B31),IF(D$27="mg/kg SAR",((D$28*0.001)*$B31),IF(D$27="mg/kg DM",(((D$28*0.001)*($B$28/100))*$B31),"0")))))))*2.291</f>
        <v>19.184261250000002</v>
      </c>
      <c r="E31" s="77">
        <f>(IF(E$27="%w/w SAR",((E$28*10)*$B31),IF(E$27="%w/w DM",(((E$28*10)*($B$28/100))*$B31),IF(E$27="kg/t SAR",(E$28*$B31),IF(E$27="kg/t DM",((E$28*($B$28/100))*$B31),IF(E$27="mg/kg SAR",((E$28*0.001)*$B31),IF(E$27="mg/kg DM",(((E$28*0.001)*($B$28/100))*$B31),"0")))))))*1.205</f>
        <v>4.3651125000000001E-5</v>
      </c>
      <c r="F31" s="77">
        <f>(IF(F$27="%w/w SAR",((F$28*10)*$B31),IF(F$27="%w/w DM",(((F$28*10)*($B$28/100))*$B31),IF(F$27="kg/t SAR",(F$28*$B31),IF(F$27="kg/t DM",((F$28*($B$28/100))*$B31),IF(F$27="mg/kg SAR",((F$28*0.001)*$B31),IF(F$27="mg/kg DM",(((F$28*0.001)*($B$28/100))*$B31),"0")))))))*1.658</f>
        <v>1.1054715000000002</v>
      </c>
      <c r="G31" s="77">
        <f t="shared" ref="G31:P46" si="5">IF(G$27="%w/w SAR",((G$28*10)*$B31),IF(G$27="%w/w DM",(((G$28*10)*($B$28/100))*$B31),IF(G$27="kg/t SAR",(G$28*$B31),IF(G$27="kg/t DM",((G$28*($B$28/100))*$B31),IF(G$27="mg/kg SAR",((G$28*0.001)*$B31),IF(G$27="mg/kg DM",(((G$28*0.001)*($B$28/100))*$B31),0))))))</f>
        <v>7.7175000000000007E-2</v>
      </c>
      <c r="H31" s="77">
        <f t="shared" si="5"/>
        <v>1.582875</v>
      </c>
      <c r="I31" s="77">
        <f t="shared" si="5"/>
        <v>1.6275000000000001E-2</v>
      </c>
      <c r="J31" s="77">
        <f t="shared" si="5"/>
        <v>7.8750000000000001E-3</v>
      </c>
      <c r="K31" s="77">
        <f t="shared" si="5"/>
        <v>1.60125E-3</v>
      </c>
      <c r="L31" s="77">
        <f t="shared" si="5"/>
        <v>7.0349999999999996E-2</v>
      </c>
      <c r="M31" s="77">
        <f t="shared" si="5"/>
        <v>1.1287500000000001E-2</v>
      </c>
      <c r="N31" s="77">
        <f t="shared" si="5"/>
        <v>430.50000000000006</v>
      </c>
      <c r="O31" s="77">
        <f t="shared" si="5"/>
        <v>9.4499999999999993</v>
      </c>
      <c r="P31" s="77">
        <f t="shared" si="5"/>
        <v>0</v>
      </c>
      <c r="Q31" s="77">
        <f>(IF(Q$27="%w/w SAR",((Q$28*10)*$B31),IF(Q$27="%w/w DM",(((Q$28*10)*($B$28/100))*$B31),IF(Q$27="kg/t SAR",(Q$28*$B31),IF(Q$27="kg/t DM",((Q$28*($B$28/100))*$B31),IF(Q$27="mg/kg SAR",((Q$28*0.001)*$B31),IF(Q$27="mg/kg DM",(((Q$28*0.001)*($B$28/100))*$B31),0)))))))*2.5</f>
        <v>51.1875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4.6987500000000001E-2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27.5625</v>
      </c>
      <c r="D41" s="77">
        <f t="shared" si="7"/>
        <v>19.184261250000002</v>
      </c>
      <c r="E41" s="77">
        <f t="shared" si="8"/>
        <v>4.3651125000000001E-5</v>
      </c>
      <c r="F41" s="77">
        <f t="shared" si="9"/>
        <v>1.1054715000000002</v>
      </c>
      <c r="G41" s="77">
        <f t="shared" si="5"/>
        <v>7.7175000000000007E-2</v>
      </c>
      <c r="H41" s="77">
        <f t="shared" si="5"/>
        <v>1.582875</v>
      </c>
      <c r="I41" s="77">
        <f t="shared" si="5"/>
        <v>1.6275000000000001E-2</v>
      </c>
      <c r="J41" s="77">
        <f t="shared" si="5"/>
        <v>7.8750000000000001E-3</v>
      </c>
      <c r="K41" s="77">
        <f t="shared" si="5"/>
        <v>1.60125E-3</v>
      </c>
      <c r="L41" s="77">
        <f t="shared" si="5"/>
        <v>7.0349999999999996E-2</v>
      </c>
      <c r="M41" s="77">
        <f t="shared" si="5"/>
        <v>1.1287500000000001E-2</v>
      </c>
      <c r="N41" s="77">
        <f t="shared" si="5"/>
        <v>430.50000000000006</v>
      </c>
      <c r="O41" s="77">
        <f t="shared" si="5"/>
        <v>9.4499999999999993</v>
      </c>
      <c r="P41" s="77">
        <f t="shared" si="5"/>
        <v>0</v>
      </c>
      <c r="Q41" s="77">
        <f t="shared" si="10"/>
        <v>51.1875</v>
      </c>
      <c r="R41" s="77">
        <f t="shared" si="11"/>
        <v>0</v>
      </c>
      <c r="S41" s="77">
        <f t="shared" si="11"/>
        <v>4.6987500000000001E-2</v>
      </c>
      <c r="T41" s="77">
        <f t="shared" si="11"/>
        <v>0</v>
      </c>
      <c r="U41" s="77">
        <f t="shared" si="11"/>
        <v>0</v>
      </c>
      <c r="AB41" s="59"/>
      <c r="AC41" s="59"/>
      <c r="AD41" s="59"/>
      <c r="AE41" s="59"/>
      <c r="AF41" s="59"/>
      <c r="AG41" s="59"/>
      <c r="AH41" s="59"/>
      <c r="AI41" s="59"/>
    </row>
    <row r="42" spans="1:35" s="72" customFormat="1" ht="13" x14ac:dyDescent="0.35">
      <c r="A42" s="13">
        <f>N8</f>
        <v>12</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0</v>
      </c>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v>250</v>
      </c>
      <c r="C46" s="77">
        <f t="shared" si="6"/>
        <v>27.5625</v>
      </c>
      <c r="D46" s="77">
        <f t="shared" si="7"/>
        <v>19.184261250000002</v>
      </c>
      <c r="E46" s="77">
        <f t="shared" si="8"/>
        <v>4.3651125000000001E-5</v>
      </c>
      <c r="F46" s="77">
        <f t="shared" si="9"/>
        <v>1.1054715000000002</v>
      </c>
      <c r="G46" s="77">
        <f t="shared" si="5"/>
        <v>7.7175000000000007E-2</v>
      </c>
      <c r="H46" s="77">
        <f t="shared" si="5"/>
        <v>1.582875</v>
      </c>
      <c r="I46" s="77">
        <f t="shared" si="5"/>
        <v>1.6275000000000001E-2</v>
      </c>
      <c r="J46" s="77">
        <f t="shared" si="5"/>
        <v>7.8750000000000001E-3</v>
      </c>
      <c r="K46" s="77">
        <f t="shared" si="5"/>
        <v>1.60125E-3</v>
      </c>
      <c r="L46" s="77">
        <f t="shared" si="5"/>
        <v>7.0349999999999996E-2</v>
      </c>
      <c r="M46" s="77">
        <f t="shared" si="5"/>
        <v>1.1287500000000001E-2</v>
      </c>
      <c r="N46" s="77">
        <f t="shared" si="5"/>
        <v>430.50000000000006</v>
      </c>
      <c r="O46" s="77">
        <f t="shared" si="5"/>
        <v>9.4499999999999993</v>
      </c>
      <c r="P46" s="77">
        <f t="shared" si="5"/>
        <v>0</v>
      </c>
      <c r="Q46" s="77">
        <f t="shared" si="10"/>
        <v>51.1875</v>
      </c>
      <c r="R46" s="77">
        <f t="shared" si="11"/>
        <v>0</v>
      </c>
      <c r="S46" s="77">
        <f t="shared" si="11"/>
        <v>4.6987500000000001E-2</v>
      </c>
      <c r="T46" s="77">
        <f t="shared" si="11"/>
        <v>0</v>
      </c>
      <c r="U46" s="77">
        <f t="shared" si="11"/>
        <v>0</v>
      </c>
      <c r="AB46" s="59"/>
      <c r="AC46" s="59"/>
      <c r="AD46" s="59"/>
      <c r="AE46" s="59"/>
      <c r="AF46" s="59"/>
      <c r="AG46" s="59"/>
      <c r="AH46" s="59"/>
      <c r="AI46" s="59"/>
    </row>
    <row r="47" spans="1:35" s="72" customFormat="1" ht="13" x14ac:dyDescent="0.35">
      <c r="A47" s="13">
        <f>S8</f>
        <v>22</v>
      </c>
      <c r="B47" s="15">
        <v>0</v>
      </c>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v>0</v>
      </c>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v>0</v>
      </c>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str">
        <f>T16&amp;" I "&amp;(VLOOKUP(T14,Table24581114[],6,FALSE))</f>
        <v>Medium/Clay I Grass</v>
      </c>
      <c r="T58" s="13" t="str">
        <f>U16&amp;" I "&amp;(VLOOKUP(U14,Table24581114[],6,FALSE))</f>
        <v>Medium/Clay I Grass</v>
      </c>
      <c r="U58" s="13" t="str">
        <f>V16&amp;" I "&amp;(VLOOKUP(V14,Table24581114[],6,FALSE))</f>
        <v>Medium/Clay I Grass</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250</v>
      </c>
      <c r="C62" s="77">
        <f>B32</f>
        <v>0</v>
      </c>
      <c r="D62" s="77">
        <f>B33</f>
        <v>0</v>
      </c>
      <c r="E62" s="77">
        <f>B34</f>
        <v>0</v>
      </c>
      <c r="F62" s="77">
        <f>B35</f>
        <v>0</v>
      </c>
      <c r="G62" s="77">
        <f>B36</f>
        <v>0</v>
      </c>
      <c r="H62" s="77">
        <f>B37</f>
        <v>0</v>
      </c>
      <c r="I62" s="77">
        <f>B38</f>
        <v>0</v>
      </c>
      <c r="J62" s="77">
        <f>B39</f>
        <v>0</v>
      </c>
      <c r="K62" s="77">
        <f>B40</f>
        <v>0</v>
      </c>
      <c r="L62" s="77">
        <f>B41</f>
        <v>250</v>
      </c>
      <c r="M62" s="77">
        <f>B42</f>
        <v>0</v>
      </c>
      <c r="N62" s="77">
        <f>B43</f>
        <v>0</v>
      </c>
      <c r="O62" s="77">
        <f>B44</f>
        <v>0</v>
      </c>
      <c r="P62" s="77">
        <f>B45</f>
        <v>0</v>
      </c>
      <c r="Q62" s="77">
        <f>B46</f>
        <v>250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abSelected="1" topLeftCell="A4" zoomScale="90" zoomScaleNormal="90" workbookViewId="0">
      <selection activeCell="B36" sqref="B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v>4.08</v>
      </c>
      <c r="J1" s="127" t="s">
        <v>153</v>
      </c>
      <c r="K1" s="127"/>
      <c r="L1" s="97">
        <v>92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172</v>
      </c>
      <c r="G2" s="125" t="s">
        <v>110</v>
      </c>
      <c r="H2" s="126"/>
      <c r="I2" s="118">
        <v>715</v>
      </c>
      <c r="J2" s="127" t="s">
        <v>158</v>
      </c>
      <c r="K2" s="127"/>
      <c r="L2" s="97">
        <v>0.56999999999999995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t="s">
        <v>77</v>
      </c>
      <c r="G3" s="127" t="s">
        <v>159</v>
      </c>
      <c r="H3" s="127"/>
      <c r="I3" s="118"/>
      <c r="J3" s="123" t="s">
        <v>154</v>
      </c>
      <c r="K3" s="124"/>
      <c r="L3" s="97">
        <f>(L1/(L2*10000))*100</f>
        <v>1.6140350877192986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72.801107000000002</v>
      </c>
      <c r="D18" s="16">
        <f>$D32</f>
        <v>64.335862000000006</v>
      </c>
      <c r="E18" s="16">
        <f>$D33</f>
        <v>64.335862000000006</v>
      </c>
      <c r="F18" s="16">
        <f>$D34</f>
        <v>0</v>
      </c>
      <c r="G18" s="16">
        <f>$D35</f>
        <v>0</v>
      </c>
      <c r="H18" s="16">
        <f>$D36</f>
        <v>72.801107000000002</v>
      </c>
      <c r="I18" s="16">
        <f>$D37</f>
        <v>64.335862000000006</v>
      </c>
      <c r="J18" s="16">
        <f>$D38</f>
        <v>72.801107000000002</v>
      </c>
      <c r="K18" s="16">
        <f>$D39</f>
        <v>64.335862000000006</v>
      </c>
      <c r="L18" s="16">
        <f>$D40</f>
        <v>0</v>
      </c>
      <c r="M18" s="16">
        <f>$D41</f>
        <v>64.335862000000006</v>
      </c>
      <c r="N18" s="16">
        <f>$D42</f>
        <v>0</v>
      </c>
      <c r="O18" s="16">
        <f>$D43</f>
        <v>64.335862000000006</v>
      </c>
      <c r="P18" s="16">
        <f>$D44</f>
        <v>0</v>
      </c>
      <c r="Q18" s="16">
        <f>$D45</f>
        <v>0</v>
      </c>
      <c r="R18" s="16">
        <f>$D46</f>
        <v>72.801107000000002</v>
      </c>
      <c r="S18" s="16">
        <f>$D47</f>
        <v>64.335862000000006</v>
      </c>
      <c r="T18" s="16">
        <f>$D48</f>
        <v>64.335862000000006</v>
      </c>
      <c r="U18" s="16">
        <f>$D49</f>
        <v>72.801107000000002</v>
      </c>
      <c r="V18" s="25">
        <f>$D50</f>
        <v>72.801107000000002</v>
      </c>
      <c r="AD18" s="52" t="s">
        <v>147</v>
      </c>
      <c r="AE18" s="30">
        <v>16</v>
      </c>
      <c r="AI18" s="48" t="s">
        <v>106</v>
      </c>
      <c r="AJ18" s="49">
        <v>5.9</v>
      </c>
      <c r="AK18" s="50">
        <v>18</v>
      </c>
      <c r="AL18" s="51">
        <v>16</v>
      </c>
      <c r="AM18" s="11">
        <v>6.2</v>
      </c>
      <c r="AN18" s="11" t="s">
        <v>112</v>
      </c>
    </row>
    <row r="19" spans="1:40" ht="13" x14ac:dyDescent="0.25">
      <c r="A19" s="131" t="s">
        <v>90</v>
      </c>
      <c r="B19" s="132"/>
      <c r="C19" s="16">
        <f>C18-C17</f>
        <v>8.2011070000000075</v>
      </c>
      <c r="D19" s="16">
        <f t="shared" ref="D19:V19" si="1">D18-D17</f>
        <v>-0.26413799999998844</v>
      </c>
      <c r="E19" s="16">
        <f t="shared" si="1"/>
        <v>-0.26413799999998844</v>
      </c>
      <c r="F19" s="16">
        <f t="shared" si="1"/>
        <v>-64.599999999999994</v>
      </c>
      <c r="G19" s="16">
        <f t="shared" si="1"/>
        <v>-64.599999999999994</v>
      </c>
      <c r="H19" s="16">
        <f t="shared" si="1"/>
        <v>8.2011070000000075</v>
      </c>
      <c r="I19" s="16">
        <f t="shared" si="1"/>
        <v>-0.26413799999998844</v>
      </c>
      <c r="J19" s="16">
        <f t="shared" si="1"/>
        <v>8.2011070000000075</v>
      </c>
      <c r="K19" s="16">
        <f t="shared" si="1"/>
        <v>-0.26413799999998844</v>
      </c>
      <c r="L19" s="16">
        <f t="shared" si="1"/>
        <v>-64.599999999999994</v>
      </c>
      <c r="M19" s="16">
        <f t="shared" si="1"/>
        <v>-0.26413799999998844</v>
      </c>
      <c r="N19" s="16">
        <f t="shared" si="1"/>
        <v>-64.599999999999994</v>
      </c>
      <c r="O19" s="16">
        <f t="shared" si="1"/>
        <v>-0.26413799999998844</v>
      </c>
      <c r="P19" s="16">
        <f t="shared" si="1"/>
        <v>-64.599999999999994</v>
      </c>
      <c r="Q19" s="16">
        <f t="shared" si="1"/>
        <v>-64.599999999999994</v>
      </c>
      <c r="R19" s="16">
        <f t="shared" si="1"/>
        <v>8.2011070000000075</v>
      </c>
      <c r="S19" s="16">
        <f t="shared" si="1"/>
        <v>-0.26413799999998844</v>
      </c>
      <c r="T19" s="16">
        <f t="shared" si="1"/>
        <v>-0.26413799999998844</v>
      </c>
      <c r="U19" s="16">
        <f t="shared" si="1"/>
        <v>8.2011070000000075</v>
      </c>
      <c r="V19" s="25">
        <f t="shared" si="1"/>
        <v>8.2011070000000075</v>
      </c>
      <c r="AI19" s="48" t="s">
        <v>107</v>
      </c>
      <c r="AJ19" s="49">
        <v>3.2</v>
      </c>
      <c r="AK19" s="50">
        <v>10.5</v>
      </c>
      <c r="AL19" s="51">
        <v>17</v>
      </c>
      <c r="AM19" s="11">
        <v>6.2</v>
      </c>
      <c r="AN19" s="11" t="s">
        <v>112</v>
      </c>
    </row>
    <row r="20" spans="1:40" ht="13.5" thickBot="1" x14ac:dyDescent="0.3">
      <c r="A20" s="129" t="s">
        <v>91</v>
      </c>
      <c r="B20" s="130"/>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INCREASE</v>
      </c>
      <c r="I20" s="26" t="str">
        <f>IF($B37="","",IF(I$19&gt;=0,"INCREASE","DECREASE"))</f>
        <v>DECREASE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INCREASE</v>
      </c>
      <c r="S20" s="26" t="str">
        <f>IF($B47="","",IF(S$19&gt;=0,"INCREASE","DECREASE"))</f>
        <v>DECREASE</v>
      </c>
      <c r="T20" s="26" t="str">
        <f>IF($B48="","",IF(T$19&gt;=0,"INCREASE","DECREASE"))</f>
        <v>DECREASE</v>
      </c>
      <c r="U20" s="26" t="str">
        <f>IF($B49="","",IF(U$19&gt;=0,"INCREASE","DECREASE"))</f>
        <v>INCREASE</v>
      </c>
      <c r="V20" s="27" t="str">
        <f>IF($B50="","",IF(V$19&gt;=0,"INCREASE","DECREASE"))</f>
        <v>INCREASE</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47.307095000000004</v>
      </c>
      <c r="D22" s="16">
        <f>$E32</f>
        <v>41.806270000000005</v>
      </c>
      <c r="E22" s="16">
        <f>$E33</f>
        <v>41.806270000000005</v>
      </c>
      <c r="F22" s="16">
        <f>$E34</f>
        <v>0</v>
      </c>
      <c r="G22" s="16">
        <f>$E35</f>
        <v>0</v>
      </c>
      <c r="H22" s="16">
        <f>$E36</f>
        <v>47.307095000000004</v>
      </c>
      <c r="I22" s="16">
        <f>$E37</f>
        <v>41.806270000000005</v>
      </c>
      <c r="J22" s="16">
        <f>$E38</f>
        <v>47.307095000000004</v>
      </c>
      <c r="K22" s="16">
        <f>$E39</f>
        <v>41.806270000000005</v>
      </c>
      <c r="L22" s="16">
        <f>$E40</f>
        <v>0</v>
      </c>
      <c r="M22" s="16">
        <f>$E41</f>
        <v>41.806270000000005</v>
      </c>
      <c r="N22" s="16">
        <f>$E42</f>
        <v>0</v>
      </c>
      <c r="O22" s="16">
        <f>$E43</f>
        <v>41.806270000000005</v>
      </c>
      <c r="P22" s="16">
        <f>$E44</f>
        <v>0</v>
      </c>
      <c r="Q22" s="16">
        <f>$E45</f>
        <v>0</v>
      </c>
      <c r="R22" s="16">
        <f>$E46</f>
        <v>47.307095000000004</v>
      </c>
      <c r="S22" s="16">
        <f>$E47</f>
        <v>41.806270000000005</v>
      </c>
      <c r="T22" s="16">
        <f>$E48</f>
        <v>41.806270000000005</v>
      </c>
      <c r="U22" s="16">
        <f>$E49</f>
        <v>47.307095000000004</v>
      </c>
      <c r="V22" s="16">
        <f>$E50</f>
        <v>47.307095000000004</v>
      </c>
      <c r="AI22" s="63" t="s">
        <v>102</v>
      </c>
      <c r="AJ22" s="64">
        <v>1.2</v>
      </c>
      <c r="AK22" s="65">
        <v>5</v>
      </c>
      <c r="AL22" s="29">
        <v>20</v>
      </c>
      <c r="AM22" s="11">
        <v>6.7</v>
      </c>
      <c r="AN22" s="11" t="s">
        <v>135</v>
      </c>
    </row>
    <row r="23" spans="1:40" ht="13" x14ac:dyDescent="0.25">
      <c r="A23" s="131" t="s">
        <v>92</v>
      </c>
      <c r="B23" s="132"/>
      <c r="C23" s="16">
        <f>C22-C21</f>
        <v>-180.692905</v>
      </c>
      <c r="D23" s="16">
        <f t="shared" ref="D23:V23" si="3">D22-D21</f>
        <v>-186.19372999999999</v>
      </c>
      <c r="E23" s="16">
        <f t="shared" si="3"/>
        <v>-186.19372999999999</v>
      </c>
      <c r="F23" s="16">
        <f t="shared" si="3"/>
        <v>-228</v>
      </c>
      <c r="G23" s="16">
        <f t="shared" si="3"/>
        <v>-228</v>
      </c>
      <c r="H23" s="16">
        <f t="shared" si="3"/>
        <v>-180.692905</v>
      </c>
      <c r="I23" s="16">
        <f t="shared" si="3"/>
        <v>-186.19372999999999</v>
      </c>
      <c r="J23" s="16">
        <f t="shared" si="3"/>
        <v>-180.692905</v>
      </c>
      <c r="K23" s="16">
        <f t="shared" si="3"/>
        <v>-186.19372999999999</v>
      </c>
      <c r="L23" s="16">
        <f t="shared" si="3"/>
        <v>-228</v>
      </c>
      <c r="M23" s="16">
        <f t="shared" si="3"/>
        <v>-186.19372999999999</v>
      </c>
      <c r="N23" s="16">
        <f t="shared" si="3"/>
        <v>-228</v>
      </c>
      <c r="O23" s="16">
        <f t="shared" si="3"/>
        <v>-186.19372999999999</v>
      </c>
      <c r="P23" s="16">
        <f t="shared" si="3"/>
        <v>-228</v>
      </c>
      <c r="Q23" s="16">
        <f t="shared" si="3"/>
        <v>-228</v>
      </c>
      <c r="R23" s="16">
        <f t="shared" si="3"/>
        <v>-180.692905</v>
      </c>
      <c r="S23" s="16">
        <f t="shared" si="3"/>
        <v>-186.19372999999999</v>
      </c>
      <c r="T23" s="16">
        <f t="shared" si="3"/>
        <v>-186.19372999999999</v>
      </c>
      <c r="U23" s="16">
        <f t="shared" si="3"/>
        <v>-180.692905</v>
      </c>
      <c r="V23" s="16">
        <f t="shared" si="3"/>
        <v>-180.692905</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6.62</v>
      </c>
      <c r="C28" s="15">
        <v>0.56999999999999995</v>
      </c>
      <c r="D28" s="15">
        <v>739</v>
      </c>
      <c r="E28" s="15">
        <v>913</v>
      </c>
      <c r="F28" s="15">
        <v>119</v>
      </c>
      <c r="G28" s="15">
        <v>80.7</v>
      </c>
      <c r="H28" s="15">
        <v>1.34</v>
      </c>
      <c r="I28" s="15">
        <v>0.5</v>
      </c>
      <c r="J28" s="15">
        <v>0.01</v>
      </c>
      <c r="K28" s="23">
        <v>0.05</v>
      </c>
      <c r="L28" s="15">
        <v>0.2</v>
      </c>
      <c r="M28" s="15">
        <v>0.2</v>
      </c>
      <c r="N28" s="15"/>
      <c r="O28" s="15"/>
      <c r="P28" s="15">
        <v>31.4</v>
      </c>
      <c r="Q28" s="15">
        <v>350</v>
      </c>
      <c r="R28" s="15">
        <v>0.02</v>
      </c>
      <c r="S28" s="15">
        <v>0.5</v>
      </c>
      <c r="T28" s="15">
        <v>0.05</v>
      </c>
      <c r="U28" s="15">
        <v>10</v>
      </c>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43</v>
      </c>
      <c r="C31" s="77">
        <f>IF(C$27="%w/w SAR",((C$28*10)*$B31),IF(C$27="%w/w DM",(((C$28*10)*($B$28/100))*$B31),IF(C$27="kg/t SAR",(C$28*$B31),IF(C$27="kg/t DM",((C$28*($B$28/100))*$B31),IF(C$27="mg/kg SAR",((C$28*0.001)*$B31),IF(C$27="mg/kg DM",(((C$28*0.001)*($B$28/100))*$B31),0))))))</f>
        <v>245.09999999999997</v>
      </c>
      <c r="D31" s="77">
        <f>(IF(D$27="%w/w SAR",((D$28*10)*$B31),IF(D$27="%w/w DM",(((D$28*10)*($B$28/100))*$B31),IF(D$27="kg/t SAR",(D$28*$B31),IF(D$27="kg/t DM",((D$28*($B$28/100))*$B31),IF(D$27="mg/kg SAR",((D$28*0.001)*$B31),IF(D$27="mg/kg DM",(((D$28*0.001)*($B$28/100))*$B31),"0")))))))*2.291</f>
        <v>72.801107000000002</v>
      </c>
      <c r="E31" s="77">
        <f>(IF(E$27="%w/w SAR",((E$28*10)*$B31),IF(E$27="%w/w DM",(((E$28*10)*($B$28/100))*$B31),IF(E$27="kg/t SAR",(E$28*$B31),IF(E$27="kg/t DM",((E$28*($B$28/100))*$B31),IF(E$27="mg/kg SAR",((E$28*0.001)*$B31),IF(E$27="mg/kg DM",(((E$28*0.001)*($B$28/100))*$B31),"0")))))))*1.205</f>
        <v>47.307095000000004</v>
      </c>
      <c r="F31" s="77">
        <f>(IF(F$27="%w/w SAR",((F$28*10)*$B31),IF(F$27="%w/w DM",(((F$28*10)*($B$28/100))*$B31),IF(F$27="kg/t SAR",(F$28*$B31),IF(F$27="kg/t DM",((F$28*($B$28/100))*$B31),IF(F$27="mg/kg SAR",((F$28*0.001)*$B31),IF(F$27="mg/kg DM",(((F$28*0.001)*($B$28/100))*$B31),"0")))))))*1.658</f>
        <v>8.4839859999999998</v>
      </c>
      <c r="G31" s="77">
        <f t="shared" ref="G31:P46" si="5">IF(G$27="%w/w SAR",((G$28*10)*$B31),IF(G$27="%w/w DM",(((G$28*10)*($B$28/100))*$B31),IF(G$27="kg/t SAR",(G$28*$B31),IF(G$27="kg/t DM",((G$28*($B$28/100))*$B31),IF(G$27="mg/kg SAR",((G$28*0.001)*$B31),IF(G$27="mg/kg DM",(((G$28*0.001)*($B$28/100))*$B31),0))))))</f>
        <v>3.4701000000000004</v>
      </c>
      <c r="H31" s="77">
        <f t="shared" si="5"/>
        <v>5.7620000000000005E-2</v>
      </c>
      <c r="I31" s="77">
        <f t="shared" si="5"/>
        <v>2.1500000000000002E-2</v>
      </c>
      <c r="J31" s="77">
        <f t="shared" si="5"/>
        <v>4.3000000000000004E-4</v>
      </c>
      <c r="K31" s="77">
        <f t="shared" si="5"/>
        <v>2.15E-3</v>
      </c>
      <c r="L31" s="77">
        <f t="shared" si="5"/>
        <v>8.6E-3</v>
      </c>
      <c r="M31" s="77">
        <f t="shared" si="5"/>
        <v>8.6E-3</v>
      </c>
      <c r="N31" s="77">
        <f t="shared" si="5"/>
        <v>0</v>
      </c>
      <c r="O31" s="77">
        <f t="shared" si="5"/>
        <v>0</v>
      </c>
      <c r="P31" s="77">
        <f t="shared" si="5"/>
        <v>1.3501999999999998</v>
      </c>
      <c r="Q31" s="77">
        <f>(IF(Q$27="%w/w SAR",((Q$28*10)*$B31),IF(Q$27="%w/w DM",(((Q$28*10)*($B$28/100))*$B31),IF(Q$27="kg/t SAR",(Q$28*$B31),IF(Q$27="kg/t DM",((Q$28*($B$28/100))*$B31),IF(Q$27="mg/kg SAR",((Q$28*0.001)*$B31),IF(Q$27="mg/kg DM",(((Q$28*0.001)*($B$28/100))*$B31),0)))))))*2.5</f>
        <v>37.625</v>
      </c>
      <c r="R31" s="77">
        <f>IF(R$27="%w/w SAR",((R$28*10)*$B31),IF(R$27="%w/w DM",(((R$28*10)*($B$28/100))*$B31),IF(R$27="kg/t SAR",(R$28*$B31),IF(R$27="kg/t DM",((R$28*($B$28/100))*$B31),IF(R$27="mg/kg SAR",((R$28*0.001)*$B31),IF(R$27="mg/kg DM",(((R$28*0.001)*($B$28/100))*$B31),0))))))</f>
        <v>8.6000000000000009E-4</v>
      </c>
      <c r="S31" s="77">
        <f>IF(S$27="%w/w SAR",((S$28*10)*$B31),IF(S$27="%w/w DM",(((S$28*10)*($B$28/100))*$B31),IF(S$27="kg/t SAR",(S$28*$B31),IF(S$27="kg/t DM",((S$28*($B$28/100))*$B31),IF(S$27="mg/kg SAR",((S$28*0.001)*$B31),IF(S$27="mg/kg DM",(((S$28*0.001)*($B$28/100))*$B31),0))))))</f>
        <v>2.1500000000000002E-2</v>
      </c>
      <c r="T31" s="77">
        <f>IF(T$27="%w/w SAR",((T$28*10)*$B31),IF(T$27="%w/w DM",(((T$28*10)*($B$28/100))*$B31),IF(T$27="kg/t SAR",(T$28*$B31),IF(T$27="kg/t DM",((T$28*($B$28/100))*$B31),IF(T$27="mg/kg SAR",((T$28*0.001)*$B31),IF(T$27="mg/kg DM",(((T$28*0.001)*($B$28/100))*$B31),0))))))</f>
        <v>2.15E-3</v>
      </c>
      <c r="U31" s="77">
        <f>IF(U$27="%w/w SAR",((U$28*10)*$B31),IF(U$27="%w/w DM",(((U$28*10)*($B$28/100))*$B31),IF(U$27="kg/t SAR",(U$28*$B31),IF(U$27="kg/t DM",((U$28*($B$28/100))*$B31),IF(U$27="mg/kg SAR",((U$28*0.001)*$B31),IF(U$27="mg/kg DM",(((U$28*0.001)*($B$28/100))*$B31),0))))))</f>
        <v>0.43</v>
      </c>
      <c r="AB31" s="59"/>
      <c r="AC31" s="59"/>
      <c r="AD31" s="59"/>
      <c r="AE31" s="59"/>
      <c r="AF31" s="59"/>
      <c r="AG31" s="59"/>
      <c r="AH31" s="59"/>
      <c r="AI31" s="59"/>
    </row>
    <row r="32" spans="1:40" s="72" customFormat="1" ht="13" x14ac:dyDescent="0.35">
      <c r="A32" s="13">
        <f>D8</f>
        <v>2</v>
      </c>
      <c r="B32" s="15">
        <v>38</v>
      </c>
      <c r="C32" s="77">
        <f t="shared" ref="C32:C50" si="6">IF(C$27="%w/w SAR",((C$28*10)*$B32),IF(C$27="%w/w DM",(((C$28*10)*($B$28/100))*$B32),IF(C$27="kg/t SAR",(C$28*$B32),IF(C$27="kg/t DM",((C$28*($B$28/100))*$B32),IF(C$27="mg/kg SAR",((C$28*0.001)*$B32),IF(C$27="mg/kg DM",(((C$28*0.001)*($B$28/100))*$B32),0))))))</f>
        <v>216.59999999999997</v>
      </c>
      <c r="D32" s="77">
        <f t="shared" ref="D32:D50" si="7">(IF(D$27="%w/w SAR",((D$28*10)*$B32),IF(D$27="%w/w DM",(((D$28*10)*($B$28/100))*$B32),IF(D$27="kg/t SAR",(D$28*$B32),IF(D$27="kg/t DM",((D$28*($B$28/100))*$B32),IF(D$27="mg/kg SAR",((D$28*0.001)*$B32),IF(D$27="mg/kg DM",(((D$28*0.001)*($B$28/100))*$B32),"0")))))))*2.291</f>
        <v>64.335862000000006</v>
      </c>
      <c r="E32" s="77">
        <f t="shared" ref="E32:E50" si="8">(IF(E$27="%w/w SAR",((E$28*10)*$B32),IF(E$27="%w/w DM",(((E$28*10)*($B$28/100))*$B32),IF(E$27="kg/t SAR",(E$28*$B32),IF(E$27="kg/t DM",((E$28*($B$28/100))*$B32),IF(E$27="mg/kg SAR",((E$28*0.001)*$B32),IF(E$27="mg/kg DM",(((E$28*0.001)*($B$28/100))*$B32),"0")))))))*1.205</f>
        <v>41.806270000000005</v>
      </c>
      <c r="F32" s="77">
        <f t="shared" ref="F32:F50" si="9">(IF(F$27="%w/w SAR",((F$28*10)*$B32),IF(F$27="%w/w DM",(((F$28*10)*($B$28/100))*$B32),IF(F$27="kg/t SAR",(F$28*$B32),IF(F$27="kg/t DM",((F$28*($B$28/100))*$B32),IF(F$27="mg/kg SAR",((F$28*0.001)*$B32),IF(F$27="mg/kg DM",(((F$28*0.001)*($B$28/100))*$B32),"0")))))))*1.658</f>
        <v>7.4974759999999998</v>
      </c>
      <c r="G32" s="77">
        <f t="shared" si="5"/>
        <v>3.0666000000000002</v>
      </c>
      <c r="H32" s="77">
        <f t="shared" si="5"/>
        <v>5.092E-2</v>
      </c>
      <c r="I32" s="77">
        <f t="shared" si="5"/>
        <v>1.9E-2</v>
      </c>
      <c r="J32" s="77">
        <f t="shared" si="5"/>
        <v>3.8000000000000002E-4</v>
      </c>
      <c r="K32" s="77">
        <f t="shared" si="5"/>
        <v>1.9E-3</v>
      </c>
      <c r="L32" s="77">
        <f t="shared" si="5"/>
        <v>7.6E-3</v>
      </c>
      <c r="M32" s="77">
        <f t="shared" si="5"/>
        <v>7.6E-3</v>
      </c>
      <c r="N32" s="77">
        <f t="shared" si="5"/>
        <v>0</v>
      </c>
      <c r="O32" s="77">
        <f t="shared" si="5"/>
        <v>0</v>
      </c>
      <c r="P32" s="77">
        <f t="shared" si="5"/>
        <v>1.1931999999999998</v>
      </c>
      <c r="Q32" s="77">
        <f t="shared" ref="Q32:Q50" si="10">(IF(Q$27="%w/w SAR",((Q$28*10)*$B32),IF(Q$27="%w/w DM",(((Q$28*10)*($B$28/100))*$B32),IF(Q$27="kg/t SAR",(Q$28*$B32),IF(Q$27="kg/t DM",((Q$28*($B$28/100))*$B32),IF(Q$27="mg/kg SAR",((Q$28*0.001)*$B32),IF(Q$27="mg/kg DM",(((Q$28*0.001)*($B$28/100))*$B32),0)))))))*2.5</f>
        <v>33.25</v>
      </c>
      <c r="R32" s="77">
        <f t="shared" ref="R32:U50" si="11">IF(R$27="%w/w SAR",((R$28*10)*$B32),IF(R$27="%w/w DM",(((R$28*10)*($B$28/100))*$B32),IF(R$27="kg/t SAR",(R$28*$B32),IF(R$27="kg/t DM",((R$28*($B$28/100))*$B32),IF(R$27="mg/kg SAR",((R$28*0.001)*$B32),IF(R$27="mg/kg DM",(((R$28*0.001)*($B$28/100))*$B32),0))))))</f>
        <v>7.6000000000000004E-4</v>
      </c>
      <c r="S32" s="77">
        <f t="shared" si="11"/>
        <v>1.9E-2</v>
      </c>
      <c r="T32" s="77">
        <f t="shared" si="11"/>
        <v>1.9E-3</v>
      </c>
      <c r="U32" s="77">
        <f t="shared" si="11"/>
        <v>0.38</v>
      </c>
      <c r="AB32" s="59"/>
      <c r="AC32" s="59"/>
      <c r="AD32" s="59"/>
      <c r="AE32" s="59"/>
      <c r="AF32" s="59"/>
      <c r="AG32" s="59"/>
      <c r="AH32" s="59"/>
      <c r="AI32" s="59"/>
    </row>
    <row r="33" spans="1:35" s="72" customFormat="1" ht="13" x14ac:dyDescent="0.35">
      <c r="A33" s="13">
        <f>E8</f>
        <v>3</v>
      </c>
      <c r="B33" s="15">
        <v>38</v>
      </c>
      <c r="C33" s="77">
        <f t="shared" si="6"/>
        <v>216.59999999999997</v>
      </c>
      <c r="D33" s="77">
        <f t="shared" si="7"/>
        <v>64.335862000000006</v>
      </c>
      <c r="E33" s="77">
        <f t="shared" si="8"/>
        <v>41.806270000000005</v>
      </c>
      <c r="F33" s="77">
        <f t="shared" si="9"/>
        <v>7.4974759999999998</v>
      </c>
      <c r="G33" s="77">
        <f t="shared" si="5"/>
        <v>3.0666000000000002</v>
      </c>
      <c r="H33" s="77">
        <f t="shared" si="5"/>
        <v>5.092E-2</v>
      </c>
      <c r="I33" s="77">
        <f t="shared" si="5"/>
        <v>1.9E-2</v>
      </c>
      <c r="J33" s="77">
        <f t="shared" si="5"/>
        <v>3.8000000000000002E-4</v>
      </c>
      <c r="K33" s="77">
        <f t="shared" si="5"/>
        <v>1.9E-3</v>
      </c>
      <c r="L33" s="77">
        <f t="shared" si="5"/>
        <v>7.6E-3</v>
      </c>
      <c r="M33" s="77">
        <f t="shared" si="5"/>
        <v>7.6E-3</v>
      </c>
      <c r="N33" s="77">
        <f t="shared" si="5"/>
        <v>0</v>
      </c>
      <c r="O33" s="77">
        <f t="shared" si="5"/>
        <v>0</v>
      </c>
      <c r="P33" s="77">
        <f t="shared" si="5"/>
        <v>1.1931999999999998</v>
      </c>
      <c r="Q33" s="77">
        <f t="shared" si="10"/>
        <v>33.25</v>
      </c>
      <c r="R33" s="77">
        <f t="shared" si="11"/>
        <v>7.6000000000000004E-4</v>
      </c>
      <c r="S33" s="77">
        <f t="shared" si="11"/>
        <v>1.9E-2</v>
      </c>
      <c r="T33" s="77">
        <f t="shared" si="11"/>
        <v>1.9E-3</v>
      </c>
      <c r="U33" s="77">
        <f t="shared" si="11"/>
        <v>0.38</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43</v>
      </c>
      <c r="C36" s="77">
        <f t="shared" si="6"/>
        <v>245.09999999999997</v>
      </c>
      <c r="D36" s="77">
        <f t="shared" si="7"/>
        <v>72.801107000000002</v>
      </c>
      <c r="E36" s="77">
        <f t="shared" si="8"/>
        <v>47.307095000000004</v>
      </c>
      <c r="F36" s="77">
        <f t="shared" si="9"/>
        <v>8.4839859999999998</v>
      </c>
      <c r="G36" s="77">
        <f t="shared" si="5"/>
        <v>3.4701000000000004</v>
      </c>
      <c r="H36" s="77">
        <f t="shared" si="5"/>
        <v>5.7620000000000005E-2</v>
      </c>
      <c r="I36" s="77">
        <f t="shared" si="5"/>
        <v>2.1500000000000002E-2</v>
      </c>
      <c r="J36" s="77">
        <f t="shared" si="5"/>
        <v>4.3000000000000004E-4</v>
      </c>
      <c r="K36" s="77">
        <f t="shared" si="5"/>
        <v>2.15E-3</v>
      </c>
      <c r="L36" s="77">
        <f t="shared" si="5"/>
        <v>8.6E-3</v>
      </c>
      <c r="M36" s="77">
        <f t="shared" si="5"/>
        <v>8.6E-3</v>
      </c>
      <c r="N36" s="77">
        <f t="shared" si="5"/>
        <v>0</v>
      </c>
      <c r="O36" s="77">
        <f t="shared" si="5"/>
        <v>0</v>
      </c>
      <c r="P36" s="77">
        <f t="shared" si="5"/>
        <v>1.3501999999999998</v>
      </c>
      <c r="Q36" s="77">
        <f t="shared" si="10"/>
        <v>37.625</v>
      </c>
      <c r="R36" s="77">
        <f t="shared" si="11"/>
        <v>8.6000000000000009E-4</v>
      </c>
      <c r="S36" s="77">
        <f t="shared" si="11"/>
        <v>2.1500000000000002E-2</v>
      </c>
      <c r="T36" s="77">
        <f t="shared" si="11"/>
        <v>2.15E-3</v>
      </c>
      <c r="U36" s="77">
        <f t="shared" si="11"/>
        <v>0.43</v>
      </c>
      <c r="AB36" s="59"/>
      <c r="AC36" s="59"/>
      <c r="AD36" s="59"/>
      <c r="AE36" s="59"/>
      <c r="AF36" s="59"/>
      <c r="AG36" s="59"/>
      <c r="AH36" s="59"/>
      <c r="AI36" s="59"/>
    </row>
    <row r="37" spans="1:35" s="72" customFormat="1" ht="13" x14ac:dyDescent="0.35">
      <c r="A37" s="13">
        <f>I8</f>
        <v>7</v>
      </c>
      <c r="B37" s="15">
        <v>38</v>
      </c>
      <c r="C37" s="77">
        <f t="shared" si="6"/>
        <v>216.59999999999997</v>
      </c>
      <c r="D37" s="77">
        <f t="shared" si="7"/>
        <v>64.335862000000006</v>
      </c>
      <c r="E37" s="77">
        <f t="shared" si="8"/>
        <v>41.806270000000005</v>
      </c>
      <c r="F37" s="77">
        <f t="shared" si="9"/>
        <v>7.4974759999999998</v>
      </c>
      <c r="G37" s="77">
        <f t="shared" si="5"/>
        <v>3.0666000000000002</v>
      </c>
      <c r="H37" s="77">
        <f t="shared" si="5"/>
        <v>5.092E-2</v>
      </c>
      <c r="I37" s="77">
        <f t="shared" si="5"/>
        <v>1.9E-2</v>
      </c>
      <c r="J37" s="77">
        <f t="shared" si="5"/>
        <v>3.8000000000000002E-4</v>
      </c>
      <c r="K37" s="77">
        <f t="shared" si="5"/>
        <v>1.9E-3</v>
      </c>
      <c r="L37" s="77">
        <f t="shared" si="5"/>
        <v>7.6E-3</v>
      </c>
      <c r="M37" s="77">
        <f t="shared" si="5"/>
        <v>7.6E-3</v>
      </c>
      <c r="N37" s="77">
        <f t="shared" si="5"/>
        <v>0</v>
      </c>
      <c r="O37" s="77">
        <f t="shared" si="5"/>
        <v>0</v>
      </c>
      <c r="P37" s="77">
        <f t="shared" si="5"/>
        <v>1.1931999999999998</v>
      </c>
      <c r="Q37" s="77">
        <f t="shared" si="10"/>
        <v>33.25</v>
      </c>
      <c r="R37" s="77">
        <f t="shared" si="11"/>
        <v>7.6000000000000004E-4</v>
      </c>
      <c r="S37" s="77">
        <f t="shared" si="11"/>
        <v>1.9E-2</v>
      </c>
      <c r="T37" s="77">
        <f t="shared" si="11"/>
        <v>1.9E-3</v>
      </c>
      <c r="U37" s="77">
        <f t="shared" si="11"/>
        <v>0.38</v>
      </c>
      <c r="AB37" s="59"/>
      <c r="AC37" s="59"/>
      <c r="AD37" s="59"/>
      <c r="AE37" s="59"/>
      <c r="AF37" s="59"/>
      <c r="AG37" s="59"/>
      <c r="AH37" s="59"/>
      <c r="AI37" s="59"/>
    </row>
    <row r="38" spans="1:35" s="72" customFormat="1" ht="13" x14ac:dyDescent="0.35">
      <c r="A38" s="13">
        <f>J8</f>
        <v>8</v>
      </c>
      <c r="B38" s="15">
        <v>43</v>
      </c>
      <c r="C38" s="77">
        <f t="shared" si="6"/>
        <v>245.09999999999997</v>
      </c>
      <c r="D38" s="77">
        <f t="shared" si="7"/>
        <v>72.801107000000002</v>
      </c>
      <c r="E38" s="77">
        <f t="shared" si="8"/>
        <v>47.307095000000004</v>
      </c>
      <c r="F38" s="77">
        <f t="shared" si="9"/>
        <v>8.4839859999999998</v>
      </c>
      <c r="G38" s="77">
        <f t="shared" si="5"/>
        <v>3.4701000000000004</v>
      </c>
      <c r="H38" s="77">
        <f t="shared" si="5"/>
        <v>5.7620000000000005E-2</v>
      </c>
      <c r="I38" s="77">
        <f t="shared" si="5"/>
        <v>2.1500000000000002E-2</v>
      </c>
      <c r="J38" s="77">
        <f t="shared" si="5"/>
        <v>4.3000000000000004E-4</v>
      </c>
      <c r="K38" s="77">
        <f t="shared" si="5"/>
        <v>2.15E-3</v>
      </c>
      <c r="L38" s="77">
        <f t="shared" si="5"/>
        <v>8.6E-3</v>
      </c>
      <c r="M38" s="77">
        <f t="shared" si="5"/>
        <v>8.6E-3</v>
      </c>
      <c r="N38" s="77">
        <f t="shared" si="5"/>
        <v>0</v>
      </c>
      <c r="O38" s="77">
        <f t="shared" si="5"/>
        <v>0</v>
      </c>
      <c r="P38" s="77">
        <f t="shared" si="5"/>
        <v>1.3501999999999998</v>
      </c>
      <c r="Q38" s="77">
        <f t="shared" si="10"/>
        <v>37.625</v>
      </c>
      <c r="R38" s="77">
        <f t="shared" si="11"/>
        <v>8.6000000000000009E-4</v>
      </c>
      <c r="S38" s="77">
        <f t="shared" si="11"/>
        <v>2.1500000000000002E-2</v>
      </c>
      <c r="T38" s="77">
        <f t="shared" si="11"/>
        <v>2.15E-3</v>
      </c>
      <c r="U38" s="77">
        <f t="shared" si="11"/>
        <v>0.43</v>
      </c>
      <c r="AB38" s="59"/>
      <c r="AC38" s="59"/>
      <c r="AD38" s="59"/>
      <c r="AE38" s="59"/>
      <c r="AF38" s="59"/>
      <c r="AG38" s="59"/>
      <c r="AH38" s="59"/>
      <c r="AI38" s="59"/>
    </row>
    <row r="39" spans="1:35" s="72" customFormat="1" ht="13" x14ac:dyDescent="0.35">
      <c r="A39" s="13">
        <f>K8</f>
        <v>9</v>
      </c>
      <c r="B39" s="15">
        <v>38</v>
      </c>
      <c r="C39" s="77">
        <f t="shared" si="6"/>
        <v>216.59999999999997</v>
      </c>
      <c r="D39" s="77">
        <f t="shared" si="7"/>
        <v>64.335862000000006</v>
      </c>
      <c r="E39" s="77">
        <f t="shared" si="8"/>
        <v>41.806270000000005</v>
      </c>
      <c r="F39" s="77">
        <f t="shared" si="9"/>
        <v>7.4974759999999998</v>
      </c>
      <c r="G39" s="77">
        <f t="shared" si="5"/>
        <v>3.0666000000000002</v>
      </c>
      <c r="H39" s="77">
        <f t="shared" si="5"/>
        <v>5.092E-2</v>
      </c>
      <c r="I39" s="77">
        <f t="shared" si="5"/>
        <v>1.9E-2</v>
      </c>
      <c r="J39" s="77">
        <f t="shared" si="5"/>
        <v>3.8000000000000002E-4</v>
      </c>
      <c r="K39" s="77">
        <f t="shared" si="5"/>
        <v>1.9E-3</v>
      </c>
      <c r="L39" s="77">
        <f t="shared" si="5"/>
        <v>7.6E-3</v>
      </c>
      <c r="M39" s="77">
        <f t="shared" si="5"/>
        <v>7.6E-3</v>
      </c>
      <c r="N39" s="77">
        <f t="shared" si="5"/>
        <v>0</v>
      </c>
      <c r="O39" s="77">
        <f t="shared" si="5"/>
        <v>0</v>
      </c>
      <c r="P39" s="77">
        <f t="shared" si="5"/>
        <v>1.1931999999999998</v>
      </c>
      <c r="Q39" s="77">
        <f t="shared" si="10"/>
        <v>33.25</v>
      </c>
      <c r="R39" s="77">
        <f t="shared" si="11"/>
        <v>7.6000000000000004E-4</v>
      </c>
      <c r="S39" s="77">
        <f t="shared" si="11"/>
        <v>1.9E-2</v>
      </c>
      <c r="T39" s="77">
        <f t="shared" si="11"/>
        <v>1.9E-3</v>
      </c>
      <c r="U39" s="77">
        <f t="shared" si="11"/>
        <v>0.38</v>
      </c>
      <c r="AB39" s="59"/>
      <c r="AC39" s="59"/>
      <c r="AD39" s="59"/>
      <c r="AE39" s="59"/>
      <c r="AF39" s="59"/>
      <c r="AG39" s="59"/>
      <c r="AH39" s="59"/>
      <c r="AI39" s="59"/>
    </row>
    <row r="40" spans="1:35" s="72" customFormat="1" ht="13" x14ac:dyDescent="0.35">
      <c r="A40" s="13">
        <f>L8</f>
        <v>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38</v>
      </c>
      <c r="C41" s="77">
        <f t="shared" si="6"/>
        <v>216.59999999999997</v>
      </c>
      <c r="D41" s="77">
        <f t="shared" si="7"/>
        <v>64.335862000000006</v>
      </c>
      <c r="E41" s="77">
        <f t="shared" si="8"/>
        <v>41.806270000000005</v>
      </c>
      <c r="F41" s="77">
        <f t="shared" si="9"/>
        <v>7.4974759999999998</v>
      </c>
      <c r="G41" s="77">
        <f t="shared" si="5"/>
        <v>3.0666000000000002</v>
      </c>
      <c r="H41" s="77">
        <f t="shared" si="5"/>
        <v>5.092E-2</v>
      </c>
      <c r="I41" s="77">
        <f t="shared" si="5"/>
        <v>1.9E-2</v>
      </c>
      <c r="J41" s="77">
        <f t="shared" si="5"/>
        <v>3.8000000000000002E-4</v>
      </c>
      <c r="K41" s="77">
        <f t="shared" si="5"/>
        <v>1.9E-3</v>
      </c>
      <c r="L41" s="77">
        <f t="shared" si="5"/>
        <v>7.6E-3</v>
      </c>
      <c r="M41" s="77">
        <f t="shared" si="5"/>
        <v>7.6E-3</v>
      </c>
      <c r="N41" s="77">
        <f t="shared" si="5"/>
        <v>0</v>
      </c>
      <c r="O41" s="77">
        <f t="shared" si="5"/>
        <v>0</v>
      </c>
      <c r="P41" s="77">
        <f t="shared" si="5"/>
        <v>1.1931999999999998</v>
      </c>
      <c r="Q41" s="77">
        <f t="shared" si="10"/>
        <v>33.25</v>
      </c>
      <c r="R41" s="77">
        <f t="shared" si="11"/>
        <v>7.6000000000000004E-4</v>
      </c>
      <c r="S41" s="77">
        <f t="shared" si="11"/>
        <v>1.9E-2</v>
      </c>
      <c r="T41" s="77">
        <f t="shared" si="11"/>
        <v>1.9E-3</v>
      </c>
      <c r="U41" s="77">
        <f t="shared" si="11"/>
        <v>0.38</v>
      </c>
      <c r="AB41" s="59"/>
      <c r="AC41" s="59"/>
      <c r="AD41" s="59"/>
      <c r="AE41" s="59"/>
      <c r="AF41" s="59"/>
      <c r="AG41" s="59"/>
      <c r="AH41" s="59"/>
      <c r="AI41" s="59"/>
    </row>
    <row r="42" spans="1:35" s="72" customFormat="1" ht="13" x14ac:dyDescent="0.35">
      <c r="A42" s="13">
        <f>N8</f>
        <v>12</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38</v>
      </c>
      <c r="C43" s="77">
        <f t="shared" si="6"/>
        <v>216.59999999999997</v>
      </c>
      <c r="D43" s="77">
        <f t="shared" si="7"/>
        <v>64.335862000000006</v>
      </c>
      <c r="E43" s="77">
        <f t="shared" si="8"/>
        <v>41.806270000000005</v>
      </c>
      <c r="F43" s="77">
        <f t="shared" si="9"/>
        <v>7.4974759999999998</v>
      </c>
      <c r="G43" s="77">
        <f t="shared" si="5"/>
        <v>3.0666000000000002</v>
      </c>
      <c r="H43" s="77">
        <f t="shared" si="5"/>
        <v>5.092E-2</v>
      </c>
      <c r="I43" s="77">
        <f t="shared" si="5"/>
        <v>1.9E-2</v>
      </c>
      <c r="J43" s="77">
        <f t="shared" si="5"/>
        <v>3.8000000000000002E-4</v>
      </c>
      <c r="K43" s="77">
        <f t="shared" si="5"/>
        <v>1.9E-3</v>
      </c>
      <c r="L43" s="77">
        <f t="shared" si="5"/>
        <v>7.6E-3</v>
      </c>
      <c r="M43" s="77">
        <f t="shared" si="5"/>
        <v>7.6E-3</v>
      </c>
      <c r="N43" s="77">
        <f t="shared" si="5"/>
        <v>0</v>
      </c>
      <c r="O43" s="77">
        <f t="shared" si="5"/>
        <v>0</v>
      </c>
      <c r="P43" s="77">
        <f t="shared" si="5"/>
        <v>1.1931999999999998</v>
      </c>
      <c r="Q43" s="77">
        <f t="shared" si="10"/>
        <v>33.25</v>
      </c>
      <c r="R43" s="77">
        <f t="shared" si="11"/>
        <v>7.6000000000000004E-4</v>
      </c>
      <c r="S43" s="77">
        <f t="shared" si="11"/>
        <v>1.9E-2</v>
      </c>
      <c r="T43" s="77">
        <f t="shared" si="11"/>
        <v>1.9E-3</v>
      </c>
      <c r="U43" s="77">
        <f t="shared" si="11"/>
        <v>0.38</v>
      </c>
      <c r="AB43" s="59"/>
      <c r="AC43" s="59"/>
      <c r="AD43" s="59"/>
      <c r="AE43" s="59"/>
      <c r="AF43" s="59"/>
      <c r="AG43" s="59"/>
      <c r="AH43" s="59"/>
      <c r="AI43" s="59"/>
    </row>
    <row r="44" spans="1:35" s="72" customFormat="1" ht="13" x14ac:dyDescent="0.35">
      <c r="A44" s="13">
        <f>P8</f>
        <v>15</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0</v>
      </c>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v>43</v>
      </c>
      <c r="C46" s="77">
        <f t="shared" si="6"/>
        <v>245.09999999999997</v>
      </c>
      <c r="D46" s="77">
        <f t="shared" si="7"/>
        <v>72.801107000000002</v>
      </c>
      <c r="E46" s="77">
        <f t="shared" si="8"/>
        <v>47.307095000000004</v>
      </c>
      <c r="F46" s="77">
        <f t="shared" si="9"/>
        <v>8.4839859999999998</v>
      </c>
      <c r="G46" s="77">
        <f t="shared" si="5"/>
        <v>3.4701000000000004</v>
      </c>
      <c r="H46" s="77">
        <f t="shared" si="5"/>
        <v>5.7620000000000005E-2</v>
      </c>
      <c r="I46" s="77">
        <f t="shared" si="5"/>
        <v>2.1500000000000002E-2</v>
      </c>
      <c r="J46" s="77">
        <f t="shared" si="5"/>
        <v>4.3000000000000004E-4</v>
      </c>
      <c r="K46" s="77">
        <f t="shared" si="5"/>
        <v>2.15E-3</v>
      </c>
      <c r="L46" s="77">
        <f t="shared" si="5"/>
        <v>8.6E-3</v>
      </c>
      <c r="M46" s="77">
        <f t="shared" si="5"/>
        <v>8.6E-3</v>
      </c>
      <c r="N46" s="77">
        <f t="shared" si="5"/>
        <v>0</v>
      </c>
      <c r="O46" s="77">
        <f t="shared" si="5"/>
        <v>0</v>
      </c>
      <c r="P46" s="77">
        <f t="shared" si="5"/>
        <v>1.3501999999999998</v>
      </c>
      <c r="Q46" s="77">
        <f t="shared" si="10"/>
        <v>37.625</v>
      </c>
      <c r="R46" s="77">
        <f t="shared" si="11"/>
        <v>8.6000000000000009E-4</v>
      </c>
      <c r="S46" s="77">
        <f t="shared" si="11"/>
        <v>2.1500000000000002E-2</v>
      </c>
      <c r="T46" s="77">
        <f t="shared" si="11"/>
        <v>2.15E-3</v>
      </c>
      <c r="U46" s="77">
        <f t="shared" si="11"/>
        <v>0.43</v>
      </c>
      <c r="AB46" s="59"/>
      <c r="AC46" s="59"/>
      <c r="AD46" s="59"/>
      <c r="AE46" s="59"/>
      <c r="AF46" s="59"/>
      <c r="AG46" s="59"/>
      <c r="AH46" s="59"/>
      <c r="AI46" s="59"/>
    </row>
    <row r="47" spans="1:35" s="72" customFormat="1" ht="13" x14ac:dyDescent="0.35">
      <c r="A47" s="13">
        <f>S8</f>
        <v>22</v>
      </c>
      <c r="B47" s="15">
        <v>38</v>
      </c>
      <c r="C47" s="77">
        <f t="shared" si="6"/>
        <v>216.59999999999997</v>
      </c>
      <c r="D47" s="77">
        <f t="shared" si="7"/>
        <v>64.335862000000006</v>
      </c>
      <c r="E47" s="77">
        <f t="shared" si="8"/>
        <v>41.806270000000005</v>
      </c>
      <c r="F47" s="77">
        <f t="shared" si="9"/>
        <v>7.4974759999999998</v>
      </c>
      <c r="G47" s="77">
        <f t="shared" ref="G47:P50" si="12">IF(G$27="%w/w SAR",((G$28*10)*$B47),IF(G$27="%w/w DM",(((G$28*10)*($B$28/100))*$B47),IF(G$27="kg/t SAR",(G$28*$B47),IF(G$27="kg/t DM",((G$28*($B$28/100))*$B47),IF(G$27="mg/kg SAR",((G$28*0.001)*$B47),IF(G$27="mg/kg DM",(((G$28*0.001)*($B$28/100))*$B47),0))))))</f>
        <v>3.0666000000000002</v>
      </c>
      <c r="H47" s="77">
        <f t="shared" si="12"/>
        <v>5.092E-2</v>
      </c>
      <c r="I47" s="77">
        <f t="shared" si="12"/>
        <v>1.9E-2</v>
      </c>
      <c r="J47" s="77">
        <f t="shared" si="12"/>
        <v>3.8000000000000002E-4</v>
      </c>
      <c r="K47" s="77">
        <f t="shared" si="12"/>
        <v>1.9E-3</v>
      </c>
      <c r="L47" s="77">
        <f t="shared" si="12"/>
        <v>7.6E-3</v>
      </c>
      <c r="M47" s="77">
        <f t="shared" si="12"/>
        <v>7.6E-3</v>
      </c>
      <c r="N47" s="77">
        <f t="shared" si="12"/>
        <v>0</v>
      </c>
      <c r="O47" s="77">
        <f t="shared" si="12"/>
        <v>0</v>
      </c>
      <c r="P47" s="77">
        <f t="shared" si="12"/>
        <v>1.1931999999999998</v>
      </c>
      <c r="Q47" s="77">
        <f t="shared" si="10"/>
        <v>33.25</v>
      </c>
      <c r="R47" s="77">
        <f t="shared" si="11"/>
        <v>7.6000000000000004E-4</v>
      </c>
      <c r="S47" s="77">
        <f t="shared" si="11"/>
        <v>1.9E-2</v>
      </c>
      <c r="T47" s="77">
        <f t="shared" si="11"/>
        <v>1.9E-3</v>
      </c>
      <c r="U47" s="77">
        <f t="shared" si="11"/>
        <v>0.38</v>
      </c>
      <c r="AB47" s="59"/>
      <c r="AC47" s="59"/>
      <c r="AD47" s="59"/>
      <c r="AE47" s="59"/>
      <c r="AF47" s="59"/>
      <c r="AG47" s="59"/>
      <c r="AH47" s="59"/>
      <c r="AI47" s="59"/>
    </row>
    <row r="48" spans="1:35" s="72" customFormat="1" ht="13" x14ac:dyDescent="0.35">
      <c r="A48" s="13">
        <f>T8</f>
        <v>23</v>
      </c>
      <c r="B48" s="15">
        <v>38</v>
      </c>
      <c r="C48" s="77">
        <f t="shared" si="6"/>
        <v>216.59999999999997</v>
      </c>
      <c r="D48" s="77">
        <f t="shared" si="7"/>
        <v>64.335862000000006</v>
      </c>
      <c r="E48" s="77">
        <f t="shared" si="8"/>
        <v>41.806270000000005</v>
      </c>
      <c r="F48" s="77">
        <f t="shared" si="9"/>
        <v>7.4974759999999998</v>
      </c>
      <c r="G48" s="77">
        <f t="shared" si="12"/>
        <v>3.0666000000000002</v>
      </c>
      <c r="H48" s="77">
        <f t="shared" si="12"/>
        <v>5.092E-2</v>
      </c>
      <c r="I48" s="77">
        <f t="shared" si="12"/>
        <v>1.9E-2</v>
      </c>
      <c r="J48" s="77">
        <f t="shared" si="12"/>
        <v>3.8000000000000002E-4</v>
      </c>
      <c r="K48" s="77">
        <f t="shared" si="12"/>
        <v>1.9E-3</v>
      </c>
      <c r="L48" s="77">
        <f t="shared" si="12"/>
        <v>7.6E-3</v>
      </c>
      <c r="M48" s="77">
        <f t="shared" si="12"/>
        <v>7.6E-3</v>
      </c>
      <c r="N48" s="77">
        <f t="shared" si="12"/>
        <v>0</v>
      </c>
      <c r="O48" s="77">
        <f t="shared" si="12"/>
        <v>0</v>
      </c>
      <c r="P48" s="77">
        <f t="shared" si="12"/>
        <v>1.1931999999999998</v>
      </c>
      <c r="Q48" s="77">
        <f t="shared" si="10"/>
        <v>33.25</v>
      </c>
      <c r="R48" s="77">
        <f t="shared" si="11"/>
        <v>7.6000000000000004E-4</v>
      </c>
      <c r="S48" s="77">
        <f t="shared" si="11"/>
        <v>1.9E-2</v>
      </c>
      <c r="T48" s="77">
        <f t="shared" si="11"/>
        <v>1.9E-3</v>
      </c>
      <c r="U48" s="77">
        <f t="shared" si="11"/>
        <v>0.38</v>
      </c>
      <c r="AB48" s="59"/>
      <c r="AC48" s="59"/>
      <c r="AD48" s="59"/>
      <c r="AE48" s="59"/>
      <c r="AF48" s="59"/>
      <c r="AG48" s="59"/>
      <c r="AH48" s="59"/>
      <c r="AI48" s="59"/>
    </row>
    <row r="49" spans="1:35" s="72" customFormat="1" ht="13" x14ac:dyDescent="0.35">
      <c r="A49" s="13">
        <f>U8</f>
        <v>7078</v>
      </c>
      <c r="B49" s="15">
        <v>43</v>
      </c>
      <c r="C49" s="77">
        <f t="shared" si="6"/>
        <v>245.09999999999997</v>
      </c>
      <c r="D49" s="77">
        <f t="shared" si="7"/>
        <v>72.801107000000002</v>
      </c>
      <c r="E49" s="77">
        <f t="shared" si="8"/>
        <v>47.307095000000004</v>
      </c>
      <c r="F49" s="77">
        <f t="shared" si="9"/>
        <v>8.4839859999999998</v>
      </c>
      <c r="G49" s="77">
        <f t="shared" si="12"/>
        <v>3.4701000000000004</v>
      </c>
      <c r="H49" s="77">
        <f t="shared" si="12"/>
        <v>5.7620000000000005E-2</v>
      </c>
      <c r="I49" s="77">
        <f t="shared" si="12"/>
        <v>2.1500000000000002E-2</v>
      </c>
      <c r="J49" s="77">
        <f t="shared" si="12"/>
        <v>4.3000000000000004E-4</v>
      </c>
      <c r="K49" s="77">
        <f t="shared" si="12"/>
        <v>2.15E-3</v>
      </c>
      <c r="L49" s="77">
        <f t="shared" si="12"/>
        <v>8.6E-3</v>
      </c>
      <c r="M49" s="77">
        <f t="shared" si="12"/>
        <v>8.6E-3</v>
      </c>
      <c r="N49" s="77">
        <f t="shared" si="12"/>
        <v>0</v>
      </c>
      <c r="O49" s="77">
        <f t="shared" si="12"/>
        <v>0</v>
      </c>
      <c r="P49" s="77">
        <f t="shared" si="12"/>
        <v>1.3501999999999998</v>
      </c>
      <c r="Q49" s="77">
        <f t="shared" si="10"/>
        <v>37.625</v>
      </c>
      <c r="R49" s="77">
        <f t="shared" si="11"/>
        <v>8.6000000000000009E-4</v>
      </c>
      <c r="S49" s="77">
        <f t="shared" si="11"/>
        <v>2.1500000000000002E-2</v>
      </c>
      <c r="T49" s="77">
        <f t="shared" si="11"/>
        <v>2.15E-3</v>
      </c>
      <c r="U49" s="77">
        <f t="shared" si="11"/>
        <v>0.43</v>
      </c>
      <c r="AB49" s="59"/>
      <c r="AC49" s="59"/>
      <c r="AD49" s="59"/>
      <c r="AE49" s="59"/>
      <c r="AF49" s="59"/>
      <c r="AG49" s="59"/>
      <c r="AH49" s="59"/>
      <c r="AI49" s="59"/>
    </row>
    <row r="50" spans="1:35" s="72" customFormat="1" ht="13.5" thickBot="1" x14ac:dyDescent="0.4">
      <c r="A50" s="14">
        <f>V8</f>
        <v>7058</v>
      </c>
      <c r="B50" s="15">
        <v>43</v>
      </c>
      <c r="C50" s="98">
        <f t="shared" si="6"/>
        <v>245.09999999999997</v>
      </c>
      <c r="D50" s="98">
        <f t="shared" si="7"/>
        <v>72.801107000000002</v>
      </c>
      <c r="E50" s="98">
        <f t="shared" si="8"/>
        <v>47.307095000000004</v>
      </c>
      <c r="F50" s="98">
        <f t="shared" si="9"/>
        <v>8.4839859999999998</v>
      </c>
      <c r="G50" s="98">
        <f t="shared" si="12"/>
        <v>3.4701000000000004</v>
      </c>
      <c r="H50" s="98">
        <f t="shared" si="12"/>
        <v>5.7620000000000005E-2</v>
      </c>
      <c r="I50" s="98">
        <f t="shared" si="12"/>
        <v>2.1500000000000002E-2</v>
      </c>
      <c r="J50" s="98">
        <f t="shared" si="12"/>
        <v>4.3000000000000004E-4</v>
      </c>
      <c r="K50" s="98">
        <f t="shared" si="12"/>
        <v>2.15E-3</v>
      </c>
      <c r="L50" s="98">
        <f t="shared" si="12"/>
        <v>8.6E-3</v>
      </c>
      <c r="M50" s="98">
        <f t="shared" si="12"/>
        <v>8.6E-3</v>
      </c>
      <c r="N50" s="98">
        <f t="shared" si="12"/>
        <v>0</v>
      </c>
      <c r="O50" s="98">
        <f t="shared" si="12"/>
        <v>0</v>
      </c>
      <c r="P50" s="98">
        <f t="shared" si="12"/>
        <v>1.3501999999999998</v>
      </c>
      <c r="Q50" s="98">
        <f t="shared" si="10"/>
        <v>37.625</v>
      </c>
      <c r="R50" s="98">
        <f t="shared" si="11"/>
        <v>8.6000000000000009E-4</v>
      </c>
      <c r="S50" s="98">
        <f t="shared" si="11"/>
        <v>2.1500000000000002E-2</v>
      </c>
      <c r="T50" s="98">
        <f t="shared" si="11"/>
        <v>2.15E-3</v>
      </c>
      <c r="U50" s="98">
        <f t="shared" si="11"/>
        <v>0.43</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100</v>
      </c>
      <c r="C55" s="116">
        <v>1</v>
      </c>
      <c r="D55" s="117">
        <f>(B55/100)*C55</f>
        <v>1</v>
      </c>
      <c r="E55" s="117">
        <f>G55</f>
        <v>2</v>
      </c>
      <c r="F55" s="116">
        <v>2</v>
      </c>
      <c r="G55" s="117">
        <f>(B55/100)*F55</f>
        <v>2</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str">
        <f>T16&amp;" I "&amp;(VLOOKUP(T14,Table245810[],6,FALSE))</f>
        <v>Medium/Clay I Grass</v>
      </c>
      <c r="T58" s="13" t="str">
        <f>U16&amp;" I "&amp;(VLOOKUP(U14,Table245810[],6,FALSE))</f>
        <v>Medium/Clay I Grass</v>
      </c>
      <c r="U58" s="13" t="str">
        <f>V16&amp;" I "&amp;(VLOOKUP(V14,Table245810[],6,FALSE))</f>
        <v>Medium/Clay I Grass</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43</v>
      </c>
      <c r="C62" s="77">
        <f>B32</f>
        <v>38</v>
      </c>
      <c r="D62" s="77">
        <f>B33</f>
        <v>38</v>
      </c>
      <c r="E62" s="77">
        <f>B34</f>
        <v>0</v>
      </c>
      <c r="F62" s="77">
        <f>B35</f>
        <v>0</v>
      </c>
      <c r="G62" s="77">
        <f>B36</f>
        <v>43</v>
      </c>
      <c r="H62" s="77">
        <f>B37</f>
        <v>38</v>
      </c>
      <c r="I62" s="77">
        <f>B38</f>
        <v>43</v>
      </c>
      <c r="J62" s="77">
        <f>B39</f>
        <v>38</v>
      </c>
      <c r="K62" s="77">
        <f>B40</f>
        <v>0</v>
      </c>
      <c r="L62" s="77">
        <f>B41</f>
        <v>38</v>
      </c>
      <c r="M62" s="77">
        <f>B42</f>
        <v>0</v>
      </c>
      <c r="N62" s="77">
        <f>B43</f>
        <v>38</v>
      </c>
      <c r="O62" s="77">
        <f>B44</f>
        <v>0</v>
      </c>
      <c r="P62" s="77">
        <f>B45</f>
        <v>0</v>
      </c>
      <c r="Q62" s="77">
        <f>B46</f>
        <v>43</v>
      </c>
      <c r="R62" s="77">
        <f>B47</f>
        <v>38</v>
      </c>
      <c r="S62" s="77">
        <f>B48</f>
        <v>38</v>
      </c>
      <c r="T62" s="77">
        <f>B49</f>
        <v>43</v>
      </c>
      <c r="U62" s="77">
        <f>B50</f>
        <v>43</v>
      </c>
    </row>
    <row r="63" spans="1:35" s="19" customFormat="1" ht="39" x14ac:dyDescent="0.3">
      <c r="A63" s="112" t="s">
        <v>155</v>
      </c>
      <c r="B63" s="77">
        <f>$E55*(B62/100)</f>
        <v>0.86</v>
      </c>
      <c r="C63" s="77">
        <f t="shared" ref="C63:U63" si="16">$E55*(C62/100)</f>
        <v>0.76</v>
      </c>
      <c r="D63" s="77">
        <f t="shared" si="16"/>
        <v>0.76</v>
      </c>
      <c r="E63" s="77">
        <f t="shared" si="16"/>
        <v>0</v>
      </c>
      <c r="F63" s="77">
        <f>$E55*(F62/100)</f>
        <v>0</v>
      </c>
      <c r="G63" s="77">
        <f t="shared" si="16"/>
        <v>0.86</v>
      </c>
      <c r="H63" s="77">
        <f t="shared" si="16"/>
        <v>0.76</v>
      </c>
      <c r="I63" s="77">
        <f t="shared" si="16"/>
        <v>0.86</v>
      </c>
      <c r="J63" s="77">
        <f t="shared" si="16"/>
        <v>0.76</v>
      </c>
      <c r="K63" s="77">
        <f t="shared" si="16"/>
        <v>0</v>
      </c>
      <c r="L63" s="77">
        <f t="shared" si="16"/>
        <v>0.76</v>
      </c>
      <c r="M63" s="77">
        <f t="shared" si="16"/>
        <v>0</v>
      </c>
      <c r="N63" s="77">
        <f t="shared" si="16"/>
        <v>0.76</v>
      </c>
      <c r="O63" s="77">
        <f t="shared" si="16"/>
        <v>0</v>
      </c>
      <c r="P63" s="77">
        <f t="shared" si="16"/>
        <v>0</v>
      </c>
      <c r="Q63" s="77">
        <f t="shared" si="16"/>
        <v>0.86</v>
      </c>
      <c r="R63" s="77">
        <f t="shared" si="16"/>
        <v>0.76</v>
      </c>
      <c r="S63" s="77">
        <f t="shared" si="16"/>
        <v>0.76</v>
      </c>
      <c r="T63" s="77">
        <f t="shared" si="16"/>
        <v>0.86</v>
      </c>
      <c r="U63" s="77">
        <f t="shared" si="16"/>
        <v>0.86</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0.25999999999999679</v>
      </c>
      <c r="C65" s="77">
        <f t="shared" ref="C65:U65" si="18">C63-C64</f>
        <v>-1.6400000000000021</v>
      </c>
      <c r="D65" s="77">
        <f t="shared" si="18"/>
        <v>-1.0399999999999989</v>
      </c>
      <c r="E65" s="77">
        <f t="shared" si="18"/>
        <v>-5.4000000000000021</v>
      </c>
      <c r="F65" s="77">
        <f t="shared" si="18"/>
        <v>-4.7999999999999989</v>
      </c>
      <c r="G65" s="77">
        <f t="shared" si="18"/>
        <v>-0.93999999999999895</v>
      </c>
      <c r="H65" s="77">
        <f t="shared" si="18"/>
        <v>-2.2400000000000002</v>
      </c>
      <c r="I65" s="77">
        <f t="shared" si="18"/>
        <v>-3.3400000000000012</v>
      </c>
      <c r="J65" s="77">
        <f t="shared" si="18"/>
        <v>-3.4400000000000013</v>
      </c>
      <c r="K65" s="77">
        <f t="shared" si="18"/>
        <v>-5.4000000000000021</v>
      </c>
      <c r="L65" s="77">
        <f t="shared" si="18"/>
        <v>0.76</v>
      </c>
      <c r="M65" s="77">
        <f t="shared" si="18"/>
        <v>-4.7999999999999989</v>
      </c>
      <c r="N65" s="77">
        <f t="shared" si="18"/>
        <v>-3.4400000000000013</v>
      </c>
      <c r="O65" s="77">
        <f t="shared" si="18"/>
        <v>-5.4000000000000021</v>
      </c>
      <c r="P65" s="77">
        <f t="shared" si="18"/>
        <v>-5.4000000000000021</v>
      </c>
      <c r="Q65" s="77">
        <f t="shared" si="18"/>
        <v>0.25999999999999679</v>
      </c>
      <c r="R65" s="77">
        <f t="shared" si="18"/>
        <v>-1.6400000000000021</v>
      </c>
      <c r="S65" s="77">
        <f t="shared" si="18"/>
        <v>-3.4400000000000013</v>
      </c>
      <c r="T65" s="77">
        <f t="shared" si="18"/>
        <v>-2.14</v>
      </c>
      <c r="U65" s="77">
        <f t="shared" si="18"/>
        <v>-3.3400000000000012</v>
      </c>
    </row>
    <row r="66" spans="1:21" s="19" customFormat="1" ht="26" x14ac:dyDescent="0.3">
      <c r="A66" s="112" t="s">
        <v>148</v>
      </c>
      <c r="B66" s="78" t="str">
        <f>IF(B64&lt;=B63,"OVER","UNDER")</f>
        <v>OVER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OVER</v>
      </c>
      <c r="R66" s="78" t="str">
        <f t="shared" si="19"/>
        <v>UNDER</v>
      </c>
      <c r="S66" s="78" t="str">
        <f t="shared" si="19"/>
        <v>UNDER</v>
      </c>
      <c r="T66" s="78" t="str">
        <f t="shared" si="19"/>
        <v>UNDER</v>
      </c>
      <c r="U66" s="78" t="str">
        <f t="shared" si="19"/>
        <v>UNDER</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v>7.2</v>
      </c>
      <c r="J1" s="127" t="s">
        <v>153</v>
      </c>
      <c r="K1" s="127"/>
      <c r="L1" s="97">
        <v>325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t="s">
        <v>162</v>
      </c>
      <c r="G2" s="125" t="s">
        <v>110</v>
      </c>
      <c r="H2" s="126"/>
      <c r="I2" s="118"/>
      <c r="J2" s="127" t="s">
        <v>158</v>
      </c>
      <c r="K2" s="127"/>
      <c r="L2" s="97">
        <v>1.32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t="s">
        <v>104</v>
      </c>
      <c r="G3" s="127" t="s">
        <v>159</v>
      </c>
      <c r="H3" s="127"/>
      <c r="I3" s="118"/>
      <c r="J3" s="123" t="s">
        <v>154</v>
      </c>
      <c r="K3" s="124"/>
      <c r="L3" s="97">
        <f>(L1/(L2*10000))*100</f>
        <v>2.4621212121212119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35.009343749999999</v>
      </c>
      <c r="D18" s="16">
        <f>$D32</f>
        <v>0</v>
      </c>
      <c r="E18" s="16">
        <f>$D33</f>
        <v>0</v>
      </c>
      <c r="F18" s="16">
        <f>$D34</f>
        <v>0</v>
      </c>
      <c r="G18" s="16">
        <f>$D35</f>
        <v>0</v>
      </c>
      <c r="H18" s="16">
        <f>$D36</f>
        <v>0</v>
      </c>
      <c r="I18" s="16">
        <f>$D37</f>
        <v>0</v>
      </c>
      <c r="J18" s="16">
        <f>$D38</f>
        <v>0</v>
      </c>
      <c r="K18" s="16">
        <f>$D39</f>
        <v>0</v>
      </c>
      <c r="L18" s="16">
        <f>$D40</f>
        <v>0</v>
      </c>
      <c r="M18" s="16">
        <f>$D41</f>
        <v>35.009343749999999</v>
      </c>
      <c r="N18" s="16">
        <f>$D42</f>
        <v>0</v>
      </c>
      <c r="O18" s="16">
        <f>$D43</f>
        <v>0</v>
      </c>
      <c r="P18" s="16">
        <f>$D44</f>
        <v>0</v>
      </c>
      <c r="Q18" s="16">
        <f>$D45</f>
        <v>0</v>
      </c>
      <c r="R18" s="16">
        <f>$D46</f>
        <v>35.009343749999999</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-29.590656249999995</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-29.590656249999995</v>
      </c>
      <c r="N19" s="16">
        <f t="shared" si="1"/>
        <v>-64.599999999999994</v>
      </c>
      <c r="O19" s="16">
        <f t="shared" si="1"/>
        <v>-64.599999999999994</v>
      </c>
      <c r="P19" s="16">
        <f t="shared" si="1"/>
        <v>-64.599999999999994</v>
      </c>
      <c r="Q19" s="16">
        <f t="shared" si="1"/>
        <v>-64.599999999999994</v>
      </c>
      <c r="R19" s="16">
        <f t="shared" si="1"/>
        <v>-29.590656249999995</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DECREASE</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6.2132812500000003E-4</v>
      </c>
      <c r="D22" s="16">
        <f>$E32</f>
        <v>0</v>
      </c>
      <c r="E22" s="16">
        <f>$E33</f>
        <v>0</v>
      </c>
      <c r="F22" s="16">
        <f>$E34</f>
        <v>0</v>
      </c>
      <c r="G22" s="16">
        <f>$E35</f>
        <v>0</v>
      </c>
      <c r="H22" s="16">
        <f>$E36</f>
        <v>0</v>
      </c>
      <c r="I22" s="16">
        <f>$E37</f>
        <v>0</v>
      </c>
      <c r="J22" s="16">
        <f>$E38</f>
        <v>0</v>
      </c>
      <c r="K22" s="16">
        <f>$E39</f>
        <v>0</v>
      </c>
      <c r="L22" s="16">
        <f>$E40</f>
        <v>0</v>
      </c>
      <c r="M22" s="16">
        <f>$E41</f>
        <v>6.2132812500000003E-4</v>
      </c>
      <c r="N22" s="16">
        <f>$E42</f>
        <v>0</v>
      </c>
      <c r="O22" s="16">
        <f>$E43</f>
        <v>0</v>
      </c>
      <c r="P22" s="16">
        <f>$E44</f>
        <v>0</v>
      </c>
      <c r="Q22" s="16">
        <f>$E45</f>
        <v>0</v>
      </c>
      <c r="R22" s="16">
        <f>$E46</f>
        <v>6.2132812500000003E-4</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-227.99937867187501</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-227.99937867187501</v>
      </c>
      <c r="N23" s="16">
        <f t="shared" si="3"/>
        <v>-228</v>
      </c>
      <c r="O23" s="16">
        <f t="shared" si="3"/>
        <v>-228</v>
      </c>
      <c r="P23" s="16">
        <f t="shared" si="3"/>
        <v>-228</v>
      </c>
      <c r="Q23" s="16">
        <f t="shared" si="3"/>
        <v>-228</v>
      </c>
      <c r="R23" s="16">
        <f t="shared" si="3"/>
        <v>-227.99937867187501</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15</v>
      </c>
      <c r="C28" s="15">
        <v>1.32</v>
      </c>
      <c r="D28" s="15">
        <v>8.1500000000000003E-2</v>
      </c>
      <c r="E28" s="15">
        <v>2.75E-2</v>
      </c>
      <c r="F28" s="15">
        <v>377</v>
      </c>
      <c r="G28" s="15">
        <v>50.1</v>
      </c>
      <c r="H28" s="15">
        <v>17.3</v>
      </c>
      <c r="I28" s="15">
        <v>2.16</v>
      </c>
      <c r="J28" s="15">
        <v>0.16</v>
      </c>
      <c r="K28" s="23">
        <v>0.34</v>
      </c>
      <c r="L28" s="15">
        <v>12.9</v>
      </c>
      <c r="M28" s="15">
        <v>5.5</v>
      </c>
      <c r="N28" s="15">
        <v>241000</v>
      </c>
      <c r="O28" s="15">
        <v>5900</v>
      </c>
      <c r="P28" s="15"/>
      <c r="Q28" s="15">
        <v>8730</v>
      </c>
      <c r="R28" s="15"/>
      <c r="S28" s="15">
        <v>14.1</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125</v>
      </c>
      <c r="C31" s="77">
        <f>IF(C$27="%w/w SAR",((C$28*10)*$B31),IF(C$27="%w/w DM",(((C$28*10)*($B$28/100))*$B31),IF(C$27="kg/t SAR",(C$28*$B31),IF(C$27="kg/t DM",((C$28*($B$28/100))*$B31),IF(C$27="mg/kg SAR",((C$28*0.001)*$B31),IF(C$27="mg/kg DM",(((C$28*0.001)*($B$28/100))*$B31),0))))))</f>
        <v>247.5</v>
      </c>
      <c r="D31" s="77">
        <f>(IF(D$27="%w/w SAR",((D$28*10)*$B31),IF(D$27="%w/w DM",(((D$28*10)*($B$28/100))*$B31),IF(D$27="kg/t SAR",(D$28*$B31),IF(D$27="kg/t DM",((D$28*($B$28/100))*$B31),IF(D$27="mg/kg SAR",((D$28*0.001)*$B31),IF(D$27="mg/kg DM",(((D$28*0.001)*($B$28/100))*$B31),"0")))))))*2.291</f>
        <v>35.009343749999999</v>
      </c>
      <c r="E31" s="77">
        <f>(IF(E$27="%w/w SAR",((E$28*10)*$B31),IF(E$27="%w/w DM",(((E$28*10)*($B$28/100))*$B31),IF(E$27="kg/t SAR",(E$28*$B31),IF(E$27="kg/t DM",((E$28*($B$28/100))*$B31),IF(E$27="mg/kg SAR",((E$28*0.001)*$B31),IF(E$27="mg/kg DM",(((E$28*0.001)*($B$28/100))*$B31),"0")))))))*1.205</f>
        <v>6.2132812500000003E-4</v>
      </c>
      <c r="F31" s="77">
        <f>(IF(F$27="%w/w SAR",((F$28*10)*$B31),IF(F$27="%w/w DM",(((F$28*10)*($B$28/100))*$B31),IF(F$27="kg/t SAR",(F$28*$B31),IF(F$27="kg/t DM",((F$28*($B$28/100))*$B31),IF(F$27="mg/kg SAR",((F$28*0.001)*$B31),IF(F$27="mg/kg DM",(((F$28*0.001)*($B$28/100))*$B31),"0")))))))*1.658</f>
        <v>11.719987499999998</v>
      </c>
      <c r="G31" s="77">
        <f t="shared" ref="G31:P46" si="5">IF(G$27="%w/w SAR",((G$28*10)*$B31),IF(G$27="%w/w DM",(((G$28*10)*($B$28/100))*$B31),IF(G$27="kg/t SAR",(G$28*$B31),IF(G$27="kg/t DM",((G$28*($B$28/100))*$B31),IF(G$27="mg/kg SAR",((G$28*0.001)*$B31),IF(G$27="mg/kg DM",(((G$28*0.001)*($B$28/100))*$B31),0))))))</f>
        <v>0.93937500000000007</v>
      </c>
      <c r="H31" s="77">
        <f t="shared" si="5"/>
        <v>0.32437499999999997</v>
      </c>
      <c r="I31" s="77">
        <f t="shared" si="5"/>
        <v>4.0500000000000001E-2</v>
      </c>
      <c r="J31" s="77">
        <f t="shared" si="5"/>
        <v>3.0000000000000001E-3</v>
      </c>
      <c r="K31" s="77">
        <f t="shared" si="5"/>
        <v>6.3749999999999996E-3</v>
      </c>
      <c r="L31" s="77">
        <f t="shared" si="5"/>
        <v>0.24187499999999998</v>
      </c>
      <c r="M31" s="77">
        <f t="shared" si="5"/>
        <v>0.10312499999999998</v>
      </c>
      <c r="N31" s="77">
        <f t="shared" si="5"/>
        <v>4518.75</v>
      </c>
      <c r="O31" s="77">
        <f t="shared" si="5"/>
        <v>110.625</v>
      </c>
      <c r="P31" s="77">
        <f t="shared" si="5"/>
        <v>0</v>
      </c>
      <c r="Q31" s="77">
        <f>(IF(Q$27="%w/w SAR",((Q$28*10)*$B31),IF(Q$27="%w/w DM",(((Q$28*10)*($B$28/100))*$B31),IF(Q$27="kg/t SAR",(Q$28*$B31),IF(Q$27="kg/t DM",((Q$28*($B$28/100))*$B31),IF(Q$27="mg/kg SAR",((Q$28*0.001)*$B31),IF(Q$27="mg/kg DM",(((Q$28*0.001)*($B$28/100))*$B31),0)))))))*2.5</f>
        <v>409.21875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0.26437499999999997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125</v>
      </c>
      <c r="C41" s="77">
        <f t="shared" si="6"/>
        <v>247.5</v>
      </c>
      <c r="D41" s="77">
        <f t="shared" si="7"/>
        <v>35.009343749999999</v>
      </c>
      <c r="E41" s="77">
        <f t="shared" si="8"/>
        <v>6.2132812500000003E-4</v>
      </c>
      <c r="F41" s="77">
        <f t="shared" si="9"/>
        <v>11.719987499999998</v>
      </c>
      <c r="G41" s="77">
        <f t="shared" si="5"/>
        <v>0.93937500000000007</v>
      </c>
      <c r="H41" s="77">
        <f t="shared" si="5"/>
        <v>0.32437499999999997</v>
      </c>
      <c r="I41" s="77">
        <f t="shared" si="5"/>
        <v>4.0500000000000001E-2</v>
      </c>
      <c r="J41" s="77">
        <f t="shared" si="5"/>
        <v>3.0000000000000001E-3</v>
      </c>
      <c r="K41" s="77">
        <f t="shared" si="5"/>
        <v>6.3749999999999996E-3</v>
      </c>
      <c r="L41" s="77">
        <f t="shared" si="5"/>
        <v>0.24187499999999998</v>
      </c>
      <c r="M41" s="77">
        <f t="shared" si="5"/>
        <v>0.10312499999999998</v>
      </c>
      <c r="N41" s="77">
        <f t="shared" si="5"/>
        <v>4518.75</v>
      </c>
      <c r="O41" s="77">
        <f t="shared" si="5"/>
        <v>110.625</v>
      </c>
      <c r="P41" s="77">
        <f t="shared" si="5"/>
        <v>0</v>
      </c>
      <c r="Q41" s="77">
        <f t="shared" si="10"/>
        <v>409.21875</v>
      </c>
      <c r="R41" s="77">
        <f t="shared" si="11"/>
        <v>0</v>
      </c>
      <c r="S41" s="77">
        <f t="shared" si="11"/>
        <v>0.26437499999999997</v>
      </c>
      <c r="T41" s="77">
        <f t="shared" si="11"/>
        <v>0</v>
      </c>
      <c r="U41" s="77">
        <f t="shared" si="11"/>
        <v>0</v>
      </c>
      <c r="AB41" s="59"/>
      <c r="AC41" s="59"/>
      <c r="AD41" s="59"/>
      <c r="AE41" s="59"/>
      <c r="AF41" s="59"/>
      <c r="AG41" s="59"/>
      <c r="AH41" s="59"/>
      <c r="AI41" s="59"/>
    </row>
    <row r="42" spans="1:35" s="72" customFormat="1" ht="13" x14ac:dyDescent="0.35">
      <c r="A42" s="13">
        <f>N8</f>
        <v>12</v>
      </c>
      <c r="B42" s="15">
        <v>0</v>
      </c>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0</v>
      </c>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v>0</v>
      </c>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0</v>
      </c>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v>125</v>
      </c>
      <c r="C46" s="77">
        <f t="shared" si="6"/>
        <v>247.5</v>
      </c>
      <c r="D46" s="77">
        <f t="shared" si="7"/>
        <v>35.009343749999999</v>
      </c>
      <c r="E46" s="77">
        <f t="shared" si="8"/>
        <v>6.2132812500000003E-4</v>
      </c>
      <c r="F46" s="77">
        <f t="shared" si="9"/>
        <v>11.719987499999998</v>
      </c>
      <c r="G46" s="77">
        <f t="shared" si="5"/>
        <v>0.93937500000000007</v>
      </c>
      <c r="H46" s="77">
        <f t="shared" si="5"/>
        <v>0.32437499999999997</v>
      </c>
      <c r="I46" s="77">
        <f t="shared" si="5"/>
        <v>4.0500000000000001E-2</v>
      </c>
      <c r="J46" s="77">
        <f t="shared" si="5"/>
        <v>3.0000000000000001E-3</v>
      </c>
      <c r="K46" s="77">
        <f t="shared" si="5"/>
        <v>6.3749999999999996E-3</v>
      </c>
      <c r="L46" s="77">
        <f t="shared" si="5"/>
        <v>0.24187499999999998</v>
      </c>
      <c r="M46" s="77">
        <f t="shared" si="5"/>
        <v>0.10312499999999998</v>
      </c>
      <c r="N46" s="77">
        <f t="shared" si="5"/>
        <v>4518.75</v>
      </c>
      <c r="O46" s="77">
        <f t="shared" si="5"/>
        <v>110.625</v>
      </c>
      <c r="P46" s="77">
        <f t="shared" si="5"/>
        <v>0</v>
      </c>
      <c r="Q46" s="77">
        <f t="shared" si="10"/>
        <v>409.21875</v>
      </c>
      <c r="R46" s="77">
        <f t="shared" si="11"/>
        <v>0</v>
      </c>
      <c r="S46" s="77">
        <f t="shared" si="11"/>
        <v>0.26437499999999997</v>
      </c>
      <c r="T46" s="77">
        <f t="shared" si="11"/>
        <v>0</v>
      </c>
      <c r="U46" s="77">
        <f t="shared" si="11"/>
        <v>0</v>
      </c>
      <c r="AB46" s="59"/>
      <c r="AC46" s="59"/>
      <c r="AD46" s="59"/>
      <c r="AE46" s="59"/>
      <c r="AF46" s="59"/>
      <c r="AG46" s="59"/>
      <c r="AH46" s="59"/>
      <c r="AI46" s="59"/>
    </row>
    <row r="47" spans="1:35" s="72" customFormat="1" ht="13" x14ac:dyDescent="0.35">
      <c r="A47" s="13">
        <f>S8</f>
        <v>22</v>
      </c>
      <c r="B47" s="15">
        <v>0</v>
      </c>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v>0</v>
      </c>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v>0</v>
      </c>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v>0</v>
      </c>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str">
        <f>T16&amp;" I "&amp;(VLOOKUP(T14,Table2458[],6,FALSE))</f>
        <v>Medium/Clay I Grass</v>
      </c>
      <c r="T58" s="13" t="str">
        <f>U16&amp;" I "&amp;(VLOOKUP(U14,Table2458[],6,FALSE))</f>
        <v>Medium/Clay I Grass</v>
      </c>
      <c r="U58" s="13" t="str">
        <f>V16&amp;" I "&amp;(VLOOKUP(V14,Table2458[],6,FALSE))</f>
        <v>Medium/Clay I Grass</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125</v>
      </c>
      <c r="C62" s="77">
        <f>B32</f>
        <v>0</v>
      </c>
      <c r="D62" s="77">
        <f>B33</f>
        <v>0</v>
      </c>
      <c r="E62" s="77">
        <f>B34</f>
        <v>0</v>
      </c>
      <c r="F62" s="77">
        <f>B35</f>
        <v>0</v>
      </c>
      <c r="G62" s="77">
        <f>B36</f>
        <v>0</v>
      </c>
      <c r="H62" s="77">
        <f>B37</f>
        <v>0</v>
      </c>
      <c r="I62" s="77">
        <f>B38</f>
        <v>0</v>
      </c>
      <c r="J62" s="77">
        <f>B39</f>
        <v>0</v>
      </c>
      <c r="K62" s="77">
        <f>B40</f>
        <v>0</v>
      </c>
      <c r="L62" s="77">
        <f>B41</f>
        <v>125</v>
      </c>
      <c r="M62" s="77">
        <f>B42</f>
        <v>0</v>
      </c>
      <c r="N62" s="77">
        <f>B43</f>
        <v>0</v>
      </c>
      <c r="O62" s="77">
        <f>B44</f>
        <v>0</v>
      </c>
      <c r="P62" s="77">
        <f>B45</f>
        <v>0</v>
      </c>
      <c r="Q62" s="77">
        <f>B46</f>
        <v>125</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22</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str">
        <f>O16&amp;" I "&amp;(VLOOKUP(O14,Table24581113[],6,FALSE))</f>
        <v>Medium/Clay I Grass</v>
      </c>
      <c r="O58" s="13" t="str">
        <f>P16&amp;" I "&amp;(VLOOKUP(P14,Table24581113[],6,FALSE))</f>
        <v>Medium/Clay I Grass</v>
      </c>
      <c r="P58" s="13" t="str">
        <f>Q16&amp;" I "&amp;(VLOOKUP(Q14,Table24581113[],6,FALSE))</f>
        <v>Medium/Clay I Grass</v>
      </c>
      <c r="Q58" s="13" t="str">
        <f>R16&amp;" I "&amp;(VLOOKUP(R14,Table24581113[],6,FALSE))</f>
        <v>Medium/Clay I Grass</v>
      </c>
      <c r="R58" s="13" t="str">
        <f>S16&amp;" I "&amp;(VLOOKUP(S14,Table24581113[],6,FALSE))</f>
        <v>Medium/Clay I Grass</v>
      </c>
      <c r="S58" s="13" t="str">
        <f>T16&amp;" I "&amp;(VLOOKUP(T14,Table24581113[],6,FALSE))</f>
        <v>Medium/Clay I Grass</v>
      </c>
      <c r="T58" s="13" t="str">
        <f>U16&amp;" I "&amp;(VLOOKUP(U14,Table24581113[],6,FALSE))</f>
        <v>Medium/Clay I Grass</v>
      </c>
      <c r="U58" s="13" t="str">
        <f>V16&amp;" I "&amp;(VLOOKUP(V14,Table24581113[],6,FALSE))</f>
        <v>Medium/Clay I Grass</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22</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str">
        <f>O16&amp;" I "&amp;(VLOOKUP(O14,Table24567[],6,FALSE))</f>
        <v>Medium/Clay I Grass</v>
      </c>
      <c r="O58" s="13" t="str">
        <f>P16&amp;" I "&amp;(VLOOKUP(P14,Table24567[],6,FALSE))</f>
        <v>Medium/Clay I Grass</v>
      </c>
      <c r="P58" s="13" t="str">
        <f>Q16&amp;" I "&amp;(VLOOKUP(Q14,Table24567[],6,FALSE))</f>
        <v>Medium/Clay I Grass</v>
      </c>
      <c r="Q58" s="13" t="str">
        <f>R16&amp;" I "&amp;(VLOOKUP(R14,Table24567[],6,FALSE))</f>
        <v>Medium/Clay I Grass</v>
      </c>
      <c r="R58" s="13" t="str">
        <f>S16&amp;" I "&amp;(VLOOKUP(S14,Table24567[],6,FALSE))</f>
        <v>Medium/Clay I Grass</v>
      </c>
      <c r="S58" s="13" t="str">
        <f>T16&amp;" I "&amp;(VLOOKUP(T14,Table24567[],6,FALSE))</f>
        <v>Medium/Clay I Grass</v>
      </c>
      <c r="T58" s="13" t="str">
        <f>U16&amp;" I "&amp;(VLOOKUP(U14,Table24567[],6,FALSE))</f>
        <v>Medium/Clay I Grass</v>
      </c>
      <c r="U58" s="13" t="str">
        <f>V16&amp;" I "&amp;(VLOOKUP(V14,Table24567[],6,FALSE))</f>
        <v>Medium/Clay I Grass</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PAN-019301</v>
      </c>
      <c r="D1" s="141"/>
      <c r="E1" s="93" t="s">
        <v>45</v>
      </c>
      <c r="F1" s="39">
        <f>'Field data and Waste 1'!F1</f>
        <v>49.3</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 xml:space="preserve">Byproduct Recovery Ltd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Farchwel, Tal-y-bont, Conwy, LL32 8UY</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15</v>
      </c>
      <c r="Q8" s="60">
        <f>'Field data and Waste 1'!Q8</f>
        <v>16</v>
      </c>
      <c r="R8" s="60">
        <f>'Field data and Waste 1'!R8</f>
        <v>21</v>
      </c>
      <c r="S8" s="60">
        <f>'Field data and Waste 1'!S8</f>
        <v>22</v>
      </c>
      <c r="T8" s="60">
        <f>'Field data and Waste 1'!T8</f>
        <v>23</v>
      </c>
      <c r="U8" s="60">
        <f>'Field data and Waste 1'!U8</f>
        <v>7078</v>
      </c>
      <c r="V8" s="60">
        <f>'Field data and Waste 1'!V8</f>
        <v>7058</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t="str">
        <f>'Field data and Waste 1'!I9</f>
        <v>Moderate</v>
      </c>
      <c r="J9" s="60" t="str">
        <f>'Field data and Waste 1'!J9</f>
        <v>Moderate</v>
      </c>
      <c r="K9" s="60" t="str">
        <f>'Field data and Waste 1'!K9</f>
        <v>Moderate</v>
      </c>
      <c r="L9" s="60" t="str">
        <f>'Field data and Waste 1'!L9</f>
        <v>Moderate</v>
      </c>
      <c r="M9" s="60" t="str">
        <f>'Field data and Waste 1'!M9</f>
        <v>Moderate</v>
      </c>
      <c r="N9" s="60" t="str">
        <f>'Field data and Waste 1'!N9</f>
        <v>Moderate</v>
      </c>
      <c r="O9" s="60" t="str">
        <f>'Field data and Waste 1'!O9</f>
        <v>Moderate</v>
      </c>
      <c r="P9" s="60" t="str">
        <f>'Field data and Waste 1'!P9</f>
        <v>Moderate</v>
      </c>
      <c r="Q9" s="60" t="str">
        <f>'Field data and Waste 1'!Q9</f>
        <v>Moderate</v>
      </c>
      <c r="R9" s="60" t="str">
        <f>'Field data and Waste 1'!R9</f>
        <v>Moderate</v>
      </c>
      <c r="S9" s="60" t="str">
        <f>'Field data and Waste 1'!S9</f>
        <v>Moderate</v>
      </c>
      <c r="T9" s="60" t="str">
        <f>'Field data and Waste 1'!T9</f>
        <v>Moderate</v>
      </c>
      <c r="U9" s="60" t="str">
        <f>'Field data and Waste 1'!U9</f>
        <v>Moderate</v>
      </c>
      <c r="V9" s="60" t="str">
        <f>'Field data and Waste 1'!V9</f>
        <v>Moderate</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6.1</v>
      </c>
      <c r="D10" s="60">
        <f>'Field data and Waste 1'!D10</f>
        <v>5.8</v>
      </c>
      <c r="E10" s="60">
        <f>'Field data and Waste 1'!E10</f>
        <v>5.9</v>
      </c>
      <c r="F10" s="60">
        <f>'Field data and Waste 1'!F10</f>
        <v>5.3</v>
      </c>
      <c r="G10" s="60">
        <f>'Field data and Waste 1'!G10</f>
        <v>5.4</v>
      </c>
      <c r="H10" s="60">
        <f>'Field data and Waste 1'!H10</f>
        <v>5.9</v>
      </c>
      <c r="I10" s="60">
        <f>'Field data and Waste 1'!I10</f>
        <v>5.7</v>
      </c>
      <c r="J10" s="60">
        <f>'Field data and Waste 1'!J10</f>
        <v>5.5</v>
      </c>
      <c r="K10" s="60">
        <f>'Field data and Waste 1'!K10</f>
        <v>5.5</v>
      </c>
      <c r="L10" s="60">
        <f>'Field data and Waste 1'!L10</f>
        <v>5.3</v>
      </c>
      <c r="M10" s="60">
        <f>'Field data and Waste 1'!M10</f>
        <v>6.2</v>
      </c>
      <c r="N10" s="60">
        <f>'Field data and Waste 1'!N10</f>
        <v>5.4</v>
      </c>
      <c r="O10" s="60">
        <f>'Field data and Waste 1'!O10</f>
        <v>5.5</v>
      </c>
      <c r="P10" s="60">
        <f>'Field data and Waste 1'!P10</f>
        <v>5.3</v>
      </c>
      <c r="Q10" s="60">
        <f>'Field data and Waste 1'!Q10</f>
        <v>5.3</v>
      </c>
      <c r="R10" s="60">
        <f>'Field data and Waste 1'!R10</f>
        <v>6.1</v>
      </c>
      <c r="S10" s="60">
        <f>'Field data and Waste 1'!S10</f>
        <v>5.8</v>
      </c>
      <c r="T10" s="60">
        <f>'Field data and Waste 1'!T10</f>
        <v>5.5</v>
      </c>
      <c r="U10" s="60">
        <f>'Field data and Waste 1'!U10</f>
        <v>5.7</v>
      </c>
      <c r="V10" s="60">
        <f>'Field data and Waste 1'!V10</f>
        <v>5.5</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1</v>
      </c>
      <c r="D11" s="60">
        <f>'Field data and Waste 1'!D11</f>
        <v>3</v>
      </c>
      <c r="E11" s="60">
        <f>'Field data and Waste 1'!E11</f>
        <v>3</v>
      </c>
      <c r="F11" s="60">
        <f>'Field data and Waste 1'!F11</f>
        <v>2</v>
      </c>
      <c r="G11" s="60">
        <f>'Field data and Waste 1'!G11</f>
        <v>1</v>
      </c>
      <c r="H11" s="60">
        <f>'Field data and Waste 1'!H11</f>
        <v>1</v>
      </c>
      <c r="I11" s="60">
        <f>'Field data and Waste 1'!I11</f>
        <v>2</v>
      </c>
      <c r="J11" s="60">
        <f>'Field data and Waste 1'!J11</f>
        <v>1</v>
      </c>
      <c r="K11" s="60">
        <f>'Field data and Waste 1'!K11</f>
        <v>2</v>
      </c>
      <c r="L11" s="60">
        <f>'Field data and Waste 1'!L11</f>
        <v>2</v>
      </c>
      <c r="M11" s="60">
        <f>'Field data and Waste 1'!M11</f>
        <v>2</v>
      </c>
      <c r="N11" s="60">
        <f>'Field data and Waste 1'!N11</f>
        <v>3</v>
      </c>
      <c r="O11" s="60">
        <f>'Field data and Waste 1'!O11</f>
        <v>2</v>
      </c>
      <c r="P11" s="60">
        <f>'Field data and Waste 1'!P11</f>
        <v>3</v>
      </c>
      <c r="Q11" s="60">
        <f>'Field data and Waste 1'!Q11</f>
        <v>2</v>
      </c>
      <c r="R11" s="60">
        <f>'Field data and Waste 1'!R11</f>
        <v>1</v>
      </c>
      <c r="S11" s="60">
        <f>'Field data and Waste 1'!S11</f>
        <v>3</v>
      </c>
      <c r="T11" s="60">
        <f>'Field data and Waste 1'!T11</f>
        <v>2</v>
      </c>
      <c r="U11" s="60">
        <f>'Field data and Waste 1'!U11</f>
        <v>1</v>
      </c>
      <c r="V11" s="60">
        <f>'Field data and Waste 1'!V11</f>
        <v>1</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2</v>
      </c>
      <c r="E12" s="60">
        <f>'Field data and Waste 1'!E12</f>
        <v>2</v>
      </c>
      <c r="F12" s="60">
        <f>'Field data and Waste 1'!F12</f>
        <v>1</v>
      </c>
      <c r="G12" s="60">
        <f>'Field data and Waste 1'!G12</f>
        <v>0</v>
      </c>
      <c r="H12" s="60">
        <f>'Field data and Waste 1'!H12</f>
        <v>0</v>
      </c>
      <c r="I12" s="60">
        <f>'Field data and Waste 1'!I12</f>
        <v>2</v>
      </c>
      <c r="J12" s="60">
        <f>'Field data and Waste 1'!J12</f>
        <v>1</v>
      </c>
      <c r="K12" s="60">
        <f>'Field data and Waste 1'!K12</f>
        <v>2</v>
      </c>
      <c r="L12" s="60">
        <f>'Field data and Waste 1'!L12</f>
        <v>1</v>
      </c>
      <c r="M12" s="60">
        <f>'Field data and Waste 1'!M12</f>
        <v>0</v>
      </c>
      <c r="N12" s="60">
        <f>'Field data and Waste 1'!N12</f>
        <v>0</v>
      </c>
      <c r="O12" s="60">
        <f>'Field data and Waste 1'!O12</f>
        <v>0</v>
      </c>
      <c r="P12" s="60">
        <f>'Field data and Waste 1'!P12</f>
        <v>2</v>
      </c>
      <c r="Q12" s="60">
        <f>'Field data and Waste 1'!Q12</f>
        <v>2</v>
      </c>
      <c r="R12" s="60">
        <f>'Field data and Waste 1'!R12</f>
        <v>2</v>
      </c>
      <c r="S12" s="60">
        <f>'Field data and Waste 1'!S12</f>
        <v>2</v>
      </c>
      <c r="T12" s="60">
        <f>'Field data and Waste 1'!T12</f>
        <v>2</v>
      </c>
      <c r="U12" s="60">
        <f>'Field data and Waste 1'!U12</f>
        <v>1</v>
      </c>
      <c r="V12" s="60">
        <f>'Field data and Waste 1'!V12</f>
        <v>1</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1</v>
      </c>
      <c r="D13" s="60">
        <f>'Field data and Waste 1'!D13</f>
        <v>2</v>
      </c>
      <c r="E13" s="60">
        <f>'Field data and Waste 1'!E13</f>
        <v>2</v>
      </c>
      <c r="F13" s="60">
        <f>'Field data and Waste 1'!F13</f>
        <v>2</v>
      </c>
      <c r="G13" s="60">
        <f>'Field data and Waste 1'!G13</f>
        <v>2</v>
      </c>
      <c r="H13" s="60">
        <f>'Field data and Waste 1'!H13</f>
        <v>2</v>
      </c>
      <c r="I13" s="60">
        <f>'Field data and Waste 1'!I13</f>
        <v>1</v>
      </c>
      <c r="J13" s="60">
        <f>'Field data and Waste 1'!J13</f>
        <v>2</v>
      </c>
      <c r="K13" s="60">
        <f>'Field data and Waste 1'!K13</f>
        <v>2</v>
      </c>
      <c r="L13" s="60">
        <f>'Field data and Waste 1'!L13</f>
        <v>2</v>
      </c>
      <c r="M13" s="60">
        <f>'Field data and Waste 1'!M13</f>
        <v>1</v>
      </c>
      <c r="N13" s="60">
        <f>'Field data and Waste 1'!N13</f>
        <v>1</v>
      </c>
      <c r="O13" s="60">
        <f>'Field data and Waste 1'!O13</f>
        <v>2</v>
      </c>
      <c r="P13" s="60">
        <f>'Field data and Waste 1'!P13</f>
        <v>2</v>
      </c>
      <c r="Q13" s="60">
        <f>'Field data and Waste 1'!Q13</f>
        <v>2</v>
      </c>
      <c r="R13" s="60">
        <f>'Field data and Waste 1'!R13</f>
        <v>2</v>
      </c>
      <c r="S13" s="60">
        <f>'Field data and Waste 1'!S13</f>
        <v>2</v>
      </c>
      <c r="T13" s="60">
        <f>'Field data and Waste 1'!T13</f>
        <v>2</v>
      </c>
      <c r="U13" s="60">
        <f>'Field data and Waste 1'!U13</f>
        <v>2</v>
      </c>
      <c r="V13" s="60">
        <f>'Field data and Waste 1'!V13</f>
        <v>2</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t="str">
        <f>'Field data and Waste 1'!R16</f>
        <v>Medium/Clay</v>
      </c>
      <c r="S16" s="103" t="str">
        <f>'Field data and Waste 1'!S16</f>
        <v>Medium/Clay</v>
      </c>
      <c r="T16" s="103" t="str">
        <f>'Field data and Waste 1'!T16</f>
        <v>Medium/Clay</v>
      </c>
      <c r="U16" s="103" t="str">
        <f>'Field data and Waste 1'!U16</f>
        <v>Medium/Clay</v>
      </c>
      <c r="V16" s="103" t="str">
        <f>'Field data and Waste 1'!V16</f>
        <v>Medium/Clay</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15</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21</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22</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23</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7078</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7058</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15</v>
      </c>
      <c r="P57" s="8">
        <f t="shared" si="13"/>
        <v>16</v>
      </c>
      <c r="Q57" s="8">
        <f t="shared" si="13"/>
        <v>21</v>
      </c>
      <c r="R57" s="8">
        <f t="shared" si="13"/>
        <v>22</v>
      </c>
      <c r="S57" s="8">
        <f t="shared" si="13"/>
        <v>23</v>
      </c>
      <c r="T57" s="8">
        <f t="shared" si="13"/>
        <v>7078</v>
      </c>
      <c r="U57" s="8">
        <f t="shared" si="13"/>
        <v>7058</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str">
        <f>N16&amp;" I "&amp;(VLOOKUP(N14,Table2456[],6,FALSE))</f>
        <v>Medium/Clay I Grass</v>
      </c>
      <c r="N58" s="13" t="str">
        <f>O16&amp;" I "&amp;(VLOOKUP(O14,Table2456[],6,FALSE))</f>
        <v>Medium/Clay I Grass</v>
      </c>
      <c r="O58" s="13" t="str">
        <f>P16&amp;" I "&amp;(VLOOKUP(P14,Table2456[],6,FALSE))</f>
        <v>Medium/Clay I Grass</v>
      </c>
      <c r="P58" s="13" t="str">
        <f>Q16&amp;" I "&amp;(VLOOKUP(Q14,Table2456[],6,FALSE))</f>
        <v>Medium/Clay I Grass</v>
      </c>
      <c r="Q58" s="13" t="str">
        <f>R16&amp;" I "&amp;(VLOOKUP(R14,Table2456[],6,FALSE))</f>
        <v>Medium/Clay I Grass</v>
      </c>
      <c r="R58" s="13" t="str">
        <f>S16&amp;" I "&amp;(VLOOKUP(S14,Table2456[],6,FALSE))</f>
        <v>Medium/Clay I Grass</v>
      </c>
      <c r="S58" s="13" t="str">
        <f>T16&amp;" I "&amp;(VLOOKUP(T14,Table2456[],6,FALSE))</f>
        <v>Medium/Clay I Grass</v>
      </c>
      <c r="T58" s="13" t="str">
        <f>U16&amp;" I "&amp;(VLOOKUP(U14,Table2456[],6,FALSE))</f>
        <v>Medium/Clay I Grass</v>
      </c>
      <c r="U58" s="13" t="str">
        <f>V16&amp;" I "&amp;(VLOOKUP(V14,Table2456[],6,FALSE))</f>
        <v>Medium/Clay I Grass</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ht="13" x14ac:dyDescent="0.3">
      <c r="A60" s="111" t="s">
        <v>4</v>
      </c>
      <c r="B60" s="76">
        <f>C10</f>
        <v>6.1</v>
      </c>
      <c r="C60" s="76">
        <f t="shared" ref="C60:U60" si="14">D10</f>
        <v>5.8</v>
      </c>
      <c r="D60" s="76">
        <f t="shared" si="14"/>
        <v>5.9</v>
      </c>
      <c r="E60" s="76">
        <f t="shared" si="14"/>
        <v>5.3</v>
      </c>
      <c r="F60" s="76">
        <f t="shared" si="14"/>
        <v>5.4</v>
      </c>
      <c r="G60" s="76">
        <f t="shared" si="14"/>
        <v>5.9</v>
      </c>
      <c r="H60" s="76">
        <f t="shared" si="14"/>
        <v>5.7</v>
      </c>
      <c r="I60" s="76">
        <f t="shared" si="14"/>
        <v>5.5</v>
      </c>
      <c r="J60" s="76">
        <f t="shared" si="14"/>
        <v>5.5</v>
      </c>
      <c r="K60" s="76">
        <f t="shared" si="14"/>
        <v>5.3</v>
      </c>
      <c r="L60" s="76">
        <f t="shared" si="14"/>
        <v>6.2</v>
      </c>
      <c r="M60" s="76">
        <f t="shared" si="14"/>
        <v>5.4</v>
      </c>
      <c r="N60" s="76">
        <f t="shared" si="14"/>
        <v>5.5</v>
      </c>
      <c r="O60" s="76">
        <f t="shared" si="14"/>
        <v>5.3</v>
      </c>
      <c r="P60" s="76">
        <f t="shared" si="14"/>
        <v>5.3</v>
      </c>
      <c r="Q60" s="76">
        <f t="shared" si="14"/>
        <v>6.1</v>
      </c>
      <c r="R60" s="76">
        <f t="shared" si="14"/>
        <v>5.8</v>
      </c>
      <c r="S60" s="76">
        <f t="shared" si="14"/>
        <v>5.5</v>
      </c>
      <c r="T60" s="76">
        <f t="shared" si="14"/>
        <v>5.7</v>
      </c>
      <c r="U60" s="76">
        <f t="shared" si="14"/>
        <v>5.5</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f t="shared" si="15"/>
        <v>6</v>
      </c>
      <c r="P61" s="76">
        <f t="shared" si="15"/>
        <v>6</v>
      </c>
      <c r="Q61" s="76">
        <f t="shared" si="15"/>
        <v>6</v>
      </c>
      <c r="R61" s="76">
        <f t="shared" si="15"/>
        <v>6</v>
      </c>
      <c r="S61" s="76">
        <f t="shared" si="15"/>
        <v>6</v>
      </c>
      <c r="T61" s="76">
        <f t="shared" si="15"/>
        <v>6</v>
      </c>
      <c r="U61" s="76">
        <f t="shared" si="15"/>
        <v>6</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2.4000000000000021</v>
      </c>
      <c r="D64" s="77">
        <f t="shared" si="17"/>
        <v>1.7999999999999989</v>
      </c>
      <c r="E64" s="77">
        <f t="shared" si="17"/>
        <v>5.4000000000000021</v>
      </c>
      <c r="F64" s="77">
        <f t="shared" si="17"/>
        <v>4.7999999999999989</v>
      </c>
      <c r="G64" s="77">
        <f t="shared" si="17"/>
        <v>1.7999999999999989</v>
      </c>
      <c r="H64" s="77">
        <f t="shared" si="17"/>
        <v>3</v>
      </c>
      <c r="I64" s="77">
        <f t="shared" si="17"/>
        <v>4.2000000000000011</v>
      </c>
      <c r="J64" s="77">
        <f t="shared" si="17"/>
        <v>4.2000000000000011</v>
      </c>
      <c r="K64" s="77">
        <f t="shared" si="17"/>
        <v>5.4000000000000021</v>
      </c>
      <c r="L64" s="77">
        <f t="shared" si="17"/>
        <v>0</v>
      </c>
      <c r="M64" s="77">
        <f t="shared" si="17"/>
        <v>4.7999999999999989</v>
      </c>
      <c r="N64" s="77">
        <f t="shared" si="17"/>
        <v>4.2000000000000011</v>
      </c>
      <c r="O64" s="77">
        <f t="shared" si="17"/>
        <v>5.4000000000000021</v>
      </c>
      <c r="P64" s="77">
        <f t="shared" si="17"/>
        <v>5.4000000000000021</v>
      </c>
      <c r="Q64" s="77">
        <f t="shared" si="17"/>
        <v>0.6000000000000032</v>
      </c>
      <c r="R64" s="77">
        <f t="shared" si="17"/>
        <v>2.4000000000000021</v>
      </c>
      <c r="S64" s="77">
        <f t="shared" si="17"/>
        <v>4.2000000000000011</v>
      </c>
      <c r="T64" s="77">
        <f t="shared" si="17"/>
        <v>3</v>
      </c>
      <c r="U64" s="77">
        <f t="shared" si="17"/>
        <v>4.2000000000000011</v>
      </c>
    </row>
    <row r="65" spans="1:21" s="19" customFormat="1" ht="52" x14ac:dyDescent="0.3">
      <c r="A65" s="112" t="s">
        <v>157</v>
      </c>
      <c r="B65" s="77">
        <f>B63-B64</f>
        <v>-0.6000000000000032</v>
      </c>
      <c r="C65" s="77">
        <f t="shared" ref="C65:U65" si="18">C63-C64</f>
        <v>-2.4000000000000021</v>
      </c>
      <c r="D65" s="77">
        <f t="shared" si="18"/>
        <v>-1.7999999999999989</v>
      </c>
      <c r="E65" s="77">
        <f t="shared" si="18"/>
        <v>-5.4000000000000021</v>
      </c>
      <c r="F65" s="77">
        <f t="shared" si="18"/>
        <v>-4.7999999999999989</v>
      </c>
      <c r="G65" s="77">
        <f t="shared" si="18"/>
        <v>-1.7999999999999989</v>
      </c>
      <c r="H65" s="77">
        <f t="shared" si="18"/>
        <v>-3</v>
      </c>
      <c r="I65" s="77">
        <f t="shared" si="18"/>
        <v>-4.2000000000000011</v>
      </c>
      <c r="J65" s="77">
        <f t="shared" si="18"/>
        <v>-4.2000000000000011</v>
      </c>
      <c r="K65" s="77">
        <f t="shared" si="18"/>
        <v>-5.4000000000000021</v>
      </c>
      <c r="L65" s="77">
        <f t="shared" si="18"/>
        <v>0</v>
      </c>
      <c r="M65" s="77">
        <f t="shared" si="18"/>
        <v>-4.7999999999999989</v>
      </c>
      <c r="N65" s="77">
        <f t="shared" si="18"/>
        <v>-4.2000000000000011</v>
      </c>
      <c r="O65" s="77">
        <f t="shared" si="18"/>
        <v>-5.4000000000000021</v>
      </c>
      <c r="P65" s="77">
        <f t="shared" si="18"/>
        <v>-5.4000000000000021</v>
      </c>
      <c r="Q65" s="77">
        <f t="shared" si="18"/>
        <v>-0.6000000000000032</v>
      </c>
      <c r="R65" s="77">
        <f t="shared" si="18"/>
        <v>-2.4000000000000021</v>
      </c>
      <c r="S65" s="77">
        <f t="shared" si="18"/>
        <v>-4.2000000000000011</v>
      </c>
      <c r="T65" s="77">
        <f t="shared" si="18"/>
        <v>-3</v>
      </c>
      <c r="U65" s="77">
        <f t="shared" si="18"/>
        <v>-4.2000000000000011</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str">
        <f t="shared" si="19"/>
        <v>OVER</v>
      </c>
      <c r="M66" s="78" t="str">
        <f t="shared" si="19"/>
        <v>UNDER</v>
      </c>
      <c r="N66" s="78" t="str">
        <f t="shared" si="19"/>
        <v>UNDER</v>
      </c>
      <c r="O66" s="78" t="str">
        <f t="shared" si="19"/>
        <v>UNDER</v>
      </c>
      <c r="P66" s="78" t="str">
        <f t="shared" si="19"/>
        <v>UNDER</v>
      </c>
      <c r="Q66" s="78" t="str">
        <f t="shared" si="19"/>
        <v>UNDER</v>
      </c>
      <c r="R66" s="78" t="str">
        <f t="shared" si="19"/>
        <v>UNDER</v>
      </c>
      <c r="S66" s="78" t="str">
        <f t="shared" si="19"/>
        <v>UNDER</v>
      </c>
      <c r="T66" s="78" t="str">
        <f t="shared" si="19"/>
        <v>UNDER</v>
      </c>
      <c r="U66" s="78" t="str">
        <f t="shared" si="19"/>
        <v>UNDER</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250</v>
      </c>
      <c r="C3" s="33">
        <f>'Field data and Waste 1'!C31</f>
        <v>47.16749999999999</v>
      </c>
      <c r="D3" s="33">
        <f>'Field data and Waste 1'!D31</f>
        <v>4.5878420499999999</v>
      </c>
      <c r="E3" s="33">
        <f>'Field data and Waste 1'!E31</f>
        <v>8.6750962499999997E-5</v>
      </c>
      <c r="F3" s="33">
        <f>'Field data and Waste 1'!F31</f>
        <v>3.7181064500000001</v>
      </c>
      <c r="G3" s="33">
        <f>'Field data and Waste 1'!G31</f>
        <v>6.4544999999999991E-2</v>
      </c>
      <c r="H3" s="33">
        <f>'Field data and Waste 1'!H31</f>
        <v>1.1998749999999998</v>
      </c>
      <c r="I3" s="33">
        <f>'Field data and Waste 1'!I31</f>
        <v>0.2192875</v>
      </c>
      <c r="J3" s="33">
        <f>'Field data and Waste 1'!J31</f>
        <v>6.1234999999999987E-3</v>
      </c>
      <c r="K3" s="33">
        <f>'Field data and Waste 1'!K31</f>
        <v>5.0477499999999993E-3</v>
      </c>
      <c r="L3" s="33">
        <f>'Field data and Waste 1'!L31</f>
        <v>0.35747999999999996</v>
      </c>
      <c r="M3" s="33">
        <f>'Field data and Waste 1'!M31</f>
        <v>8.0184749999999985E-2</v>
      </c>
      <c r="N3" s="33">
        <f>'Field data and Waste 1'!N31</f>
        <v>22.342500000000001</v>
      </c>
      <c r="O3" s="33">
        <f>'Field data and Waste 1'!O31</f>
        <v>3872.6999999999994</v>
      </c>
      <c r="P3" s="33">
        <f>'Field data and Waste 1'!P31</f>
        <v>0</v>
      </c>
      <c r="Q3" s="33">
        <f>'Field data and Waste 1'!Q31</f>
        <v>123.50437499999998</v>
      </c>
      <c r="R3" s="33">
        <f>'Field data and Waste 1'!R31</f>
        <v>0</v>
      </c>
      <c r="S3" s="33">
        <f>'Field data and Waste 1'!S31</f>
        <v>9.5162499999999983E-2</v>
      </c>
      <c r="T3" s="33">
        <f>'Field data and Waste 1'!T31</f>
        <v>0</v>
      </c>
      <c r="U3" s="33">
        <f>'Field data and Waste 1'!U31</f>
        <v>0</v>
      </c>
    </row>
    <row r="4" spans="1:21" x14ac:dyDescent="0.25">
      <c r="A4" s="36">
        <v>2</v>
      </c>
      <c r="B4" s="33">
        <f>'Waste 2'!B31</f>
        <v>250</v>
      </c>
      <c r="C4" s="33">
        <f>'Waste 2'!C31</f>
        <v>125.31499999999998</v>
      </c>
      <c r="D4" s="33">
        <f>'Waste 2'!D31</f>
        <v>9.2194422000000014</v>
      </c>
      <c r="E4" s="33">
        <f>'Waste 2'!E31</f>
        <v>1.9630594750000001E-4</v>
      </c>
      <c r="F4" s="33">
        <f>'Waste 2'!F31</f>
        <v>17.382637799999998</v>
      </c>
      <c r="G4" s="33">
        <f>'Waste 2'!G31</f>
        <v>0.54538500000000001</v>
      </c>
      <c r="H4" s="33">
        <f>'Waste 2'!H31</f>
        <v>8.7367499999999989</v>
      </c>
      <c r="I4" s="33">
        <f>'Waste 2'!I31</f>
        <v>0.79601499999999992</v>
      </c>
      <c r="J4" s="33">
        <f>'Waste 2'!J31</f>
        <v>3.3534999999999995E-2</v>
      </c>
      <c r="K4" s="33">
        <f>'Waste 2'!K31</f>
        <v>5.1184999999999998E-3</v>
      </c>
      <c r="L4" s="33">
        <f>'Waste 2'!L31</f>
        <v>0.4394849999999999</v>
      </c>
      <c r="M4" s="33">
        <f>'Waste 2'!M31</f>
        <v>0.192385</v>
      </c>
      <c r="N4" s="33">
        <f>'Waste 2'!N31</f>
        <v>85.778999999999996</v>
      </c>
      <c r="O4" s="33">
        <f>'Waste 2'!O31</f>
        <v>7818.9499999999989</v>
      </c>
      <c r="P4" s="33">
        <f>'Waste 2'!P31</f>
        <v>0</v>
      </c>
      <c r="Q4" s="33">
        <f>'Waste 2'!Q31</f>
        <v>90.014999999999986</v>
      </c>
      <c r="R4" s="33">
        <f>'Waste 2'!R31</f>
        <v>0</v>
      </c>
      <c r="S4" s="33">
        <f>'Waste 2'!S31</f>
        <v>0.18179500000000001</v>
      </c>
      <c r="T4" s="33">
        <f>'Waste 2'!T31</f>
        <v>0</v>
      </c>
      <c r="U4" s="33">
        <f>'Waste 2'!U31</f>
        <v>0</v>
      </c>
    </row>
    <row r="5" spans="1:21" x14ac:dyDescent="0.25">
      <c r="A5" s="36">
        <v>3</v>
      </c>
      <c r="B5" s="33">
        <f>'Waste 3'!B31</f>
        <v>185</v>
      </c>
      <c r="C5" s="33">
        <f>'Waste 3'!C31</f>
        <v>83.516400000000004</v>
      </c>
      <c r="D5" s="33">
        <f>'Waste 3'!D31</f>
        <v>63.955853829999988</v>
      </c>
      <c r="E5" s="33">
        <f>'Waste 3'!E31</f>
        <v>1.6027415800000001E-4</v>
      </c>
      <c r="F5" s="33">
        <f>'Waste 3'!F31</f>
        <v>5.7439486719999993</v>
      </c>
      <c r="G5" s="33">
        <f>'Waste 3'!G31</f>
        <v>0.54053669999999998</v>
      </c>
      <c r="H5" s="33">
        <f>'Waste 3'!H31</f>
        <v>1.7940559999999999</v>
      </c>
      <c r="I5" s="33">
        <f>'Waste 3'!I31</f>
        <v>4.7944600000000004E-2</v>
      </c>
      <c r="J5" s="33">
        <f>'Waste 3'!J31</f>
        <v>4.2531499999999998E-3</v>
      </c>
      <c r="K5" s="33">
        <f>'Waste 3'!K31</f>
        <v>3.7118400000000001E-3</v>
      </c>
      <c r="L5" s="33">
        <f>'Waste 3'!L31</f>
        <v>0.14074059999999999</v>
      </c>
      <c r="M5" s="33">
        <f>'Waste 3'!M31</f>
        <v>3.3251899999999994E-2</v>
      </c>
      <c r="N5" s="33">
        <f>'Waste 3'!N31</f>
        <v>1430.605</v>
      </c>
      <c r="O5" s="33">
        <f>'Waste 3'!O31</f>
        <v>54.053669999999997</v>
      </c>
      <c r="P5" s="33">
        <f>'Waste 3'!P31</f>
        <v>0</v>
      </c>
      <c r="Q5" s="33">
        <f>'Waste 3'!Q31</f>
        <v>190.42512499999998</v>
      </c>
      <c r="R5" s="33">
        <f>'Waste 3'!R31</f>
        <v>0</v>
      </c>
      <c r="S5" s="33">
        <f>'Waste 3'!S31</f>
        <v>0.22967009999999999</v>
      </c>
      <c r="T5" s="33">
        <f>'Waste 3'!T31</f>
        <v>0</v>
      </c>
      <c r="U5" s="33">
        <f>'Waste 3'!U31</f>
        <v>0</v>
      </c>
    </row>
    <row r="6" spans="1:21" x14ac:dyDescent="0.25">
      <c r="A6" s="36">
        <v>4</v>
      </c>
      <c r="B6" s="33">
        <f>'Waste 4'!B31</f>
        <v>250</v>
      </c>
      <c r="C6" s="33">
        <f>'Waste 4'!C31</f>
        <v>122.26499999999999</v>
      </c>
      <c r="D6" s="33">
        <f>'Waste 4'!D31</f>
        <v>61.049422499999991</v>
      </c>
      <c r="E6" s="33">
        <f>'Waste 4'!E31</f>
        <v>3.4502765000000003E-4</v>
      </c>
      <c r="F6" s="33">
        <f>'Waste 4'!F31</f>
        <v>15.437555099999999</v>
      </c>
      <c r="G6" s="33">
        <f>'Waste 4'!G31</f>
        <v>0.29260000000000003</v>
      </c>
      <c r="H6" s="33">
        <f>'Waste 4'!H31</f>
        <v>0.93945500000000004</v>
      </c>
      <c r="I6" s="33">
        <f>'Waste 4'!I31</f>
        <v>6.4790000000000014E-2</v>
      </c>
      <c r="J6" s="33">
        <f>'Waste 4'!J31</f>
        <v>4.2844999999999992E-3</v>
      </c>
      <c r="K6" s="33">
        <f>'Waste 4'!K31</f>
        <v>5.6430000000000004E-3</v>
      </c>
      <c r="L6" s="33">
        <f>'Waste 4'!L31</f>
        <v>0.22780999999999998</v>
      </c>
      <c r="M6" s="33">
        <f>'Waste 4'!M31</f>
        <v>6.9074500000000011E-2</v>
      </c>
      <c r="N6" s="33">
        <f>'Waste 4'!N31</f>
        <v>0</v>
      </c>
      <c r="O6" s="33">
        <f>'Waste 4'!O31</f>
        <v>0</v>
      </c>
      <c r="P6" s="33">
        <f>'Waste 4'!P31</f>
        <v>0</v>
      </c>
      <c r="Q6" s="33">
        <f>'Waste 4'!Q31</f>
        <v>342.23749999999995</v>
      </c>
      <c r="R6" s="33">
        <f>'Waste 4'!R31</f>
        <v>0</v>
      </c>
      <c r="S6" s="33">
        <f>'Waste 4'!S31</f>
        <v>0.16092999999999999</v>
      </c>
      <c r="T6" s="33">
        <f>'Waste 4'!T31</f>
        <v>0</v>
      </c>
      <c r="U6" s="33">
        <f>'Waste 4'!U31</f>
        <v>0</v>
      </c>
    </row>
    <row r="7" spans="1:21" x14ac:dyDescent="0.25">
      <c r="A7" s="36">
        <v>5</v>
      </c>
      <c r="B7" s="33">
        <f>'Waste 5'!B31</f>
        <v>250</v>
      </c>
      <c r="C7" s="33">
        <f>'Waste 5'!C31</f>
        <v>27.5625</v>
      </c>
      <c r="D7" s="33">
        <f>'Waste 5'!D31</f>
        <v>19.184261250000002</v>
      </c>
      <c r="E7" s="33">
        <f>'Waste 5'!E31</f>
        <v>4.3651125000000001E-5</v>
      </c>
      <c r="F7" s="33">
        <f>'Waste 5'!F31</f>
        <v>1.1054715000000002</v>
      </c>
      <c r="G7" s="33">
        <f>'Waste 5'!G31</f>
        <v>7.7175000000000007E-2</v>
      </c>
      <c r="H7" s="33">
        <f>'Waste 5'!H31</f>
        <v>1.582875</v>
      </c>
      <c r="I7" s="33">
        <f>'Waste 5'!I31</f>
        <v>1.6275000000000001E-2</v>
      </c>
      <c r="J7" s="33">
        <f>'Waste 5'!J31</f>
        <v>7.8750000000000001E-3</v>
      </c>
      <c r="K7" s="33">
        <f>'Waste 5'!K31</f>
        <v>1.60125E-3</v>
      </c>
      <c r="L7" s="33">
        <f>'Waste 5'!L31</f>
        <v>7.0349999999999996E-2</v>
      </c>
      <c r="M7" s="33">
        <f>'Waste 5'!M31</f>
        <v>1.1287500000000001E-2</v>
      </c>
      <c r="N7" s="33">
        <f>'Waste 5'!N31</f>
        <v>430.50000000000006</v>
      </c>
      <c r="O7" s="33">
        <f>'Waste 5'!O31</f>
        <v>9.4499999999999993</v>
      </c>
      <c r="P7" s="33">
        <f>'Waste 5'!P31</f>
        <v>0</v>
      </c>
      <c r="Q7" s="33">
        <f>'Waste 5'!Q31</f>
        <v>51.1875</v>
      </c>
      <c r="R7" s="33">
        <f>'Waste 5'!R31</f>
        <v>0</v>
      </c>
      <c r="S7" s="33">
        <f>'Waste 5'!S31</f>
        <v>4.6987500000000001E-2</v>
      </c>
      <c r="T7" s="33">
        <f>'Waste 5'!T31</f>
        <v>0</v>
      </c>
      <c r="U7" s="33">
        <f>'Waste 5'!U31</f>
        <v>0</v>
      </c>
    </row>
    <row r="8" spans="1:21" x14ac:dyDescent="0.25">
      <c r="A8" s="36">
        <v>6</v>
      </c>
      <c r="B8" s="33">
        <f>'Waste 6'!B31</f>
        <v>43</v>
      </c>
      <c r="C8" s="33">
        <f>'Waste 6'!C31</f>
        <v>245.09999999999997</v>
      </c>
      <c r="D8" s="33">
        <f>'Waste 6'!D31</f>
        <v>72.801107000000002</v>
      </c>
      <c r="E8" s="33">
        <f>'Waste 6'!E31</f>
        <v>47.307095000000004</v>
      </c>
      <c r="F8" s="33">
        <f>'Waste 6'!F31</f>
        <v>8.4839859999999998</v>
      </c>
      <c r="G8" s="33">
        <f>'Waste 6'!G31</f>
        <v>3.4701000000000004</v>
      </c>
      <c r="H8" s="33">
        <f>'Waste 6'!H31</f>
        <v>5.7620000000000005E-2</v>
      </c>
      <c r="I8" s="33">
        <f>'Waste 6'!I31</f>
        <v>2.1500000000000002E-2</v>
      </c>
      <c r="J8" s="33">
        <f>'Waste 6'!J31</f>
        <v>4.3000000000000004E-4</v>
      </c>
      <c r="K8" s="33">
        <f>'Waste 6'!K31</f>
        <v>2.15E-3</v>
      </c>
      <c r="L8" s="33">
        <f>'Waste 6'!L31</f>
        <v>8.6E-3</v>
      </c>
      <c r="M8" s="33">
        <f>'Waste 6'!M31</f>
        <v>8.6E-3</v>
      </c>
      <c r="N8" s="33">
        <f>'Waste 6'!N31</f>
        <v>0</v>
      </c>
      <c r="O8" s="33">
        <f>'Waste 6'!O31</f>
        <v>0</v>
      </c>
      <c r="P8" s="33">
        <f>'Waste 6'!P31</f>
        <v>1.3501999999999998</v>
      </c>
      <c r="Q8" s="33">
        <f>'Waste 6'!Q31</f>
        <v>37.625</v>
      </c>
      <c r="R8" s="33">
        <f>'Waste 6'!R31</f>
        <v>8.6000000000000009E-4</v>
      </c>
      <c r="S8" s="33">
        <f>'Waste 6'!S31</f>
        <v>2.1500000000000002E-2</v>
      </c>
      <c r="T8" s="33">
        <f>'Waste 6'!T31</f>
        <v>2.15E-3</v>
      </c>
      <c r="U8" s="33">
        <f>'Waste 6'!U31</f>
        <v>0.43</v>
      </c>
    </row>
    <row r="9" spans="1:21" x14ac:dyDescent="0.25">
      <c r="A9" s="36">
        <v>7</v>
      </c>
      <c r="B9" s="33">
        <f>'Waste 7'!B31</f>
        <v>125</v>
      </c>
      <c r="C9" s="33">
        <f>'Waste 7'!C31</f>
        <v>247.5</v>
      </c>
      <c r="D9" s="33">
        <f>'Waste 7'!D31</f>
        <v>35.009343749999999</v>
      </c>
      <c r="E9" s="33">
        <f>'Waste 7'!E31</f>
        <v>6.2132812500000003E-4</v>
      </c>
      <c r="F9" s="33">
        <f>'Waste 7'!F31</f>
        <v>11.719987499999998</v>
      </c>
      <c r="G9" s="33">
        <f>'Waste 7'!G31</f>
        <v>0.93937500000000007</v>
      </c>
      <c r="H9" s="33">
        <f>'Waste 7'!H31</f>
        <v>0.32437499999999997</v>
      </c>
      <c r="I9" s="33">
        <f>'Waste 7'!I31</f>
        <v>4.0500000000000001E-2</v>
      </c>
      <c r="J9" s="33">
        <f>'Waste 7'!J31</f>
        <v>3.0000000000000001E-3</v>
      </c>
      <c r="K9" s="33">
        <f>'Waste 7'!K31</f>
        <v>6.3749999999999996E-3</v>
      </c>
      <c r="L9" s="33">
        <f>'Waste 7'!L31</f>
        <v>0.24187499999999998</v>
      </c>
      <c r="M9" s="33">
        <f>'Waste 7'!M31</f>
        <v>0.10312499999999998</v>
      </c>
      <c r="N9" s="33">
        <f>'Waste 7'!N31</f>
        <v>4518.75</v>
      </c>
      <c r="O9" s="33">
        <f>'Waste 7'!O31</f>
        <v>110.625</v>
      </c>
      <c r="P9" s="33">
        <f>'Waste 7'!P31</f>
        <v>0</v>
      </c>
      <c r="Q9" s="33">
        <f>'Waste 7'!Q31</f>
        <v>409.21875</v>
      </c>
      <c r="R9" s="33">
        <f>'Waste 7'!R31</f>
        <v>0</v>
      </c>
      <c r="S9" s="33">
        <f>'Waste 7'!S31</f>
        <v>0.26437499999999997</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1353</v>
      </c>
      <c r="C13" s="81">
        <f t="shared" ref="C13:U13" si="0">SUM(C3:C12)</f>
        <v>898.42639999999983</v>
      </c>
      <c r="D13" s="81">
        <f t="shared" si="0"/>
        <v>265.80727257999996</v>
      </c>
      <c r="E13" s="81">
        <f t="shared" si="0"/>
        <v>47.308548337968006</v>
      </c>
      <c r="F13" s="81">
        <f t="shared" si="0"/>
        <v>63.591693022000001</v>
      </c>
      <c r="G13" s="81">
        <f t="shared" si="0"/>
        <v>5.9297167000000002</v>
      </c>
      <c r="H13" s="81">
        <f t="shared" si="0"/>
        <v>14.635005999999999</v>
      </c>
      <c r="I13" s="81">
        <f t="shared" si="0"/>
        <v>1.2063120999999999</v>
      </c>
      <c r="J13" s="81">
        <f t="shared" si="0"/>
        <v>5.9501149999999989E-2</v>
      </c>
      <c r="K13" s="81">
        <f t="shared" si="0"/>
        <v>2.9647339999999994E-2</v>
      </c>
      <c r="L13" s="81">
        <f t="shared" si="0"/>
        <v>1.4863405999999999</v>
      </c>
      <c r="M13" s="81">
        <f t="shared" si="0"/>
        <v>0.49790864999999995</v>
      </c>
      <c r="N13" s="81">
        <f t="shared" si="0"/>
        <v>6487.9764999999998</v>
      </c>
      <c r="O13" s="81">
        <f t="shared" si="0"/>
        <v>11865.778669999998</v>
      </c>
      <c r="P13" s="81">
        <f t="shared" si="0"/>
        <v>1.3501999999999998</v>
      </c>
      <c r="Q13" s="81">
        <f t="shared" si="0"/>
        <v>1244.2132499999998</v>
      </c>
      <c r="R13" s="81">
        <f t="shared" si="0"/>
        <v>8.6000000000000009E-4</v>
      </c>
      <c r="S13" s="81">
        <f t="shared" si="0"/>
        <v>1.0004200999999999</v>
      </c>
      <c r="T13" s="81">
        <f t="shared" si="0"/>
        <v>2.15E-3</v>
      </c>
      <c r="U13" s="81">
        <f t="shared" si="0"/>
        <v>0.43</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250</v>
      </c>
      <c r="D3" s="33">
        <f>'Field data and Waste 1'!C31</f>
        <v>47.16749999999999</v>
      </c>
      <c r="E3" s="33">
        <f>'Field data and Waste 1'!D31</f>
        <v>4.5878420499999999</v>
      </c>
      <c r="F3" s="33">
        <f>'Field data and Waste 1'!E31</f>
        <v>8.6750962499999997E-5</v>
      </c>
      <c r="G3" s="33">
        <f>'Field data and Waste 1'!F31</f>
        <v>3.7181064500000001</v>
      </c>
      <c r="H3" s="33">
        <f>'Field data and Waste 1'!G31</f>
        <v>6.4544999999999991E-2</v>
      </c>
      <c r="I3" s="33">
        <f>'Field data and Waste 1'!H31</f>
        <v>1.1998749999999998</v>
      </c>
      <c r="J3" s="33">
        <f>'Field data and Waste 1'!I31</f>
        <v>0.2192875</v>
      </c>
      <c r="K3" s="33">
        <f>'Field data and Waste 1'!J31</f>
        <v>6.1234999999999987E-3</v>
      </c>
      <c r="L3" s="33">
        <f>'Field data and Waste 1'!K31</f>
        <v>5.0477499999999993E-3</v>
      </c>
      <c r="M3" s="33">
        <f>'Field data and Waste 1'!L31</f>
        <v>0.35747999999999996</v>
      </c>
      <c r="N3" s="33">
        <f>'Field data and Waste 1'!M31</f>
        <v>8.0184749999999985E-2</v>
      </c>
      <c r="O3" s="33">
        <f>'Field data and Waste 1'!N31</f>
        <v>22.342500000000001</v>
      </c>
      <c r="P3" s="33">
        <f>'Field data and Waste 1'!O31</f>
        <v>3872.6999999999994</v>
      </c>
      <c r="Q3" s="33">
        <f>'Field data and Waste 1'!P31</f>
        <v>0</v>
      </c>
      <c r="R3" s="33">
        <f>'Field data and Waste 1'!Q31</f>
        <v>123.50437499999998</v>
      </c>
      <c r="S3" s="33">
        <f>'Field data and Waste 1'!R31</f>
        <v>0</v>
      </c>
      <c r="T3" s="33">
        <f>'Field data and Waste 1'!S31</f>
        <v>9.5162499999999983E-2</v>
      </c>
      <c r="U3" s="33">
        <f>'Field data and Waste 1'!T31</f>
        <v>0</v>
      </c>
      <c r="V3" s="33">
        <f>'Field data and Waste 1'!U31</f>
        <v>0</v>
      </c>
    </row>
    <row r="4" spans="1:22" x14ac:dyDescent="0.25">
      <c r="A4" s="36">
        <v>2</v>
      </c>
      <c r="B4" s="91"/>
      <c r="C4" s="33">
        <f>'Waste 2'!B31</f>
        <v>250</v>
      </c>
      <c r="D4" s="33">
        <f>'Waste 2'!C31</f>
        <v>125.31499999999998</v>
      </c>
      <c r="E4" s="33">
        <f>'Waste 2'!D31</f>
        <v>9.2194422000000014</v>
      </c>
      <c r="F4" s="33">
        <f>'Waste 2'!E31</f>
        <v>1.9630594750000001E-4</v>
      </c>
      <c r="G4" s="33">
        <f>'Waste 2'!F31</f>
        <v>17.382637799999998</v>
      </c>
      <c r="H4" s="33">
        <f>'Waste 2'!G31</f>
        <v>0.54538500000000001</v>
      </c>
      <c r="I4" s="33">
        <f>'Waste 2'!H31</f>
        <v>8.7367499999999989</v>
      </c>
      <c r="J4" s="33">
        <f>'Waste 2'!I31</f>
        <v>0.79601499999999992</v>
      </c>
      <c r="K4" s="33">
        <f>'Waste 2'!J31</f>
        <v>3.3534999999999995E-2</v>
      </c>
      <c r="L4" s="33">
        <f>'Waste 2'!K31</f>
        <v>5.1184999999999998E-3</v>
      </c>
      <c r="M4" s="33">
        <f>'Waste 2'!L31</f>
        <v>0.4394849999999999</v>
      </c>
      <c r="N4" s="33">
        <f>'Waste 2'!M31</f>
        <v>0.192385</v>
      </c>
      <c r="O4" s="33">
        <f>'Waste 2'!N31</f>
        <v>85.778999999999996</v>
      </c>
      <c r="P4" s="33">
        <f>'Waste 2'!O31</f>
        <v>7818.9499999999989</v>
      </c>
      <c r="Q4" s="33">
        <f>'Waste 2'!P31</f>
        <v>0</v>
      </c>
      <c r="R4" s="33">
        <f>'Waste 2'!Q31</f>
        <v>90.014999999999986</v>
      </c>
      <c r="S4" s="33">
        <f>'Waste 2'!R31</f>
        <v>0</v>
      </c>
      <c r="T4" s="33">
        <f>'Waste 2'!S31</f>
        <v>0.18179500000000001</v>
      </c>
      <c r="U4" s="33">
        <f>'Waste 2'!T31</f>
        <v>0</v>
      </c>
      <c r="V4" s="33">
        <f>'Waste 2'!U31</f>
        <v>0</v>
      </c>
    </row>
    <row r="5" spans="1:22" x14ac:dyDescent="0.25">
      <c r="A5" s="36">
        <v>3</v>
      </c>
      <c r="B5" s="91"/>
      <c r="C5" s="33">
        <f>'Waste 3'!B31</f>
        <v>185</v>
      </c>
      <c r="D5" s="33">
        <f>'Waste 3'!C31</f>
        <v>83.516400000000004</v>
      </c>
      <c r="E5" s="33">
        <f>'Waste 3'!D31</f>
        <v>63.955853829999988</v>
      </c>
      <c r="F5" s="33">
        <f>'Waste 3'!E31</f>
        <v>1.6027415800000001E-4</v>
      </c>
      <c r="G5" s="33">
        <f>'Waste 3'!F31</f>
        <v>5.7439486719999993</v>
      </c>
      <c r="H5" s="33">
        <f>'Waste 3'!G31</f>
        <v>0.54053669999999998</v>
      </c>
      <c r="I5" s="33">
        <f>'Waste 3'!H31</f>
        <v>1.7940559999999999</v>
      </c>
      <c r="J5" s="33">
        <f>'Waste 3'!I31</f>
        <v>4.7944600000000004E-2</v>
      </c>
      <c r="K5" s="33">
        <f>'Waste 3'!J31</f>
        <v>4.2531499999999998E-3</v>
      </c>
      <c r="L5" s="33">
        <f>'Waste 3'!K31</f>
        <v>3.7118400000000001E-3</v>
      </c>
      <c r="M5" s="33">
        <f>'Waste 3'!L31</f>
        <v>0.14074059999999999</v>
      </c>
      <c r="N5" s="33">
        <f>'Waste 3'!M31</f>
        <v>3.3251899999999994E-2</v>
      </c>
      <c r="O5" s="33">
        <f>'Waste 3'!N31</f>
        <v>1430.605</v>
      </c>
      <c r="P5" s="33">
        <f>'Waste 3'!O31</f>
        <v>54.053669999999997</v>
      </c>
      <c r="Q5" s="33">
        <f>'Waste 3'!P31</f>
        <v>0</v>
      </c>
      <c r="R5" s="33">
        <f>'Waste 3'!Q31</f>
        <v>190.42512499999998</v>
      </c>
      <c r="S5" s="33">
        <f>'Waste 3'!R31</f>
        <v>0</v>
      </c>
      <c r="T5" s="33">
        <f>'Waste 3'!S31</f>
        <v>0.22967009999999999</v>
      </c>
      <c r="U5" s="33">
        <f>'Waste 3'!T31</f>
        <v>0</v>
      </c>
      <c r="V5" s="33">
        <f>'Waste 3'!U31</f>
        <v>0</v>
      </c>
    </row>
    <row r="6" spans="1:22" x14ac:dyDescent="0.25">
      <c r="A6" s="36">
        <v>4</v>
      </c>
      <c r="B6" s="91"/>
      <c r="C6" s="33">
        <f>'Waste 4'!B31</f>
        <v>250</v>
      </c>
      <c r="D6" s="33">
        <f>'Waste 4'!C31</f>
        <v>122.26499999999999</v>
      </c>
      <c r="E6" s="33">
        <f>'Waste 4'!D31</f>
        <v>61.049422499999991</v>
      </c>
      <c r="F6" s="33">
        <f>'Waste 4'!E31</f>
        <v>3.4502765000000003E-4</v>
      </c>
      <c r="G6" s="33">
        <f>'Waste 4'!F31</f>
        <v>15.437555099999999</v>
      </c>
      <c r="H6" s="33">
        <f>'Waste 4'!G31</f>
        <v>0.29260000000000003</v>
      </c>
      <c r="I6" s="33">
        <f>'Waste 4'!H31</f>
        <v>0.93945500000000004</v>
      </c>
      <c r="J6" s="33">
        <f>'Waste 4'!I31</f>
        <v>6.4790000000000014E-2</v>
      </c>
      <c r="K6" s="33">
        <f>'Waste 4'!J31</f>
        <v>4.2844999999999992E-3</v>
      </c>
      <c r="L6" s="33">
        <f>'Waste 4'!K31</f>
        <v>5.6430000000000004E-3</v>
      </c>
      <c r="M6" s="33">
        <f>'Waste 4'!L31</f>
        <v>0.22780999999999998</v>
      </c>
      <c r="N6" s="33">
        <f>'Waste 4'!M31</f>
        <v>6.9074500000000011E-2</v>
      </c>
      <c r="O6" s="33">
        <f>'Waste 4'!N31</f>
        <v>0</v>
      </c>
      <c r="P6" s="33">
        <f>'Waste 4'!O31</f>
        <v>0</v>
      </c>
      <c r="Q6" s="33">
        <f>'Waste 4'!P31</f>
        <v>0</v>
      </c>
      <c r="R6" s="33">
        <f>'Waste 4'!Q31</f>
        <v>342.23749999999995</v>
      </c>
      <c r="S6" s="33">
        <f>'Waste 4'!R31</f>
        <v>0</v>
      </c>
      <c r="T6" s="33">
        <f>'Waste 4'!S31</f>
        <v>0.16092999999999999</v>
      </c>
      <c r="U6" s="33">
        <f>'Waste 4'!T31</f>
        <v>0</v>
      </c>
      <c r="V6" s="33">
        <f>'Waste 4'!U31</f>
        <v>0</v>
      </c>
    </row>
    <row r="7" spans="1:22" x14ac:dyDescent="0.25">
      <c r="A7" s="36">
        <v>5</v>
      </c>
      <c r="B7" s="91"/>
      <c r="C7" s="33">
        <f>'Waste 5'!B31</f>
        <v>250</v>
      </c>
      <c r="D7" s="33">
        <f>'Waste 5'!C31</f>
        <v>27.5625</v>
      </c>
      <c r="E7" s="33">
        <f>'Waste 5'!D31</f>
        <v>19.184261250000002</v>
      </c>
      <c r="F7" s="33">
        <f>'Waste 5'!E31</f>
        <v>4.3651125000000001E-5</v>
      </c>
      <c r="G7" s="33">
        <f>'Waste 5'!F31</f>
        <v>1.1054715000000002</v>
      </c>
      <c r="H7" s="33">
        <f>'Waste 5'!G31</f>
        <v>7.7175000000000007E-2</v>
      </c>
      <c r="I7" s="33">
        <f>'Waste 5'!H31</f>
        <v>1.582875</v>
      </c>
      <c r="J7" s="33">
        <f>'Waste 5'!I31</f>
        <v>1.6275000000000001E-2</v>
      </c>
      <c r="K7" s="33">
        <f>'Waste 5'!J31</f>
        <v>7.8750000000000001E-3</v>
      </c>
      <c r="L7" s="33">
        <f>'Waste 5'!K31</f>
        <v>1.60125E-3</v>
      </c>
      <c r="M7" s="33">
        <f>'Waste 5'!L31</f>
        <v>7.0349999999999996E-2</v>
      </c>
      <c r="N7" s="33">
        <f>'Waste 5'!M31</f>
        <v>1.1287500000000001E-2</v>
      </c>
      <c r="O7" s="33">
        <f>'Waste 5'!N31</f>
        <v>430.50000000000006</v>
      </c>
      <c r="P7" s="33">
        <f>'Waste 5'!O31</f>
        <v>9.4499999999999993</v>
      </c>
      <c r="Q7" s="33">
        <f>'Waste 5'!P31</f>
        <v>0</v>
      </c>
      <c r="R7" s="33">
        <f>'Waste 5'!Q31</f>
        <v>51.1875</v>
      </c>
      <c r="S7" s="33">
        <f>'Waste 5'!R31</f>
        <v>0</v>
      </c>
      <c r="T7" s="33">
        <f>'Waste 5'!S31</f>
        <v>4.6987500000000001E-2</v>
      </c>
      <c r="U7" s="33">
        <f>'Waste 5'!T31</f>
        <v>0</v>
      </c>
      <c r="V7" s="33">
        <f>'Waste 5'!U31</f>
        <v>0</v>
      </c>
    </row>
    <row r="8" spans="1:22" x14ac:dyDescent="0.25">
      <c r="A8" s="36">
        <v>6</v>
      </c>
      <c r="B8" s="91"/>
      <c r="C8" s="33">
        <f>'Waste 6'!B31</f>
        <v>43</v>
      </c>
      <c r="D8" s="33">
        <f>'Waste 6'!C31</f>
        <v>245.09999999999997</v>
      </c>
      <c r="E8" s="33">
        <f>'Waste 6'!D31</f>
        <v>72.801107000000002</v>
      </c>
      <c r="F8" s="33">
        <f>'Waste 6'!E31</f>
        <v>47.307095000000004</v>
      </c>
      <c r="G8" s="33">
        <f>'Waste 6'!F31</f>
        <v>8.4839859999999998</v>
      </c>
      <c r="H8" s="33">
        <f>'Waste 6'!G31</f>
        <v>3.4701000000000004</v>
      </c>
      <c r="I8" s="33">
        <f>'Waste 6'!H31</f>
        <v>5.7620000000000005E-2</v>
      </c>
      <c r="J8" s="33">
        <f>'Waste 6'!I31</f>
        <v>2.1500000000000002E-2</v>
      </c>
      <c r="K8" s="33">
        <f>'Waste 6'!J31</f>
        <v>4.3000000000000004E-4</v>
      </c>
      <c r="L8" s="33">
        <f>'Waste 6'!K31</f>
        <v>2.15E-3</v>
      </c>
      <c r="M8" s="33">
        <f>'Waste 6'!L31</f>
        <v>8.6E-3</v>
      </c>
      <c r="N8" s="33">
        <f>'Waste 6'!M31</f>
        <v>8.6E-3</v>
      </c>
      <c r="O8" s="33">
        <f>'Waste 6'!N31</f>
        <v>0</v>
      </c>
      <c r="P8" s="33">
        <f>'Waste 6'!O31</f>
        <v>0</v>
      </c>
      <c r="Q8" s="33">
        <f>'Waste 6'!P31</f>
        <v>1.3501999999999998</v>
      </c>
      <c r="R8" s="33">
        <f>'Waste 6'!Q31</f>
        <v>37.625</v>
      </c>
      <c r="S8" s="33">
        <f>'Waste 6'!R31</f>
        <v>8.6000000000000009E-4</v>
      </c>
      <c r="T8" s="33">
        <f>'Waste 6'!S31</f>
        <v>2.1500000000000002E-2</v>
      </c>
      <c r="U8" s="33">
        <f>'Waste 6'!T31</f>
        <v>2.15E-3</v>
      </c>
      <c r="V8" s="33">
        <f>'Waste 6'!U31</f>
        <v>0.43</v>
      </c>
    </row>
    <row r="9" spans="1:22" x14ac:dyDescent="0.25">
      <c r="A9" s="36">
        <v>7</v>
      </c>
      <c r="B9" s="91"/>
      <c r="C9" s="33">
        <f>'Waste 7'!B31</f>
        <v>125</v>
      </c>
      <c r="D9" s="33">
        <f>'Waste 7'!C31</f>
        <v>247.5</v>
      </c>
      <c r="E9" s="33">
        <f>'Waste 7'!D31</f>
        <v>35.009343749999999</v>
      </c>
      <c r="F9" s="33">
        <f>'Waste 7'!E31</f>
        <v>6.2132812500000003E-4</v>
      </c>
      <c r="G9" s="33">
        <f>'Waste 7'!F31</f>
        <v>11.719987499999998</v>
      </c>
      <c r="H9" s="33">
        <f>'Waste 7'!G31</f>
        <v>0.93937500000000007</v>
      </c>
      <c r="I9" s="33">
        <f>'Waste 7'!H31</f>
        <v>0.32437499999999997</v>
      </c>
      <c r="J9" s="33">
        <f>'Waste 7'!I31</f>
        <v>4.0500000000000001E-2</v>
      </c>
      <c r="K9" s="33">
        <f>'Waste 7'!J31</f>
        <v>3.0000000000000001E-3</v>
      </c>
      <c r="L9" s="33">
        <f>'Waste 7'!K31</f>
        <v>6.3749999999999996E-3</v>
      </c>
      <c r="M9" s="33">
        <f>'Waste 7'!L31</f>
        <v>0.24187499999999998</v>
      </c>
      <c r="N9" s="33">
        <f>'Waste 7'!M31</f>
        <v>0.10312499999999998</v>
      </c>
      <c r="O9" s="33">
        <f>'Waste 7'!N31</f>
        <v>4518.75</v>
      </c>
      <c r="P9" s="33">
        <f>'Waste 7'!O31</f>
        <v>110.625</v>
      </c>
      <c r="Q9" s="33">
        <f>'Waste 7'!P31</f>
        <v>0</v>
      </c>
      <c r="R9" s="33">
        <f>'Waste 7'!Q31</f>
        <v>409.21875</v>
      </c>
      <c r="S9" s="33">
        <f>'Waste 7'!R31</f>
        <v>0</v>
      </c>
      <c r="T9" s="33">
        <f>'Waste 7'!S31</f>
        <v>0.26437499999999997</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250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250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185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43</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125</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34aa0a32e861d07c2babb84befd3ce4c">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246450849c5c3b888f7640c04f2e6030"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REGU-415-1630081</_dlc_DocId>
    <_dlc_DocIdUrl xmlns="9be56660-2c31-41ef-bc00-23e72f632f2a">
      <Url>https://cyfoethnaturiolcymru.sharepoint.com/teams/Regulatory/Permitting/_layouts/15/DocIdRedir.aspx?ID=REGU-415-1630081</Url>
      <Description>REGU-415-1630081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2022-11-07T00:00:00+00:00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83454A5-CAB9-449C-8715-AC295FCB68CC}"/>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B1BB1164-264F-4AC4-ABFA-43DD133C3101}"/>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2022-11-04T10:41:28Z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54704f08-e6c8-4511-b9d3-90d3b5430290</vt:lpwstr>
  </property>
  <property fmtid="{D5CDD505-2E9C-101B-9397-08002B2CF9AE}" pid="4" name="Order">
    <vt:r8>163008100</vt:r8>
  </property>
</Properties>
</file>