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9538 dep/"/>
    </mc:Choice>
  </mc:AlternateContent>
  <xr:revisionPtr revIDLastSave="0" documentId="13_ncr:1_{B6856DBE-08BC-4CB8-BFA1-121EAE3D5FB2}" xr6:coauthVersionLast="47" xr6:coauthVersionMax="47" xr10:uidLastSave="{00000000-0000-0000-0000-000000000000}"/>
  <bookViews>
    <workbookView xWindow="-120" yWindow="-120" windowWidth="29040" windowHeight="15840" tabRatio="721" activeTab="7" xr2:uid="{00000000-000D-0000-FFFF-FFFF00000000}"/>
  </bookViews>
  <sheets>
    <sheet name="Secanim" sheetId="1" r:id="rId1"/>
    <sheet name="Croda Goole" sheetId="21" r:id="rId2"/>
    <sheet name="Croda Widnes" sheetId="27" r:id="rId3"/>
    <sheet name="Maelor" sheetId="28" r:id="rId4"/>
    <sheet name="Encirc" sheetId="30" r:id="rId5"/>
    <sheet name="Beechdean Ice cream" sheetId="26" r:id="rId6"/>
    <sheet name="PENDERYN DISTILLERY" sheetId="24" r:id="rId7"/>
    <sheet name="Kelloggs" sheetId="29" r:id="rId8"/>
    <sheet name="Rowan Foods"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J65" i="1" l="1"/>
  <c r="K65" i="1"/>
  <c r="L65" i="1"/>
  <c r="M65" i="1"/>
  <c r="N65" i="1"/>
  <c r="O65" i="1"/>
  <c r="P65" i="1"/>
  <c r="Q65" i="1"/>
  <c r="R65" i="1"/>
  <c r="S65" i="1"/>
  <c r="T65" i="1"/>
  <c r="U65" i="1"/>
  <c r="J65" i="21"/>
  <c r="K65" i="21"/>
  <c r="L65" i="21"/>
  <c r="M65" i="21"/>
  <c r="N65" i="21"/>
  <c r="O65" i="21"/>
  <c r="P65" i="21"/>
  <c r="Q65" i="21"/>
  <c r="R65" i="21"/>
  <c r="S65" i="21"/>
  <c r="T65" i="21"/>
  <c r="U65" i="21"/>
  <c r="J65" i="27"/>
  <c r="K65" i="27"/>
  <c r="L65" i="27"/>
  <c r="M65" i="27"/>
  <c r="N65" i="27"/>
  <c r="O65" i="27"/>
  <c r="P65" i="27"/>
  <c r="Q65" i="27"/>
  <c r="R65" i="27"/>
  <c r="S65" i="27"/>
  <c r="T65" i="27"/>
  <c r="U65" i="27"/>
  <c r="J65" i="28"/>
  <c r="K65" i="28"/>
  <c r="L65" i="28"/>
  <c r="M65" i="28"/>
  <c r="N65" i="28"/>
  <c r="O65" i="28"/>
  <c r="P65" i="28"/>
  <c r="Q65" i="28"/>
  <c r="R65" i="28"/>
  <c r="S65" i="28"/>
  <c r="T65" i="28"/>
  <c r="U65" i="28"/>
  <c r="J65" i="30"/>
  <c r="K65" i="30"/>
  <c r="L65" i="30"/>
  <c r="M65" i="30"/>
  <c r="N65" i="30"/>
  <c r="O65" i="30"/>
  <c r="P65" i="30"/>
  <c r="Q65" i="30"/>
  <c r="R65" i="30"/>
  <c r="S65" i="30"/>
  <c r="T65" i="30"/>
  <c r="U65" i="30"/>
  <c r="J65" i="26"/>
  <c r="K65" i="26"/>
  <c r="L65" i="26"/>
  <c r="M65" i="26"/>
  <c r="N65" i="26"/>
  <c r="O65" i="26"/>
  <c r="P65" i="26"/>
  <c r="Q65" i="26"/>
  <c r="R65" i="26"/>
  <c r="S65" i="26"/>
  <c r="T65" i="26"/>
  <c r="U65" i="26"/>
  <c r="J65" i="24"/>
  <c r="K65" i="24"/>
  <c r="L65" i="24"/>
  <c r="M65" i="24"/>
  <c r="N65" i="24"/>
  <c r="O65" i="24"/>
  <c r="P65" i="24"/>
  <c r="Q65" i="24"/>
  <c r="R65" i="24"/>
  <c r="S65" i="24"/>
  <c r="T65" i="24"/>
  <c r="U65" i="24"/>
  <c r="J65" i="29"/>
  <c r="K65" i="29"/>
  <c r="L65" i="29"/>
  <c r="M65" i="29"/>
  <c r="N65" i="29"/>
  <c r="O65" i="29"/>
  <c r="P65" i="29"/>
  <c r="Q65" i="29"/>
  <c r="R65" i="29"/>
  <c r="S65" i="29"/>
  <c r="T65" i="29"/>
  <c r="U65" i="29"/>
  <c r="J65" i="23"/>
  <c r="K65" i="23"/>
  <c r="L65" i="23"/>
  <c r="M65" i="23"/>
  <c r="N65" i="23"/>
  <c r="O65" i="23"/>
  <c r="P65" i="23"/>
  <c r="Q65" i="23"/>
  <c r="R65" i="23"/>
  <c r="S65" i="23"/>
  <c r="T65" i="23"/>
  <c r="U65" i="23"/>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V22" i="30"/>
  <c r="U22" i="30"/>
  <c r="S22" i="30"/>
  <c r="M22" i="30"/>
  <c r="E22" i="30"/>
  <c r="V20" i="30"/>
  <c r="U20" i="30"/>
  <c r="T20" i="30"/>
  <c r="S20" i="30"/>
  <c r="R20" i="30"/>
  <c r="Q20" i="30"/>
  <c r="P20" i="30"/>
  <c r="O20" i="30"/>
  <c r="N20" i="30"/>
  <c r="M20" i="30"/>
  <c r="L20" i="30"/>
  <c r="K20" i="30"/>
  <c r="V18" i="30"/>
  <c r="P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V20" i="29"/>
  <c r="U20" i="29"/>
  <c r="T20" i="29"/>
  <c r="S20" i="29"/>
  <c r="R20" i="29"/>
  <c r="Q20" i="29"/>
  <c r="P20" i="29"/>
  <c r="O20" i="29"/>
  <c r="N20" i="29"/>
  <c r="M20" i="29"/>
  <c r="L20" i="29"/>
  <c r="K20" i="29"/>
  <c r="V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V20" i="28"/>
  <c r="U20" i="28"/>
  <c r="T20" i="28"/>
  <c r="S20" i="28"/>
  <c r="R20" i="28"/>
  <c r="Q20" i="28"/>
  <c r="P20" i="28"/>
  <c r="O20" i="28"/>
  <c r="N20" i="28"/>
  <c r="M20" i="28"/>
  <c r="L20" i="28"/>
  <c r="K20" i="28"/>
  <c r="V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O22" i="27"/>
  <c r="G22" i="27"/>
  <c r="V20" i="27"/>
  <c r="U20" i="27"/>
  <c r="T20" i="27"/>
  <c r="S20" i="27"/>
  <c r="R20" i="27"/>
  <c r="Q20" i="27"/>
  <c r="P20" i="27"/>
  <c r="O20" i="27"/>
  <c r="N20" i="27"/>
  <c r="M20" i="27"/>
  <c r="L20" i="27"/>
  <c r="K20" i="27"/>
  <c r="U18" i="27"/>
  <c r="T18" i="27"/>
  <c r="S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K22" i="26"/>
  <c r="V20" i="26"/>
  <c r="U20" i="26"/>
  <c r="T20" i="26"/>
  <c r="S20" i="26"/>
  <c r="R20" i="26"/>
  <c r="Q20" i="26"/>
  <c r="P20" i="26"/>
  <c r="O20" i="26"/>
  <c r="N20" i="26"/>
  <c r="M20" i="26"/>
  <c r="L20" i="26"/>
  <c r="K20"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U22" i="24"/>
  <c r="M22" i="24"/>
  <c r="E22" i="24"/>
  <c r="V20" i="24"/>
  <c r="U20" i="24"/>
  <c r="T20" i="24"/>
  <c r="S20" i="24"/>
  <c r="R20" i="24"/>
  <c r="Q20" i="24"/>
  <c r="P20" i="24"/>
  <c r="O20" i="24"/>
  <c r="N20" i="24"/>
  <c r="M20" i="24"/>
  <c r="L20" i="24"/>
  <c r="K20" i="24"/>
  <c r="U18" i="24"/>
  <c r="P18" i="24"/>
  <c r="M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V20" i="23"/>
  <c r="U20" i="23"/>
  <c r="T20" i="23"/>
  <c r="S20" i="23"/>
  <c r="R20" i="23"/>
  <c r="Q20" i="23"/>
  <c r="P20" i="23"/>
  <c r="O20" i="23"/>
  <c r="N20" i="23"/>
  <c r="M20" i="23"/>
  <c r="L20" i="23"/>
  <c r="K20" i="23"/>
  <c r="S18" i="23"/>
  <c r="Q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V18" i="21"/>
  <c r="T6" i="19" l="1"/>
  <c r="T20" i="19" s="1"/>
  <c r="H10" i="19"/>
  <c r="H24"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23" i="22" s="1"/>
  <c r="E17" i="22"/>
  <c r="L59" i="22"/>
  <c r="M21" i="22"/>
  <c r="M23"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0" i="23" s="1"/>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I59" i="29"/>
  <c r="J17" i="29"/>
  <c r="J19" i="29" s="1"/>
  <c r="J20" i="29" s="1"/>
  <c r="J21" i="29"/>
  <c r="Q59" i="29"/>
  <c r="R21" i="29"/>
  <c r="R23" i="29" s="1"/>
  <c r="R24" i="29" s="1"/>
  <c r="R17" i="29"/>
  <c r="H59" i="30"/>
  <c r="H64" i="30" s="1"/>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0" i="24" s="1"/>
  <c r="I21" i="24"/>
  <c r="Q17" i="24"/>
  <c r="Q19" i="24" s="1"/>
  <c r="Q21" i="24"/>
  <c r="Q23" i="24" s="1"/>
  <c r="D59" i="26"/>
  <c r="E21" i="26"/>
  <c r="E23" i="26" s="1"/>
  <c r="E24" i="26" s="1"/>
  <c r="E17" i="26"/>
  <c r="E19" i="26" s="1"/>
  <c r="E20" i="26" s="1"/>
  <c r="L59" i="26"/>
  <c r="M21" i="26"/>
  <c r="M17" i="26"/>
  <c r="T59" i="26"/>
  <c r="U21" i="26"/>
  <c r="U23"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24"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20" i="21" s="1"/>
  <c r="G17" i="22"/>
  <c r="G21" i="22"/>
  <c r="G23" i="22" s="1"/>
  <c r="O17" i="22"/>
  <c r="O19" i="22" s="1"/>
  <c r="O21" i="22"/>
  <c r="O23" i="22" s="1"/>
  <c r="H59" i="23"/>
  <c r="I21" i="23"/>
  <c r="I23" i="23" s="1"/>
  <c r="I24" i="23" s="1"/>
  <c r="I17" i="23"/>
  <c r="P59" i="23"/>
  <c r="Q17" i="23"/>
  <c r="Q21" i="23"/>
  <c r="Q23" i="23" s="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J20" i="23" s="1"/>
  <c r="Q59" i="23"/>
  <c r="R21" i="23"/>
  <c r="R17" i="23"/>
  <c r="D59" i="24"/>
  <c r="E17" i="24"/>
  <c r="E21" i="24"/>
  <c r="L59" i="24"/>
  <c r="M17" i="24"/>
  <c r="M19" i="24" s="1"/>
  <c r="M21" i="24"/>
  <c r="M23"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24" i="24" s="1"/>
  <c r="F17" i="24"/>
  <c r="F19" i="24" s="1"/>
  <c r="F20" i="24" s="1"/>
  <c r="M59" i="24"/>
  <c r="N21" i="24"/>
  <c r="N23" i="24" s="1"/>
  <c r="N17" i="24"/>
  <c r="N19"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24" i="29" s="1"/>
  <c r="H17" i="29"/>
  <c r="H19" i="29" s="1"/>
  <c r="H20" i="29" s="1"/>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H23" i="30" s="1"/>
  <c r="H24"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E19" i="21"/>
  <c r="E20" i="21" s="1"/>
  <c r="G23" i="26"/>
  <c r="G24" i="26" s="1"/>
  <c r="D58" i="29"/>
  <c r="D61" i="29" s="1"/>
  <c r="P23" i="26"/>
  <c r="G21" i="27"/>
  <c r="G23" i="27" s="1"/>
  <c r="G24" i="27" s="1"/>
  <c r="O21" i="27"/>
  <c r="O23" i="27" s="1"/>
  <c r="D58" i="30"/>
  <c r="D61" i="30" s="1"/>
  <c r="D64"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F20" i="23" s="1"/>
  <c r="I58" i="23"/>
  <c r="I61" i="23" s="1"/>
  <c r="I64" i="23" s="1"/>
  <c r="Q58" i="23"/>
  <c r="Q61" i="23" s="1"/>
  <c r="L58" i="29"/>
  <c r="L61" i="29" s="1"/>
  <c r="T58" i="29"/>
  <c r="T61" i="29" s="1"/>
  <c r="T64" i="29" s="1"/>
  <c r="I23" i="30"/>
  <c r="I24" i="30" s="1"/>
  <c r="Q23" i="30"/>
  <c r="E23" i="30"/>
  <c r="E24" i="30" s="1"/>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R21" i="27"/>
  <c r="R23"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L23" i="24"/>
  <c r="T23" i="24"/>
  <c r="G58" i="24"/>
  <c r="G61" i="24" s="1"/>
  <c r="O58" i="24"/>
  <c r="O61" i="24" s="1"/>
  <c r="N59" i="24"/>
  <c r="C58" i="26"/>
  <c r="C61" i="26" s="1"/>
  <c r="C64" i="26" s="1"/>
  <c r="K58" i="26"/>
  <c r="K61" i="26" s="1"/>
  <c r="S58" i="26"/>
  <c r="S61" i="26" s="1"/>
  <c r="S64"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G57" i="21"/>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M58" i="30"/>
  <c r="M61" i="30" s="1"/>
  <c r="U58" i="30"/>
  <c r="U61" i="30" s="1"/>
  <c r="U64" i="30" s="1"/>
  <c r="U66"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G24" i="30" s="1"/>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E20" i="30" s="1"/>
  <c r="N19" i="30"/>
  <c r="V19" i="30"/>
  <c r="F23" i="30"/>
  <c r="F24" i="30" s="1"/>
  <c r="N23" i="30"/>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N19" i="29"/>
  <c r="V19" i="29"/>
  <c r="F23" i="29"/>
  <c r="F24" i="29" s="1"/>
  <c r="N23" i="29"/>
  <c r="N24" i="29" s="1"/>
  <c r="B63" i="29"/>
  <c r="J63" i="29"/>
  <c r="R63" i="29"/>
  <c r="L19" i="29"/>
  <c r="G19" i="29"/>
  <c r="G20" i="29" s="1"/>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L19" i="28"/>
  <c r="L23" i="28"/>
  <c r="T23" i="28"/>
  <c r="H59" i="28"/>
  <c r="P59" i="28"/>
  <c r="H63" i="28"/>
  <c r="P63" i="28"/>
  <c r="E19" i="28"/>
  <c r="E20" i="28" s="1"/>
  <c r="M19" i="28"/>
  <c r="U19" i="28"/>
  <c r="M23" i="28"/>
  <c r="I57" i="28"/>
  <c r="Q57" i="28"/>
  <c r="I63" i="28"/>
  <c r="Q63" i="28"/>
  <c r="R19" i="28"/>
  <c r="F19" i="28"/>
  <c r="F20" i="28" s="1"/>
  <c r="V19" i="28"/>
  <c r="N23" i="28"/>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C23" i="27"/>
  <c r="C24" i="27" s="1"/>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J23" i="26"/>
  <c r="J24" i="26" s="1"/>
  <c r="H64" i="26"/>
  <c r="H65" i="26" s="1"/>
  <c r="K23" i="26"/>
  <c r="A31" i="26"/>
  <c r="A33" i="26"/>
  <c r="A37" i="26"/>
  <c r="A39" i="26"/>
  <c r="A41" i="26"/>
  <c r="A45" i="26"/>
  <c r="A47" i="26"/>
  <c r="A49" i="26"/>
  <c r="G57" i="26"/>
  <c r="O57" i="26"/>
  <c r="G59" i="26"/>
  <c r="O59" i="26"/>
  <c r="G63" i="26"/>
  <c r="O63" i="26"/>
  <c r="L19" i="26"/>
  <c r="T19" i="26"/>
  <c r="L23" i="26"/>
  <c r="T23" i="26"/>
  <c r="H63" i="26"/>
  <c r="P63" i="26"/>
  <c r="M19" i="26"/>
  <c r="M23" i="26"/>
  <c r="I57" i="26"/>
  <c r="Q57" i="26"/>
  <c r="I59" i="26"/>
  <c r="Q59" i="26"/>
  <c r="Q64" i="26" s="1"/>
  <c r="I63" i="26"/>
  <c r="Q63" i="26"/>
  <c r="N19" i="26"/>
  <c r="N23" i="26"/>
  <c r="V23" i="26"/>
  <c r="B63" i="26"/>
  <c r="J63" i="26"/>
  <c r="R63" i="26"/>
  <c r="G19" i="26"/>
  <c r="G20" i="26" s="1"/>
  <c r="O19" i="26"/>
  <c r="A32" i="26"/>
  <c r="A34" i="26"/>
  <c r="A40" i="26"/>
  <c r="A42" i="26"/>
  <c r="A48" i="26"/>
  <c r="A50" i="26"/>
  <c r="C63" i="26"/>
  <c r="K63" i="26"/>
  <c r="S63" i="26"/>
  <c r="H19" i="26"/>
  <c r="H20" i="26" s="1"/>
  <c r="P19" i="26"/>
  <c r="D63" i="26"/>
  <c r="L63" i="26"/>
  <c r="I19" i="26"/>
  <c r="I20" i="26" s="1"/>
  <c r="H23" i="24"/>
  <c r="H24" i="24" s="1"/>
  <c r="P23" i="24"/>
  <c r="K19" i="24"/>
  <c r="S19" i="24"/>
  <c r="K23" i="24"/>
  <c r="A31" i="24"/>
  <c r="A33" i="24"/>
  <c r="A37" i="24"/>
  <c r="A39" i="24"/>
  <c r="A41" i="24"/>
  <c r="A45" i="24"/>
  <c r="A47" i="24"/>
  <c r="A49" i="24"/>
  <c r="G57" i="24"/>
  <c r="O57" i="24"/>
  <c r="G59" i="24"/>
  <c r="O59" i="24"/>
  <c r="G63" i="24"/>
  <c r="O63" i="24"/>
  <c r="H59" i="24"/>
  <c r="P59" i="24"/>
  <c r="H63" i="24"/>
  <c r="P63" i="24"/>
  <c r="E19" i="24"/>
  <c r="E20" i="24" s="1"/>
  <c r="U19" i="24"/>
  <c r="E23" i="24"/>
  <c r="E24" i="24" s="1"/>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M19" i="23"/>
  <c r="E23" i="23"/>
  <c r="E24" i="23" s="1"/>
  <c r="M23" i="23"/>
  <c r="I57" i="23"/>
  <c r="Q57" i="23"/>
  <c r="F23" i="23"/>
  <c r="F24" i="23" s="1"/>
  <c r="N23" i="23"/>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U23" i="22"/>
  <c r="I57" i="22"/>
  <c r="Q57" i="22"/>
  <c r="K19"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M23" i="21"/>
  <c r="M24" i="21" s="1"/>
  <c r="C57" i="21"/>
  <c r="K57" i="21"/>
  <c r="S57" i="21"/>
  <c r="Q19" i="21"/>
  <c r="R23" i="21"/>
  <c r="R24"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3" l="1"/>
  <c r="I65" i="23"/>
  <c r="C65" i="23"/>
  <c r="D65" i="28"/>
  <c r="I65" i="28"/>
  <c r="I65" i="29"/>
  <c r="C65" i="29"/>
  <c r="C19" i="29"/>
  <c r="C20" i="29" s="1"/>
  <c r="D65" i="24"/>
  <c r="C65" i="30"/>
  <c r="H65" i="30"/>
  <c r="I65" i="30"/>
  <c r="D65" i="30"/>
  <c r="E65" i="30"/>
  <c r="D65" i="27"/>
  <c r="C65" i="27"/>
  <c r="C65" i="21"/>
  <c r="C23" i="21"/>
  <c r="C24" i="21" s="1"/>
  <c r="C65" i="26"/>
  <c r="E64" i="27"/>
  <c r="E65" i="27" s="1"/>
  <c r="B64" i="24"/>
  <c r="B65" i="24" s="1"/>
  <c r="B64" i="30"/>
  <c r="B65" i="30" s="1"/>
  <c r="I64" i="26"/>
  <c r="I65" i="26" s="1"/>
  <c r="F64" i="26"/>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D66" i="22"/>
  <c r="S66" i="26"/>
  <c r="L66" i="28"/>
  <c r="L66" i="26"/>
  <c r="T66" i="30"/>
  <c r="C66" i="29"/>
  <c r="H66" i="22"/>
  <c r="R66" i="28"/>
  <c r="N64" i="26"/>
  <c r="N66" i="26" s="1"/>
  <c r="O64" i="29"/>
  <c r="O66" i="29" s="1"/>
  <c r="P64" i="29"/>
  <c r="P66" i="29" s="1"/>
  <c r="S64" i="1"/>
  <c r="R66" i="26"/>
  <c r="D66" i="27"/>
  <c r="N64" i="29"/>
  <c r="N66" i="29" s="1"/>
  <c r="R66" i="30"/>
  <c r="D66" i="23"/>
  <c r="L66" i="23"/>
  <c r="O66" i="22"/>
  <c r="R64" i="1"/>
  <c r="J66" i="23"/>
  <c r="Q64" i="1"/>
  <c r="U64" i="1"/>
  <c r="P64" i="1"/>
  <c r="J66" i="24"/>
  <c r="Q66" i="29"/>
  <c r="F64" i="29"/>
  <c r="O64" i="23"/>
  <c r="O66" i="23" s="1"/>
  <c r="O64" i="30"/>
  <c r="O66" i="30" s="1"/>
  <c r="N64" i="24"/>
  <c r="N66" i="24" s="1"/>
  <c r="B66" i="24"/>
  <c r="K66" i="30"/>
  <c r="C66" i="30"/>
  <c r="I66" i="30"/>
  <c r="R66" i="29"/>
  <c r="M66" i="29"/>
  <c r="I66" i="29"/>
  <c r="S66" i="29"/>
  <c r="T66" i="28"/>
  <c r="D66" i="28"/>
  <c r="M66" i="28"/>
  <c r="Q66" i="28"/>
  <c r="I66" i="28"/>
  <c r="S66" i="28"/>
  <c r="K66" i="28"/>
  <c r="Q66" i="27"/>
  <c r="I66" i="27"/>
  <c r="P66" i="27"/>
  <c r="Q66" i="26"/>
  <c r="P66" i="26"/>
  <c r="C66" i="26"/>
  <c r="H66" i="26"/>
  <c r="L66" i="24"/>
  <c r="I66" i="24"/>
  <c r="P66" i="24"/>
  <c r="D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G65" i="1" l="1"/>
  <c r="H65" i="1"/>
  <c r="I65" i="1"/>
  <c r="C65" i="1"/>
  <c r="B65" i="1"/>
  <c r="B66" i="30"/>
  <c r="I66" i="26"/>
  <c r="H66" i="21"/>
  <c r="E66" i="27"/>
  <c r="D66" i="26"/>
  <c r="I66" i="21"/>
  <c r="I65" i="21"/>
  <c r="H66" i="27"/>
  <c r="H65" i="27"/>
  <c r="H66" i="24"/>
  <c r="H65" i="24"/>
  <c r="H66" i="28"/>
  <c r="H65" i="28"/>
  <c r="H66" i="29"/>
  <c r="H65" i="29"/>
  <c r="G66" i="26"/>
  <c r="G65" i="26"/>
  <c r="G66" i="27"/>
  <c r="G65" i="27"/>
  <c r="G66" i="24"/>
  <c r="G65" i="24"/>
  <c r="G66" i="23"/>
  <c r="G65" i="23"/>
  <c r="G66" i="22"/>
  <c r="G65" i="22"/>
  <c r="G66" i="28"/>
  <c r="G65" i="28"/>
  <c r="G66" i="29"/>
  <c r="G65" i="29"/>
  <c r="G66" i="21"/>
  <c r="G65" i="21"/>
  <c r="F66" i="29"/>
  <c r="F65" i="29"/>
  <c r="F66" i="28"/>
  <c r="F65" i="28"/>
  <c r="F66" i="24"/>
  <c r="F65" i="24"/>
  <c r="F66" i="26"/>
  <c r="F65" i="26"/>
  <c r="F66" i="30"/>
  <c r="F65" i="30"/>
  <c r="F66" i="21"/>
  <c r="F65" i="21"/>
  <c r="F66" i="23"/>
  <c r="F65" i="23"/>
  <c r="F66" i="22"/>
  <c r="F65" i="22"/>
  <c r="F66" i="27"/>
  <c r="F65" i="27"/>
  <c r="E66" i="28"/>
  <c r="E65" i="28"/>
  <c r="E66" i="29"/>
  <c r="E65" i="29"/>
  <c r="E66" i="26"/>
  <c r="E65" i="26"/>
  <c r="E66" i="21"/>
  <c r="E65" i="21"/>
  <c r="E66" i="24"/>
  <c r="E65" i="24"/>
  <c r="D66" i="29"/>
  <c r="C66" i="24"/>
  <c r="C65" i="24"/>
  <c r="C66" i="28"/>
  <c r="C65" i="28"/>
  <c r="B66" i="21"/>
  <c r="B65" i="21"/>
  <c r="B66" i="26"/>
  <c r="B65" i="26"/>
  <c r="B66" i="27"/>
  <c r="B65" i="27"/>
  <c r="B66" i="29"/>
  <c r="B65" i="29"/>
  <c r="B66" i="28"/>
  <c r="B65" i="28"/>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<sst xmlns="http://schemas.openxmlformats.org/spreadsheetml/2006/main" count="2210" uniqueCount="187">
  <si>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</si>
  <si>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</si>
  <si>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</si>
  <si>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</si>
  <si>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</si>
  <si>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</si>
  <si>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</si>
  <si>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</si>
  <si>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</si>
  <si>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</si>
  <si>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</si>
  <si>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</si>
  <si>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</si>
  <si>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</si>
  <si>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</si>
  <si>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</si>
  <si>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</si>
  <si>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</si>
  <si>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</si>
  <si>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</si>
  <si>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</si>
  <si>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</si>
  <si>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</si>
  <si>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</si>
  <si>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</si>
  <si>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</si>
  <si>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</si>
  <si>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</si>
  <si>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</si>
  <si>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</si>
  <si>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</si>
  <si>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</si>
  <si>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</si>
  <si>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</si>
  <si>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</si>
  <si>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</si>
  <si>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</si>
  <si>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</si>
  <si>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</si>
  <si>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</si>
  <si>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</si>
  <si>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</si>
  <si>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</si>
  <si>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</si>
  <si>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</si>
  <si>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</si>
  <si>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</si>
  <si>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</si>
  <si>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</si>
  <si>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</si>
  <si>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</si>
  <si>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</si>
  <si>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</si>
  <si>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</si>
  <si>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</si>
  <si>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</si>
  <si>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</si>
  <si>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</si>
  <si>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</si>
  <si>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</si>
  <si>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</si>
  <si>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</si>
  <si>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</si>
  <si>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</si>
  <si>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</si>
  <si>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</si>
  <si>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</si>
  <si>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</si>
  <si>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</si>
  <si>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</si>
  <si>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</si>
  <si>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</si>
  <si>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</si>
  <si>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</si>
  <si>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</si>
  <si>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</si>
  <si>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</si>
  <si>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</si>
  <si>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</si>
  <si>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</si>
  <si>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</si>
  <si>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</si>
  <si>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</si>
  <si>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</si>
  <si>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</si>
  <si>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</si>
  <si>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</si>
  <si>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</si>
  <si>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</si>
  <si>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</si>
  <si>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</si>
  <si>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</si>
  <si>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</si>
  <si>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</si>
  <si>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</si>
  <si>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</si>
  <si>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</si>
  <si>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</si>
  <si>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</si>
  <si>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</si>
  <si>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</si>
  <si>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</si>
  <si>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</si>
  <si>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</si>
  <si>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</si>
  <si>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</si>
  <si>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</si>
  <si>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</si>
  <si>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</si>
  <si>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</si>
  <si>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</si>
  <si>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</si>
  <si>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</si>
  <si>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</si>
  <si>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</si>
  <si>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</si>
  <si>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</si>
  <si>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</si>
  <si>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</si>
  <si>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</si>
  <si>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</si>
  <si>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</si>
  <si>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</si>
  <si>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</si>
  <si>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</si>
  <si>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</si>
  <si>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</si>
  <si>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</si>
  <si>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</si>
  <si>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</si>
  <si>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</si>
  <si>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</si>
  <si>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</si>
  <si>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</si>
  <si>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</si>
  <si>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</si>
  <si>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</si>
  <si>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</si>
  <si>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</si>
  <si>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</si>
  <si>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</si>
  <si>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</si>
  <si>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</si>
  <si>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</si>
  <si>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</si>
  <si>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</si>
  <si>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</si>
  <si>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</si>
  <si>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</si>
  <si>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</si>
  <si>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</si>
  <si>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</si>
  <si>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</si>
  <si>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</si>
  <si>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</si>
  <si>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</si>
  <si>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</si>
  <si>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</si>
  <si>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</si>
  <si>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</si>
  <si>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PAN-019538</t>
  </si>
  <si>
    <t>EPR-KP3594VE</t>
  </si>
  <si>
    <t xml:space="preserve">Trade Effluent Services Limited </t>
  </si>
  <si>
    <t>Louise Bailey</t>
  </si>
  <si>
    <t>02 02 04</t>
  </si>
  <si>
    <t>Secanim</t>
  </si>
  <si>
    <t>07 07 12</t>
  </si>
  <si>
    <t>Croda Goole</t>
  </si>
  <si>
    <t>02 03 05</t>
  </si>
  <si>
    <t>Croda Widnes</t>
  </si>
  <si>
    <t>Maelor</t>
  </si>
  <si>
    <t>02 07 05</t>
  </si>
  <si>
    <t>Encirc</t>
  </si>
  <si>
    <t>02 05 01</t>
  </si>
  <si>
    <t>Beechdean Ice cream</t>
  </si>
  <si>
    <t>PENDERYN DISTILLERY</t>
  </si>
  <si>
    <t>Kelloggs</t>
  </si>
  <si>
    <t>Rowan Foods</t>
  </si>
  <si>
    <t>DJ1</t>
  </si>
  <si>
    <t>DJ2</t>
  </si>
  <si>
    <t>DJ3</t>
  </si>
  <si>
    <t>DJ4</t>
  </si>
  <si>
    <t>DJ5</t>
  </si>
  <si>
    <t>DJ6</t>
  </si>
  <si>
    <t>DJ7</t>
  </si>
  <si>
    <t>DJ8</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</si>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</sst>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19" t="s">
        <v>41</v>
      </c>
      <c r="B1" s="119"/>
      <c r="C1" s="135" t="s">
        <v>160</v>
      </c>
      <c r="D1" s="136"/>
      <c r="E1" s="93" t="s">
        <v>45</v>
      </c>
      <c r="F1" s="96">
        <v>18.100000000000001</v>
      </c>
      <c r="G1" s="120" t="s">
        <v>43</v>
      </c>
      <c r="H1" s="121"/>
      <c r="I1" s="96">
        <v>5.82</v>
      </c>
      <c r="J1" s="119" t="s">
        <v>153</v>
      </c>
      <c r="K1" s="119"/>
      <c r="L1" s="96">
        <v>1490</v>
      </c>
      <c r="AB1" s="18"/>
      <c r="AC1" s="18"/>
      <c r="AD1" s="30" t="s">
        <v>126</v>
      </c>
      <c r="AE1" s="17"/>
      <c r="AF1" s="17"/>
      <c r="AG1" s="18"/>
      <c r="AH1" s="18"/>
      <c r="AI1" s="40" t="s">
        <v>79</v>
      </c>
      <c r="AJ1" s="41" t="s">
        <v>94</v>
      </c>
      <c r="AK1" s="42" t="s">
        <v>95</v>
      </c>
      <c r="AL1" s="43" t="s">
        <v>125</v>
      </c>
      <c r="AM1" s="43" t="s">
        <v>131</v>
      </c>
      <c r="AN1" s="43" t="s">
        <v>111</v>
      </c>
    </row>
    <row r="2" spans="1:40" x14ac:dyDescent="0.2">
      <c r="A2" s="119" t="s">
        <v>87</v>
      </c>
      <c r="B2" s="119"/>
      <c r="C2" s="133" t="s">
        <v>161</v>
      </c>
      <c r="D2" s="134"/>
      <c r="E2" s="93" t="s">
        <v>109</v>
      </c>
      <c r="F2" s="96" t="s">
        <v>164</v>
      </c>
      <c r="G2" s="138" t="s">
        <v>110</v>
      </c>
      <c r="H2" s="139"/>
      <c r="I2" s="96">
        <v>2191</v>
      </c>
      <c r="J2" s="119" t="s">
        <v>158</v>
      </c>
      <c r="K2" s="119"/>
      <c r="L2" s="96">
        <v>0.36</v>
      </c>
      <c r="AB2" s="30" t="s">
        <v>56</v>
      </c>
      <c r="AC2" s="17"/>
      <c r="AD2" s="30" t="s">
        <v>70</v>
      </c>
      <c r="AE2" s="17"/>
      <c r="AF2" s="17"/>
      <c r="AG2" s="44" t="s">
        <v>76</v>
      </c>
      <c r="AH2" s="18"/>
      <c r="AI2" s="45" t="s">
        <v>126</v>
      </c>
      <c r="AJ2" s="46">
        <v>0</v>
      </c>
      <c r="AK2" s="47">
        <v>0</v>
      </c>
      <c r="AL2" s="10">
        <v>0</v>
      </c>
      <c r="AM2" s="11">
        <v>0</v>
      </c>
      <c r="AN2" s="11">
        <v>0</v>
      </c>
    </row>
    <row r="3" spans="1:40" x14ac:dyDescent="0.2">
      <c r="A3" s="120" t="s">
        <v>42</v>
      </c>
      <c r="B3" s="121"/>
      <c r="C3" s="133" t="s">
        <v>162</v>
      </c>
      <c r="D3" s="134"/>
      <c r="E3" s="93" t="s">
        <v>108</v>
      </c>
      <c r="F3" s="31" t="s">
        <v>78</v>
      </c>
      <c r="G3" s="119" t="s">
        <v>159</v>
      </c>
      <c r="H3" s="119"/>
      <c r="I3" s="96">
        <v>41020</v>
      </c>
      <c r="J3" s="120" t="s">
        <v>154</v>
      </c>
      <c r="K3" s="121"/>
      <c r="L3" s="96">
        <f>(L1/(L2*10000))*100</f>
        <v>41.388888888888886</v>
      </c>
      <c r="AB3" s="30" t="s">
        <v>57</v>
      </c>
      <c r="AC3" s="17"/>
      <c r="AD3" s="30" t="s">
        <v>71</v>
      </c>
      <c r="AE3" s="17"/>
      <c r="AF3" s="17"/>
      <c r="AG3" s="44" t="s">
        <v>77</v>
      </c>
      <c r="AH3" s="18"/>
      <c r="AI3" s="48" t="s">
        <v>113</v>
      </c>
      <c r="AJ3" s="49">
        <v>1.7</v>
      </c>
      <c r="AK3" s="50">
        <v>6</v>
      </c>
      <c r="AL3" s="51">
        <v>1</v>
      </c>
      <c r="AM3" s="11">
        <v>6.2</v>
      </c>
      <c r="AN3" s="11" t="s">
        <v>112</v>
      </c>
    </row>
    <row r="4" spans="1:40" x14ac:dyDescent="0.2">
      <c r="A4" s="119" t="s">
        <v>0</v>
      </c>
      <c r="B4" s="119"/>
      <c r="C4" s="135"/>
      <c r="D4" s="136"/>
      <c r="E4" s="94" t="s">
        <v>1</v>
      </c>
      <c r="F4" s="95" t="s">
        <v>165</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x14ac:dyDescent="0.2">
      <c r="A5" s="119" t="s">
        <v>47</v>
      </c>
      <c r="B5" s="119"/>
      <c r="C5" s="137" t="s">
        <v>163</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19" t="s">
        <v>2</v>
      </c>
      <c r="B8" s="119"/>
      <c r="C8" s="15" t="s">
        <v>178</v>
      </c>
      <c r="D8" s="15" t="s">
        <v>179</v>
      </c>
      <c r="E8" s="15" t="s">
        <v>180</v>
      </c>
      <c r="F8" s="15" t="s">
        <v>181</v>
      </c>
      <c r="G8" s="15" t="s">
        <v>182</v>
      </c>
      <c r="H8" s="15" t="s">
        <v>183</v>
      </c>
      <c r="I8" s="15" t="s">
        <v>184</v>
      </c>
      <c r="J8" s="15" t="s">
        <v>185</v>
      </c>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19" t="s">
        <v>3</v>
      </c>
      <c r="B9" s="119"/>
      <c r="C9" s="15" t="s">
        <v>186</v>
      </c>
      <c r="D9" s="15" t="s">
        <v>186</v>
      </c>
      <c r="E9" s="15" t="s">
        <v>186</v>
      </c>
      <c r="F9" s="15" t="s">
        <v>186</v>
      </c>
      <c r="G9" s="15" t="s">
        <v>186</v>
      </c>
      <c r="H9" s="15" t="s">
        <v>186</v>
      </c>
      <c r="I9" s="15" t="s">
        <v>186</v>
      </c>
      <c r="J9" s="15" t="s">
        <v>186</v>
      </c>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19" t="s">
        <v>4</v>
      </c>
      <c r="B10" s="119"/>
      <c r="C10" s="15">
        <v>6.6</v>
      </c>
      <c r="D10" s="15">
        <v>5.7</v>
      </c>
      <c r="E10" s="15">
        <v>6.1</v>
      </c>
      <c r="F10" s="15">
        <v>5.2</v>
      </c>
      <c r="G10" s="15">
        <v>5.3</v>
      </c>
      <c r="H10" s="15">
        <v>5.5</v>
      </c>
      <c r="I10" s="15">
        <v>5.4</v>
      </c>
      <c r="J10" s="15">
        <v>5.6</v>
      </c>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19" t="s">
        <v>5</v>
      </c>
      <c r="B11" s="119"/>
      <c r="C11" s="15">
        <v>0</v>
      </c>
      <c r="D11" s="15">
        <v>1</v>
      </c>
      <c r="E11" s="15">
        <v>0</v>
      </c>
      <c r="F11" s="15">
        <v>0</v>
      </c>
      <c r="G11" s="15">
        <v>0</v>
      </c>
      <c r="H11" s="15">
        <v>0</v>
      </c>
      <c r="I11" s="15">
        <v>0</v>
      </c>
      <c r="J11" s="15">
        <v>1</v>
      </c>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19" t="s">
        <v>6</v>
      </c>
      <c r="B12" s="119"/>
      <c r="C12" s="15">
        <v>1</v>
      </c>
      <c r="D12" s="15">
        <v>2</v>
      </c>
      <c r="E12" s="15">
        <v>2</v>
      </c>
      <c r="F12" s="15">
        <v>3</v>
      </c>
      <c r="G12" s="15">
        <v>2</v>
      </c>
      <c r="H12" s="15">
        <v>2</v>
      </c>
      <c r="I12" s="15">
        <v>2</v>
      </c>
      <c r="J12" s="15">
        <v>2</v>
      </c>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19" t="s">
        <v>7</v>
      </c>
      <c r="B13" s="119"/>
      <c r="C13" s="15">
        <v>2</v>
      </c>
      <c r="D13" s="15">
        <v>2</v>
      </c>
      <c r="E13" s="15">
        <v>2</v>
      </c>
      <c r="F13" s="15">
        <v>2</v>
      </c>
      <c r="G13" s="15">
        <v>2</v>
      </c>
      <c r="H13" s="15">
        <v>2</v>
      </c>
      <c r="I13" s="15">
        <v>2</v>
      </c>
      <c r="J13" s="15">
        <v>2</v>
      </c>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1" t="s">
        <v>8</v>
      </c>
      <c r="B14" s="131"/>
      <c r="C14" s="100" t="s">
        <v>113</v>
      </c>
      <c r="D14" s="100" t="s">
        <v>113</v>
      </c>
      <c r="E14" s="100" t="s">
        <v>113</v>
      </c>
      <c r="F14" s="100" t="s">
        <v>113</v>
      </c>
      <c r="G14" s="100" t="s">
        <v>113</v>
      </c>
      <c r="H14" s="100" t="s">
        <v>113</v>
      </c>
      <c r="I14" s="100" t="s">
        <v>113</v>
      </c>
      <c r="J14" s="100" t="s">
        <v>113</v>
      </c>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0" t="s">
        <v>9</v>
      </c>
      <c r="B15" s="130"/>
      <c r="C15" s="15">
        <v>38</v>
      </c>
      <c r="D15" s="15">
        <v>38</v>
      </c>
      <c r="E15" s="15">
        <v>38</v>
      </c>
      <c r="F15" s="15">
        <v>38</v>
      </c>
      <c r="G15" s="15">
        <v>38</v>
      </c>
      <c r="H15" s="15">
        <v>38</v>
      </c>
      <c r="I15" s="15">
        <v>38</v>
      </c>
      <c r="J15" s="15">
        <v>38</v>
      </c>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2" t="s">
        <v>44</v>
      </c>
      <c r="B16" s="132"/>
      <c r="C16" s="101" t="s">
        <v>71</v>
      </c>
      <c r="D16" s="101" t="s">
        <v>71</v>
      </c>
      <c r="E16" s="101" t="s">
        <v>71</v>
      </c>
      <c r="F16" s="101" t="s">
        <v>71</v>
      </c>
      <c r="G16" s="101" t="s">
        <v>71</v>
      </c>
      <c r="H16" s="101" t="s">
        <v>71</v>
      </c>
      <c r="I16" s="101" t="s">
        <v>71</v>
      </c>
      <c r="J16" s="101" t="s">
        <v>71</v>
      </c>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80.345370000000003</v>
      </c>
      <c r="D18" s="16">
        <f>$D32</f>
        <v>80.345370000000003</v>
      </c>
      <c r="E18" s="16">
        <f>$D33</f>
        <v>80.345370000000003</v>
      </c>
      <c r="F18" s="16">
        <f>$D34</f>
        <v>80.345370000000003</v>
      </c>
      <c r="G18" s="16">
        <f>$D35</f>
        <v>80.345370000000003</v>
      </c>
      <c r="H18" s="16">
        <f>$D36</f>
        <v>80.345370000000003</v>
      </c>
      <c r="I18" s="16">
        <f>$D37</f>
        <v>80.345370000000003</v>
      </c>
      <c r="J18" s="16">
        <f>$D38</f>
        <v>80.345370000000003</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15.745370000000008</v>
      </c>
      <c r="D19" s="16">
        <f t="shared" ref="D19:V19" si="1">D18-D17</f>
        <v>15.745370000000008</v>
      </c>
      <c r="E19" s="16">
        <f t="shared" si="1"/>
        <v>15.745370000000008</v>
      </c>
      <c r="F19" s="16">
        <f t="shared" si="1"/>
        <v>15.745370000000008</v>
      </c>
      <c r="G19" s="16">
        <f t="shared" si="1"/>
        <v>15.745370000000008</v>
      </c>
      <c r="H19" s="16">
        <f t="shared" si="1"/>
        <v>15.745370000000008</v>
      </c>
      <c r="I19" s="16">
        <f t="shared" si="1"/>
        <v>15.745370000000008</v>
      </c>
      <c r="J19" s="16">
        <f t="shared" si="1"/>
        <v>15.745370000000008</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7.0853999999999999</v>
      </c>
      <c r="D22" s="16">
        <f>$E32</f>
        <v>7.0853999999999999</v>
      </c>
      <c r="E22" s="16">
        <f>$E33</f>
        <v>7.0853999999999999</v>
      </c>
      <c r="F22" s="16">
        <f>$E34</f>
        <v>7.0853999999999999</v>
      </c>
      <c r="G22" s="16">
        <f>$E35</f>
        <v>7.0853999999999999</v>
      </c>
      <c r="H22" s="16">
        <f>$E36</f>
        <v>7.0853999999999999</v>
      </c>
      <c r="I22" s="16">
        <f>$E37</f>
        <v>7.0853999999999999</v>
      </c>
      <c r="J22" s="16">
        <f>$E38</f>
        <v>7.0853999999999999</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-220.91460000000001</v>
      </c>
      <c r="D23" s="16">
        <f t="shared" ref="D23:V23" si="3">D22-D21</f>
        <v>-220.91460000000001</v>
      </c>
      <c r="E23" s="16">
        <f t="shared" si="3"/>
        <v>-220.91460000000001</v>
      </c>
      <c r="F23" s="16">
        <f t="shared" si="3"/>
        <v>-220.91460000000001</v>
      </c>
      <c r="G23" s="16">
        <f t="shared" si="3"/>
        <v>-220.91460000000001</v>
      </c>
      <c r="H23" s="16">
        <f t="shared" si="3"/>
        <v>-220.91460000000001</v>
      </c>
      <c r="I23" s="16">
        <f t="shared" si="3"/>
        <v>-220.91460000000001</v>
      </c>
      <c r="J23" s="16">
        <f t="shared" si="3"/>
        <v>-220.91460000000001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10.8</v>
      </c>
      <c r="C28" s="15">
        <v>0.36</v>
      </c>
      <c r="D28" s="15">
        <v>1169</v>
      </c>
      <c r="E28" s="15">
        <v>196</v>
      </c>
      <c r="F28" s="15">
        <v>44.9</v>
      </c>
      <c r="G28" s="15">
        <v>3.32</v>
      </c>
      <c r="H28" s="15">
        <v>21.5</v>
      </c>
      <c r="I28" s="15">
        <v>1.52</v>
      </c>
      <c r="J28" s="15">
        <v>7.0000000000000007E-2</v>
      </c>
      <c r="K28" s="23">
        <v>0.05</v>
      </c>
      <c r="L28" s="15">
        <v>0.73</v>
      </c>
      <c r="M28" s="15">
        <v>1.42</v>
      </c>
      <c r="N28" s="15"/>
      <c r="O28" s="15"/>
      <c r="P28" s="15">
        <v>778</v>
      </c>
      <c r="Q28" s="15">
        <v>595</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v>30</v>
      </c>
      <c r="C31" s="77">
        <f>IF(C$27="%w/w SAR",((C$28*10)*$B31),IF(C$27="%w/w DM",(((C$28*10)*($B$28/100))*$B31),IF(C$27="kg/t SAR",(C$28*$B31),IF(C$27="kg/t DM",((C$28*($B$28/100))*$B31),IF(C$27="mg/kg SAR",((C$28*0.001)*$B31),IF(C$27="mg/kg DM",(((C$28*0.001)*($B$28/100))*$B31),0))))))</f>
        <v>107.99999999999999</v>
      </c>
      <c r="D31" s="77">
        <f>(IF(D$27="%w/w SAR",((D$28*10)*$B31),IF(D$27="%w/w DM",(((D$28*10)*($B$28/100))*$B31),IF(D$27="kg/t SAR",(D$28*$B31),IF(D$27="kg/t DM",((D$28*($B$28/100))*$B31),IF(D$27="mg/kg SAR",((D$28*0.001)*$B31),IF(D$27="mg/kg DM",(((D$28*0.001)*($B$28/100))*$B31),"0")))))))*2.291</f>
        <v>80.345370000000003</v>
      </c>
      <c r="E31" s="77">
        <f>(IF(E$27="%w/w SAR",((E$28*10)*$B31),IF(E$27="%w/w DM",(((E$28*10)*($B$28/100))*$B31),IF(E$27="kg/t SAR",(E$28*$B31),IF(E$27="kg/t DM",((E$28*($B$28/100))*$B31),IF(E$27="mg/kg SAR",((E$28*0.001)*$B31),IF(E$27="mg/kg DM",(((E$28*0.001)*($B$28/100))*$B31),"0")))))))*1.205</f>
        <v>7.0853999999999999</v>
      </c>
      <c r="F31" s="77">
        <f>(IF(F$27="%w/w SAR",((F$28*10)*$B31),IF(F$27="%w/w DM",(((F$28*10)*($B$28/100))*$B31),IF(F$27="kg/t SAR",(F$28*$B31),IF(F$27="kg/t DM",((F$28*($B$28/100))*$B31),IF(F$27="mg/kg SAR",((F$28*0.001)*$B31),IF(F$27="mg/kg DM",(((F$28*0.001)*($B$28/100))*$B31),"0")))))))*1.658</f>
        <v>2.2333259999999999</v>
      </c>
      <c r="G31" s="77">
        <f t="shared" ref="G31:P31" si="5">IF(G$27="%w/w SAR",((G$28*10)*$B31),IF(G$27="%w/w DM",(((G$28*10)*($B$28/100))*$B31),IF(G$27="kg/t SAR",(G$28*$B31),IF(G$27="kg/t DM",((G$28*($B$28/100))*$B31),IF(G$27="mg/kg SAR",((G$28*0.001)*$B31),IF(G$27="mg/kg DM",(((G$28*0.001)*($B$28/100))*$B31),0))))))</f>
        <v>9.9599999999999994E-2</v>
      </c>
      <c r="H31" s="77">
        <f t="shared" si="5"/>
        <v>0.64500000000000002</v>
      </c>
      <c r="I31" s="77">
        <f t="shared" si="5"/>
        <v>4.5600000000000002E-2</v>
      </c>
      <c r="J31" s="77">
        <f t="shared" si="5"/>
        <v>2.1000000000000003E-3</v>
      </c>
      <c r="K31" s="77">
        <f t="shared" si="5"/>
        <v>1.5E-3</v>
      </c>
      <c r="L31" s="77">
        <f t="shared" si="5"/>
        <v>2.1899999999999999E-2</v>
      </c>
      <c r="M31" s="77">
        <f t="shared" si="5"/>
        <v>4.2599999999999999E-2</v>
      </c>
      <c r="N31" s="77">
        <f t="shared" si="5"/>
        <v>0</v>
      </c>
      <c r="O31" s="77">
        <f t="shared" si="5"/>
        <v>0</v>
      </c>
      <c r="P31" s="77">
        <f t="shared" si="5"/>
        <v>23.34</v>
      </c>
      <c r="Q31" s="77">
        <f>(IF(Q$27="%w/w SAR",((Q$28*10)*$B31),IF(Q$27="%w/w DM",(((Q$28*10)*($B$28/100))*$B31),IF(Q$27="kg/t SAR",(Q$28*$B31),IF(Q$27="kg/t DM",((Q$28*($B$28/100))*$B31),IF(Q$27="mg/kg SAR",((Q$28*0.001)*$B31),IF(Q$27="mg/kg DM",(((Q$28*0.001)*($B$28/100))*$B31),0)))))))*2.5</f>
        <v>44.624999999999993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v>30</v>
      </c>
      <c r="C32" s="77">
        <f t="shared" ref="C32:C50" si="6">IF(C$27="%w/w SAR",((C$28*10)*$B32),IF(C$27="%w/w DM",(((C$28*10)*($B$28/100))*$B32),IF(C$27="kg/t SAR",(C$28*$B32),IF(C$27="kg/t DM",((C$28*($B$28/100))*$B32),IF(C$27="mg/kg SAR",((C$28*0.001)*$B32),IF(C$27="mg/kg DM",(((C$28*0.001)*($B$28/100))*$B32),0))))))</f>
        <v>107.99999999999999</v>
      </c>
      <c r="D32" s="77">
        <f t="shared" ref="D32:D50" si="7">(IF(D$27="%w/w SAR",((D$28*10)*$B32),IF(D$27="%w/w DM",(((D$28*10)*($B$28/100))*$B32),IF(D$27="kg/t SAR",(D$28*$B32),IF(D$27="kg/t DM",((D$28*($B$28/100))*$B32),IF(D$27="mg/kg SAR",((D$28*0.001)*$B32),IF(D$27="mg/kg DM",(((D$28*0.001)*($B$28/100))*$B32),"0")))))))*2.291</f>
        <v>80.345370000000003</v>
      </c>
      <c r="E32" s="77">
        <f t="shared" ref="E32:E50" si="8">(IF(E$27="%w/w SAR",((E$28*10)*$B32),IF(E$27="%w/w DM",(((E$28*10)*($B$28/100))*$B32),IF(E$27="kg/t SAR",(E$28*$B32),IF(E$27="kg/t DM",((E$28*($B$28/100))*$B32),IF(E$27="mg/kg SAR",((E$28*0.001)*$B32),IF(E$27="mg/kg DM",(((E$28*0.001)*($B$28/100))*$B32),"0")))))))*1.205</f>
        <v>7.0853999999999999</v>
      </c>
      <c r="F32" s="77">
        <f t="shared" ref="F32:F50" si="9">(IF(F$27="%w/w SAR",((F$28*10)*$B32),IF(F$27="%w/w DM",(((F$28*10)*($B$28/100))*$B32),IF(F$27="kg/t SAR",(F$28*$B32),IF(F$27="kg/t DM",((F$28*($B$28/100))*$B32),IF(F$27="mg/kg SAR",((F$28*0.001)*$B32),IF(F$27="mg/kg DM",(((F$28*0.001)*($B$28/100))*$B32),"0")))))))*1.658</f>
        <v>2.2333259999999999</v>
      </c>
      <c r="G32" s="77">
        <f t="shared" ref="G32:P50" si="10">IF(G$27="%w/w SAR",((G$28*10)*$B32),IF(G$27="%w/w DM",(((G$28*10)*($B$28/100))*$B32),IF(G$27="kg/t SAR",(G$28*$B32),IF(G$27="kg/t DM",((G$28*($B$28/100))*$B32),IF(G$27="mg/kg SAR",((G$28*0.001)*$B32),IF(G$27="mg/kg DM",(((G$28*0.001)*($B$28/100))*$B32),0))))))</f>
        <v>9.9599999999999994E-2</v>
      </c>
      <c r="H32" s="77">
        <f t="shared" si="10"/>
        <v>0.64500000000000002</v>
      </c>
      <c r="I32" s="77">
        <f t="shared" si="10"/>
        <v>4.5600000000000002E-2</v>
      </c>
      <c r="J32" s="77">
        <f t="shared" si="10"/>
        <v>2.1000000000000003E-3</v>
      </c>
      <c r="K32" s="77">
        <f t="shared" si="10"/>
        <v>1.5E-3</v>
      </c>
      <c r="L32" s="77">
        <f t="shared" si="10"/>
        <v>2.1899999999999999E-2</v>
      </c>
      <c r="M32" s="77">
        <f t="shared" si="10"/>
        <v>4.2599999999999999E-2</v>
      </c>
      <c r="N32" s="77">
        <f t="shared" si="10"/>
        <v>0</v>
      </c>
      <c r="O32" s="77">
        <f t="shared" si="10"/>
        <v>0</v>
      </c>
      <c r="P32" s="77">
        <f t="shared" si="10"/>
        <v>23.34</v>
      </c>
      <c r="Q32" s="77">
        <f t="shared" ref="Q32:Q50" si="11">(IF(Q$27="%w/w SAR",((Q$28*10)*$B32),IF(Q$27="%w/w DM",(((Q$28*10)*($B$28/100))*$B32),IF(Q$27="kg/t SAR",(Q$28*$B32),IF(Q$27="kg/t DM",((Q$28*($B$28/100))*$B32),IF(Q$27="mg/kg SAR",((Q$28*0.001)*$B32),IF(Q$27="mg/kg DM",(((Q$28*0.001)*($B$28/100))*$B32),0)))))))*2.5</f>
        <v>44.624999999999993</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t="str">
        <f>E8</f>
        <v>DJ3</v>
      </c>
      <c r="B33" s="15">
        <v>30</v>
      </c>
      <c r="C33" s="77">
        <f t="shared" si="6"/>
        <v>107.99999999999999</v>
      </c>
      <c r="D33" s="77">
        <f t="shared" si="7"/>
        <v>80.345370000000003</v>
      </c>
      <c r="E33" s="77">
        <f t="shared" si="8"/>
        <v>7.0853999999999999</v>
      </c>
      <c r="F33" s="77">
        <f t="shared" si="9"/>
        <v>2.2333259999999999</v>
      </c>
      <c r="G33" s="77">
        <f t="shared" si="10"/>
        <v>9.9599999999999994E-2</v>
      </c>
      <c r="H33" s="77">
        <f t="shared" si="10"/>
        <v>0.64500000000000002</v>
      </c>
      <c r="I33" s="77">
        <f t="shared" si="10"/>
        <v>4.5600000000000002E-2</v>
      </c>
      <c r="J33" s="77">
        <f t="shared" si="10"/>
        <v>2.1000000000000003E-3</v>
      </c>
      <c r="K33" s="77">
        <f t="shared" si="10"/>
        <v>1.5E-3</v>
      </c>
      <c r="L33" s="77">
        <f t="shared" si="10"/>
        <v>2.1899999999999999E-2</v>
      </c>
      <c r="M33" s="77">
        <f t="shared" si="10"/>
        <v>4.2599999999999999E-2</v>
      </c>
      <c r="N33" s="77">
        <f t="shared" si="10"/>
        <v>0</v>
      </c>
      <c r="O33" s="77">
        <f t="shared" si="10"/>
        <v>0</v>
      </c>
      <c r="P33" s="77">
        <f t="shared" si="10"/>
        <v>23.34</v>
      </c>
      <c r="Q33" s="77">
        <f t="shared" si="11"/>
        <v>44.624999999999993</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t="str">
        <f>F8</f>
        <v>DJ4</v>
      </c>
      <c r="B34" s="15">
        <v>30</v>
      </c>
      <c r="C34" s="77">
        <f t="shared" si="6"/>
        <v>107.99999999999999</v>
      </c>
      <c r="D34" s="77">
        <f t="shared" si="7"/>
        <v>80.345370000000003</v>
      </c>
      <c r="E34" s="77">
        <f t="shared" si="8"/>
        <v>7.0853999999999999</v>
      </c>
      <c r="F34" s="77">
        <f t="shared" si="9"/>
        <v>2.2333259999999999</v>
      </c>
      <c r="G34" s="77">
        <f t="shared" si="10"/>
        <v>9.9599999999999994E-2</v>
      </c>
      <c r="H34" s="77">
        <f t="shared" si="10"/>
        <v>0.64500000000000002</v>
      </c>
      <c r="I34" s="77">
        <f t="shared" si="10"/>
        <v>4.5600000000000002E-2</v>
      </c>
      <c r="J34" s="77">
        <f t="shared" si="10"/>
        <v>2.1000000000000003E-3</v>
      </c>
      <c r="K34" s="77">
        <f t="shared" si="10"/>
        <v>1.5E-3</v>
      </c>
      <c r="L34" s="77">
        <f t="shared" si="10"/>
        <v>2.1899999999999999E-2</v>
      </c>
      <c r="M34" s="77">
        <f t="shared" si="10"/>
        <v>4.2599999999999999E-2</v>
      </c>
      <c r="N34" s="77">
        <f t="shared" si="10"/>
        <v>0</v>
      </c>
      <c r="O34" s="77">
        <f t="shared" si="10"/>
        <v>0</v>
      </c>
      <c r="P34" s="77">
        <f t="shared" si="10"/>
        <v>23.34</v>
      </c>
      <c r="Q34" s="77">
        <f t="shared" si="11"/>
        <v>44.624999999999993</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t="str">
        <f>G8</f>
        <v>DJ5</v>
      </c>
      <c r="B35" s="15">
        <v>30</v>
      </c>
      <c r="C35" s="77">
        <f t="shared" si="6"/>
        <v>107.99999999999999</v>
      </c>
      <c r="D35" s="77">
        <f t="shared" si="7"/>
        <v>80.345370000000003</v>
      </c>
      <c r="E35" s="77">
        <f t="shared" si="8"/>
        <v>7.0853999999999999</v>
      </c>
      <c r="F35" s="77">
        <f t="shared" si="9"/>
        <v>2.2333259999999999</v>
      </c>
      <c r="G35" s="77">
        <f t="shared" si="10"/>
        <v>9.9599999999999994E-2</v>
      </c>
      <c r="H35" s="77">
        <f t="shared" si="10"/>
        <v>0.64500000000000002</v>
      </c>
      <c r="I35" s="77">
        <f t="shared" si="10"/>
        <v>4.5600000000000002E-2</v>
      </c>
      <c r="J35" s="77">
        <f t="shared" si="10"/>
        <v>2.1000000000000003E-3</v>
      </c>
      <c r="K35" s="77">
        <f t="shared" si="10"/>
        <v>1.5E-3</v>
      </c>
      <c r="L35" s="77">
        <f t="shared" si="10"/>
        <v>2.1899999999999999E-2</v>
      </c>
      <c r="M35" s="77">
        <f t="shared" si="10"/>
        <v>4.2599999999999999E-2</v>
      </c>
      <c r="N35" s="77">
        <f t="shared" si="10"/>
        <v>0</v>
      </c>
      <c r="O35" s="77">
        <f t="shared" si="10"/>
        <v>0</v>
      </c>
      <c r="P35" s="77">
        <f t="shared" si="10"/>
        <v>23.34</v>
      </c>
      <c r="Q35" s="77">
        <f t="shared" si="11"/>
        <v>44.624999999999993</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t="str">
        <f>H8</f>
        <v>DJ6</v>
      </c>
      <c r="B36" s="15">
        <v>30</v>
      </c>
      <c r="C36" s="77">
        <f t="shared" si="6"/>
        <v>107.99999999999999</v>
      </c>
      <c r="D36" s="77">
        <f t="shared" si="7"/>
        <v>80.345370000000003</v>
      </c>
      <c r="E36" s="77">
        <f t="shared" si="8"/>
        <v>7.0853999999999999</v>
      </c>
      <c r="F36" s="77">
        <f t="shared" si="9"/>
        <v>2.2333259999999999</v>
      </c>
      <c r="G36" s="77">
        <f t="shared" si="10"/>
        <v>9.9599999999999994E-2</v>
      </c>
      <c r="H36" s="77">
        <f t="shared" si="10"/>
        <v>0.64500000000000002</v>
      </c>
      <c r="I36" s="77">
        <f t="shared" si="10"/>
        <v>4.5600000000000002E-2</v>
      </c>
      <c r="J36" s="77">
        <f t="shared" si="10"/>
        <v>2.1000000000000003E-3</v>
      </c>
      <c r="K36" s="77">
        <f t="shared" si="10"/>
        <v>1.5E-3</v>
      </c>
      <c r="L36" s="77">
        <f t="shared" si="10"/>
        <v>2.1899999999999999E-2</v>
      </c>
      <c r="M36" s="77">
        <f t="shared" si="10"/>
        <v>4.2599999999999999E-2</v>
      </c>
      <c r="N36" s="77">
        <f t="shared" si="10"/>
        <v>0</v>
      </c>
      <c r="O36" s="77">
        <f t="shared" si="10"/>
        <v>0</v>
      </c>
      <c r="P36" s="77">
        <f t="shared" si="10"/>
        <v>23.34</v>
      </c>
      <c r="Q36" s="77">
        <f t="shared" si="11"/>
        <v>44.624999999999993</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t="str">
        <f>I8</f>
        <v>DJ7</v>
      </c>
      <c r="B37" s="15">
        <v>30</v>
      </c>
      <c r="C37" s="77">
        <f t="shared" si="6"/>
        <v>107.99999999999999</v>
      </c>
      <c r="D37" s="77">
        <f t="shared" si="7"/>
        <v>80.345370000000003</v>
      </c>
      <c r="E37" s="77">
        <f t="shared" si="8"/>
        <v>7.0853999999999999</v>
      </c>
      <c r="F37" s="77">
        <f t="shared" si="9"/>
        <v>2.2333259999999999</v>
      </c>
      <c r="G37" s="77">
        <f t="shared" si="10"/>
        <v>9.9599999999999994E-2</v>
      </c>
      <c r="H37" s="77">
        <f t="shared" si="10"/>
        <v>0.64500000000000002</v>
      </c>
      <c r="I37" s="77">
        <f t="shared" si="10"/>
        <v>4.5600000000000002E-2</v>
      </c>
      <c r="J37" s="77">
        <f t="shared" si="10"/>
        <v>2.1000000000000003E-3</v>
      </c>
      <c r="K37" s="77">
        <f t="shared" si="10"/>
        <v>1.5E-3</v>
      </c>
      <c r="L37" s="77">
        <f t="shared" si="10"/>
        <v>2.1899999999999999E-2</v>
      </c>
      <c r="M37" s="77">
        <f t="shared" si="10"/>
        <v>4.2599999999999999E-2</v>
      </c>
      <c r="N37" s="77">
        <f t="shared" si="10"/>
        <v>0</v>
      </c>
      <c r="O37" s="77">
        <f t="shared" si="10"/>
        <v>0</v>
      </c>
      <c r="P37" s="77">
        <f t="shared" si="10"/>
        <v>23.34</v>
      </c>
      <c r="Q37" s="77">
        <f t="shared" si="11"/>
        <v>44.624999999999993</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t="str">
        <f>J8</f>
        <v>DJ8</v>
      </c>
      <c r="B38" s="15">
        <v>30</v>
      </c>
      <c r="C38" s="77">
        <f t="shared" si="6"/>
        <v>107.99999999999999</v>
      </c>
      <c r="D38" s="77">
        <f t="shared" si="7"/>
        <v>80.345370000000003</v>
      </c>
      <c r="E38" s="77">
        <f t="shared" si="8"/>
        <v>7.0853999999999999</v>
      </c>
      <c r="F38" s="77">
        <f t="shared" si="9"/>
        <v>2.2333259999999999</v>
      </c>
      <c r="G38" s="77">
        <f t="shared" si="10"/>
        <v>9.9599999999999994E-2</v>
      </c>
      <c r="H38" s="77">
        <f t="shared" si="10"/>
        <v>0.64500000000000002</v>
      </c>
      <c r="I38" s="77">
        <f t="shared" si="10"/>
        <v>4.5600000000000002E-2</v>
      </c>
      <c r="J38" s="77">
        <f t="shared" si="10"/>
        <v>2.1000000000000003E-3</v>
      </c>
      <c r="K38" s="77">
        <f t="shared" si="10"/>
        <v>1.5E-3</v>
      </c>
      <c r="L38" s="77">
        <f t="shared" si="10"/>
        <v>2.1899999999999999E-2</v>
      </c>
      <c r="M38" s="77">
        <f t="shared" si="10"/>
        <v>4.2599999999999999E-2</v>
      </c>
      <c r="N38" s="77">
        <f t="shared" si="10"/>
        <v>0</v>
      </c>
      <c r="O38" s="77">
        <f t="shared" si="10"/>
        <v>0</v>
      </c>
      <c r="P38" s="77">
        <f t="shared" si="10"/>
        <v>23.34</v>
      </c>
      <c r="Q38" s="77">
        <f t="shared" si="11"/>
        <v>44.624999999999993</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Sandy Loam I Grass</v>
      </c>
      <c r="C58" s="13" t="str">
        <f>D16&amp;" I "&amp;(VLOOKUP(D14,Table24[],6,FALSE))</f>
        <v>Sandy Loam I Grass</v>
      </c>
      <c r="D58" s="13" t="str">
        <f>E16&amp;" I "&amp;(VLOOKUP(E14,Table24[],6,FALSE))</f>
        <v>Sandy Loam I Grass</v>
      </c>
      <c r="E58" s="13" t="str">
        <f>F16&amp;" I "&amp;(VLOOKUP(F14,Table24[],6,FALSE))</f>
        <v>Sandy Loam I Grass</v>
      </c>
      <c r="F58" s="13" t="str">
        <f>G16&amp;" I "&amp;(VLOOKUP(G14,Table24[],6,FALSE))</f>
        <v>Sandy Loam I Grass</v>
      </c>
      <c r="G58" s="13" t="str">
        <f>H16&amp;" I "&amp;(VLOOKUP(H14,Table24[],6,FALSE))</f>
        <v>Sandy Loam I Grass</v>
      </c>
      <c r="H58" s="13" t="str">
        <f>I16&amp;" I "&amp;(VLOOKUP(I14,Table24[],6,FALSE))</f>
        <v>Sandy Loam I Grass</v>
      </c>
      <c r="I58" s="13" t="str">
        <f>J16&amp;" I "&amp;(VLOOKUP(J14,Table24[],6,FALSE))</f>
        <v>Sandy Loam I Grass</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30</v>
      </c>
      <c r="C62" s="77">
        <f>B32</f>
        <v>30</v>
      </c>
      <c r="D62" s="77">
        <f>B33</f>
        <v>30</v>
      </c>
      <c r="E62" s="77">
        <f>B34</f>
        <v>30</v>
      </c>
      <c r="F62" s="77">
        <f>B35</f>
        <v>30</v>
      </c>
      <c r="G62" s="77">
        <f>B36</f>
        <v>30</v>
      </c>
      <c r="H62" s="77">
        <f>B37</f>
        <v>30</v>
      </c>
      <c r="I62" s="77">
        <f>B38</f>
        <v>30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F13"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PAN-019538</v>
      </c>
      <c r="D1" s="141"/>
      <c r="E1" s="93" t="s">
        <v>45</v>
      </c>
      <c r="F1" s="39">
        <f>Secanim!F1</f>
        <v>18.100000000000001</v>
      </c>
      <c r="G1" s="120" t="s">
        <v>43</v>
      </c>
      <c r="H1" s="121"/>
      <c r="I1" s="118">
        <v>7.01</v>
      </c>
      <c r="J1" s="119" t="s">
        <v>153</v>
      </c>
      <c r="K1" s="119"/>
      <c r="L1" s="97">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EPR-KP3594VE</v>
      </c>
      <c r="D2" s="143"/>
      <c r="E2" s="93" t="s">
        <v>109</v>
      </c>
      <c r="F2" s="96" t="s">
        <v>166</v>
      </c>
      <c r="G2" s="138" t="s">
        <v>110</v>
      </c>
      <c r="H2" s="139"/>
      <c r="I2" s="118">
        <v>3261</v>
      </c>
      <c r="J2" s="119" t="s">
        <v>158</v>
      </c>
      <c r="K2" s="119"/>
      <c r="L2" s="97">
        <v>0.22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 xml:space="preserve">Trade Effluent Services Limited </v>
      </c>
      <c r="D3" s="143"/>
      <c r="E3" s="93" t="s">
        <v>108</v>
      </c>
      <c r="F3" s="31" t="s">
        <v>78</v>
      </c>
      <c r="G3" s="119" t="s">
        <v>159</v>
      </c>
      <c r="H3" s="119"/>
      <c r="I3" s="118"/>
      <c r="J3" s="120" t="s">
        <v>154</v>
      </c>
      <c r="K3" s="121"/>
      <c r="L3" s="97">
        <f>(L1/(L2*10000))*100</f>
        <v>2.5909090909090908</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Secanim!C4:D4</f>
        <v>0</v>
      </c>
      <c r="D4" s="141"/>
      <c r="E4" s="94" t="s">
        <v>1</v>
      </c>
      <c r="F4" s="96" t="s">
        <v>167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Secanim!C8</f>
        <v>DJ1</v>
      </c>
      <c r="D8" s="60" t="str">
        <f>Secanim!D8</f>
        <v>DJ2</v>
      </c>
      <c r="E8" s="60" t="str">
        <f>Secanim!E8</f>
        <v>DJ3</v>
      </c>
      <c r="F8" s="60" t="str">
        <f>Secanim!F8</f>
        <v>DJ4</v>
      </c>
      <c r="G8" s="60" t="str">
        <f>Secanim!G8</f>
        <v>DJ5</v>
      </c>
      <c r="H8" s="60" t="str">
        <f>Secanim!H8</f>
        <v>DJ6</v>
      </c>
      <c r="I8" s="60" t="str">
        <f>Secanim!I8</f>
        <v>DJ7</v>
      </c>
      <c r="J8" s="60" t="str">
        <f>Secanim!J8</f>
        <v>DJ8</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6.6</v>
      </c>
      <c r="D10" s="60">
        <f>Secanim!D10</f>
        <v>5.7</v>
      </c>
      <c r="E10" s="60">
        <f>Secanim!E10</f>
        <v>6.1</v>
      </c>
      <c r="F10" s="60">
        <f>Secanim!F10</f>
        <v>5.2</v>
      </c>
      <c r="G10" s="60">
        <f>Secanim!G10</f>
        <v>5.3</v>
      </c>
      <c r="H10" s="60">
        <f>Secanim!H10</f>
        <v>5.5</v>
      </c>
      <c r="I10" s="60">
        <f>Secanim!I10</f>
        <v>5.4</v>
      </c>
      <c r="J10" s="60">
        <f>Secanim!J10</f>
        <v>5.6</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0</v>
      </c>
      <c r="D11" s="60">
        <f>Secanim!D11</f>
        <v>1</v>
      </c>
      <c r="E11" s="60">
        <f>Secanim!E11</f>
        <v>0</v>
      </c>
      <c r="F11" s="60">
        <f>Secanim!F11</f>
        <v>0</v>
      </c>
      <c r="G11" s="60">
        <f>Secanim!G11</f>
        <v>0</v>
      </c>
      <c r="H11" s="60">
        <f>Secanim!H11</f>
        <v>0</v>
      </c>
      <c r="I11" s="60">
        <f>Secanim!I11</f>
        <v>0</v>
      </c>
      <c r="J11" s="60">
        <f>Secanim!J11</f>
        <v>1</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Secanim!C12</f>
        <v>1</v>
      </c>
      <c r="D12" s="60">
        <f>Secanim!D12</f>
        <v>2</v>
      </c>
      <c r="E12" s="60">
        <f>Secanim!E12</f>
        <v>2</v>
      </c>
      <c r="F12" s="60">
        <f>Secanim!F12</f>
        <v>3</v>
      </c>
      <c r="G12" s="60">
        <f>Secanim!G12</f>
        <v>2</v>
      </c>
      <c r="H12" s="60">
        <f>Secanim!H12</f>
        <v>2</v>
      </c>
      <c r="I12" s="60">
        <f>Secanim!I12</f>
        <v>2</v>
      </c>
      <c r="J12" s="60">
        <f>Secanim!J12</f>
        <v>2</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2</v>
      </c>
      <c r="D13" s="60">
        <f>Secanim!D13</f>
        <v>2</v>
      </c>
      <c r="E13" s="60">
        <f>Secanim!E13</f>
        <v>2</v>
      </c>
      <c r="F13" s="60">
        <f>Secanim!F13</f>
        <v>2</v>
      </c>
      <c r="G13" s="60">
        <f>Secanim!G13</f>
        <v>2</v>
      </c>
      <c r="H13" s="60">
        <f>Secanim!H13</f>
        <v>2</v>
      </c>
      <c r="I13" s="60">
        <f>Secanim!I13</f>
        <v>2</v>
      </c>
      <c r="J13" s="60">
        <f>Secanim!J13</f>
        <v>2</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Sandy Loam</v>
      </c>
      <c r="D16" s="103" t="str">
        <f>Secanim!D16</f>
        <v>Sandy Loam</v>
      </c>
      <c r="E16" s="103" t="str">
        <f>Secanim!E16</f>
        <v>Sandy Loam</v>
      </c>
      <c r="F16" s="103" t="str">
        <f>Secanim!F16</f>
        <v>Sandy Loam</v>
      </c>
      <c r="G16" s="103" t="str">
        <f>Secanim!G16</f>
        <v>Sandy Loam</v>
      </c>
      <c r="H16" s="103" t="str">
        <f>Secanim!H16</f>
        <v>Sandy Loam</v>
      </c>
      <c r="I16" s="103" t="str">
        <f>Secanim!I16</f>
        <v>Sandy Loam</v>
      </c>
      <c r="J16" s="103" t="str">
        <f>Secanim!J16</f>
        <v>Sandy Loam</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95.200214000000003</v>
      </c>
      <c r="D18" s="16">
        <f>$D32</f>
        <v>95.200214000000003</v>
      </c>
      <c r="E18" s="16">
        <f>$D33</f>
        <v>95.200214000000003</v>
      </c>
      <c r="F18" s="16">
        <f>$D34</f>
        <v>95.200214000000003</v>
      </c>
      <c r="G18" s="16">
        <f>$D35</f>
        <v>95.200214000000003</v>
      </c>
      <c r="H18" s="16">
        <f>$D36</f>
        <v>95.200214000000003</v>
      </c>
      <c r="I18" s="16">
        <f>$D37</f>
        <v>95.200214000000003</v>
      </c>
      <c r="J18" s="16">
        <f>$D38</f>
        <v>95.200214000000003</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30.600214000000008</v>
      </c>
      <c r="D19" s="16">
        <f t="shared" ref="D19:V19" si="1">D18-D17</f>
        <v>30.600214000000008</v>
      </c>
      <c r="E19" s="16">
        <f t="shared" si="1"/>
        <v>30.600214000000008</v>
      </c>
      <c r="F19" s="16">
        <f t="shared" si="1"/>
        <v>30.600214000000008</v>
      </c>
      <c r="G19" s="16">
        <f t="shared" si="1"/>
        <v>30.600214000000008</v>
      </c>
      <c r="H19" s="16">
        <f t="shared" si="1"/>
        <v>30.600214000000008</v>
      </c>
      <c r="I19" s="16">
        <f t="shared" si="1"/>
        <v>30.600214000000008</v>
      </c>
      <c r="J19" s="16">
        <f t="shared" si="1"/>
        <v>30.600214000000008</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20.371729999999999</v>
      </c>
      <c r="D22" s="16">
        <f>$E32</f>
        <v>20.371729999999999</v>
      </c>
      <c r="E22" s="16">
        <f>$E33</f>
        <v>20.371729999999999</v>
      </c>
      <c r="F22" s="16">
        <f>$E34</f>
        <v>20.371729999999999</v>
      </c>
      <c r="G22" s="16">
        <f>$E35</f>
        <v>20.371729999999999</v>
      </c>
      <c r="H22" s="16">
        <f>$E36</f>
        <v>20.371729999999999</v>
      </c>
      <c r="I22" s="16">
        <f>$E37</f>
        <v>20.371729999999999</v>
      </c>
      <c r="J22" s="16">
        <f>$E38</f>
        <v>20.371729999999999</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-207.62826999999999</v>
      </c>
      <c r="D23" s="16">
        <f t="shared" ref="D23:V23" si="3">D22-D21</f>
        <v>-207.62826999999999</v>
      </c>
      <c r="E23" s="16">
        <f t="shared" si="3"/>
        <v>-207.62826999999999</v>
      </c>
      <c r="F23" s="16">
        <f t="shared" si="3"/>
        <v>-207.62826999999999</v>
      </c>
      <c r="G23" s="16">
        <f t="shared" si="3"/>
        <v>-207.62826999999999</v>
      </c>
      <c r="H23" s="16">
        <f t="shared" si="3"/>
        <v>-207.62826999999999</v>
      </c>
      <c r="I23" s="16">
        <f t="shared" si="3"/>
        <v>-207.62826999999999</v>
      </c>
      <c r="J23" s="16">
        <f t="shared" si="3"/>
        <v>-207.62826999999999</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3.24</v>
      </c>
      <c r="C28" s="15">
        <v>0.22</v>
      </c>
      <c r="D28" s="15">
        <v>526</v>
      </c>
      <c r="E28" s="15">
        <v>214</v>
      </c>
      <c r="F28" s="15">
        <v>92</v>
      </c>
      <c r="G28" s="15">
        <v>0.98</v>
      </c>
      <c r="H28" s="15">
        <v>11.1</v>
      </c>
      <c r="I28" s="15">
        <v>0.5</v>
      </c>
      <c r="J28" s="15">
        <v>0.01</v>
      </c>
      <c r="K28" s="23">
        <v>0.05</v>
      </c>
      <c r="L28" s="15">
        <v>0.65300000000000002</v>
      </c>
      <c r="M28" s="15">
        <v>5.1100000000000003</v>
      </c>
      <c r="N28" s="15"/>
      <c r="O28" s="15"/>
      <c r="P28" s="15">
        <v>4373</v>
      </c>
      <c r="Q28" s="15">
        <v>2095</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v>79</v>
      </c>
      <c r="C31" s="77">
        <f>IF(C$27="%w/w SAR",((C$28*10)*$B31),IF(C$27="%w/w DM",(((C$28*10)*($B$28/100))*$B31),IF(C$27="kg/t SAR",(C$28*$B31),IF(C$27="kg/t DM",((C$28*($B$28/100))*$B31),IF(C$27="mg/kg SAR",((C$28*0.001)*$B31),IF(C$27="mg/kg DM",(((C$28*0.001)*($B$28/100))*$B31),0))))))</f>
        <v>173.8</v>
      </c>
      <c r="D31" s="77">
        <f>(IF(D$27="%w/w SAR",((D$28*10)*$B31),IF(D$27="%w/w DM",(((D$28*10)*($B$28/100))*$B31),IF(D$27="kg/t SAR",(D$28*$B31),IF(D$27="kg/t DM",((D$28*($B$28/100))*$B31),IF(D$27="mg/kg SAR",((D$28*0.001)*$B31),IF(D$27="mg/kg DM",(((D$28*0.001)*($B$28/100))*$B31),"0")))))))*2.291</f>
        <v>95.200214000000003</v>
      </c>
      <c r="E31" s="77">
        <f>(IF(E$27="%w/w SAR",((E$28*10)*$B31),IF(E$27="%w/w DM",(((E$28*10)*($B$28/100))*$B31),IF(E$27="kg/t SAR",(E$28*$B31),IF(E$27="kg/t DM",((E$28*($B$28/100))*$B31),IF(E$27="mg/kg SAR",((E$28*0.001)*$B31),IF(E$27="mg/kg DM",(((E$28*0.001)*($B$28/100))*$B31),"0")))))))*1.205</f>
        <v>20.371729999999999</v>
      </c>
      <c r="F31" s="77">
        <f>(IF(F$27="%w/w SAR",((F$28*10)*$B31),IF(F$27="%w/w DM",(((F$28*10)*($B$28/100))*$B31),IF(F$27="kg/t SAR",(F$28*$B31),IF(F$27="kg/t DM",((F$28*($B$28/100))*$B31),IF(F$27="mg/kg SAR",((F$28*0.001)*$B31),IF(F$27="mg/kg DM",(((F$28*0.001)*($B$28/100))*$B31),"0")))))))*1.658</f>
        <v>12.050343999999999</v>
      </c>
      <c r="G31" s="77">
        <f t="shared" ref="G31:P46" si="5">IF(G$27="%w/w SAR",((G$28*10)*$B31),IF(G$27="%w/w DM",(((G$28*10)*($B$28/100))*$B31),IF(G$27="kg/t SAR",(G$28*$B31),IF(G$27="kg/t DM",((G$28*($B$28/100))*$B31),IF(G$27="mg/kg SAR",((G$28*0.001)*$B31),IF(G$27="mg/kg DM",(((G$28*0.001)*($B$28/100))*$B31),0))))))</f>
        <v>7.7420000000000003E-2</v>
      </c>
      <c r="H31" s="77">
        <f t="shared" si="5"/>
        <v>0.87690000000000001</v>
      </c>
      <c r="I31" s="77">
        <f t="shared" si="5"/>
        <v>3.95E-2</v>
      </c>
      <c r="J31" s="77">
        <f t="shared" si="5"/>
        <v>7.9000000000000001E-4</v>
      </c>
      <c r="K31" s="77">
        <f t="shared" si="5"/>
        <v>3.9500000000000004E-3</v>
      </c>
      <c r="L31" s="77">
        <f t="shared" si="5"/>
        <v>5.1587000000000001E-2</v>
      </c>
      <c r="M31" s="77">
        <f t="shared" si="5"/>
        <v>0.40369000000000005</v>
      </c>
      <c r="N31" s="77">
        <f t="shared" si="5"/>
        <v>0</v>
      </c>
      <c r="O31" s="77">
        <f t="shared" si="5"/>
        <v>0</v>
      </c>
      <c r="P31" s="77">
        <f t="shared" si="5"/>
        <v>345.46700000000004</v>
      </c>
      <c r="Q31" s="77">
        <f>(IF(Q$27="%w/w SAR",((Q$28*10)*$B31),IF(Q$27="%w/w DM",(((Q$28*10)*($B$28/100))*$B31),IF(Q$27="kg/t SAR",(Q$28*$B31),IF(Q$27="kg/t DM",((Q$28*($B$28/100))*$B31),IF(Q$27="mg/kg SAR",((Q$28*0.001)*$B31),IF(Q$27="mg/kg DM",(((Q$28*0.001)*($B$28/100))*$B31),0)))))))*2.5</f>
        <v>413.76250000000005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v>79</v>
      </c>
      <c r="C32" s="77">
        <f t="shared" ref="C32:C50" si="6">IF(C$27="%w/w SAR",((C$28*10)*$B32),IF(C$27="%w/w DM",(((C$28*10)*($B$28/100))*$B32),IF(C$27="kg/t SAR",(C$28*$B32),IF(C$27="kg/t DM",((C$28*($B$28/100))*$B32),IF(C$27="mg/kg SAR",((C$28*0.001)*$B32),IF(C$27="mg/kg DM",(((C$28*0.001)*($B$28/100))*$B32),0))))))</f>
        <v>173.8</v>
      </c>
      <c r="D32" s="77">
        <f t="shared" ref="D32:D50" si="7">(IF(D$27="%w/w SAR",((D$28*10)*$B32),IF(D$27="%w/w DM",(((D$28*10)*($B$28/100))*$B32),IF(D$27="kg/t SAR",(D$28*$B32),IF(D$27="kg/t DM",((D$28*($B$28/100))*$B32),IF(D$27="mg/kg SAR",((D$28*0.001)*$B32),IF(D$27="mg/kg DM",(((D$28*0.001)*($B$28/100))*$B32),"0")))))))*2.291</f>
        <v>95.200214000000003</v>
      </c>
      <c r="E32" s="77">
        <f t="shared" ref="E32:E50" si="8">(IF(E$27="%w/w SAR",((E$28*10)*$B32),IF(E$27="%w/w DM",(((E$28*10)*($B$28/100))*$B32),IF(E$27="kg/t SAR",(E$28*$B32),IF(E$27="kg/t DM",((E$28*($B$28/100))*$B32),IF(E$27="mg/kg SAR",((E$28*0.001)*$B32),IF(E$27="mg/kg DM",(((E$28*0.001)*($B$28/100))*$B32),"0")))))))*1.205</f>
        <v>20.371729999999999</v>
      </c>
      <c r="F32" s="77">
        <f t="shared" ref="F32:F50" si="9">(IF(F$27="%w/w SAR",((F$28*10)*$B32),IF(F$27="%w/w DM",(((F$28*10)*($B$28/100))*$B32),IF(F$27="kg/t SAR",(F$28*$B32),IF(F$27="kg/t DM",((F$28*($B$28/100))*$B32),IF(F$27="mg/kg SAR",((F$28*0.001)*$B32),IF(F$27="mg/kg DM",(((F$28*0.001)*($B$28/100))*$B32),"0")))))))*1.658</f>
        <v>12.050343999999999</v>
      </c>
      <c r="G32" s="77">
        <f t="shared" si="5"/>
        <v>7.7420000000000003E-2</v>
      </c>
      <c r="H32" s="77">
        <f t="shared" si="5"/>
        <v>0.87690000000000001</v>
      </c>
      <c r="I32" s="77">
        <f t="shared" si="5"/>
        <v>3.95E-2</v>
      </c>
      <c r="J32" s="77">
        <f t="shared" si="5"/>
        <v>7.9000000000000001E-4</v>
      </c>
      <c r="K32" s="77">
        <f t="shared" si="5"/>
        <v>3.9500000000000004E-3</v>
      </c>
      <c r="L32" s="77">
        <f t="shared" si="5"/>
        <v>5.1587000000000001E-2</v>
      </c>
      <c r="M32" s="77">
        <f t="shared" si="5"/>
        <v>0.40369000000000005</v>
      </c>
      <c r="N32" s="77">
        <f t="shared" si="5"/>
        <v>0</v>
      </c>
      <c r="O32" s="77">
        <f t="shared" si="5"/>
        <v>0</v>
      </c>
      <c r="P32" s="77">
        <f t="shared" si="5"/>
        <v>345.46700000000004</v>
      </c>
      <c r="Q32" s="77">
        <f t="shared" ref="Q32:Q50" si="10">(IF(Q$27="%w/w SAR",((Q$28*10)*$B32),IF(Q$27="%w/w DM",(((Q$28*10)*($B$28/100))*$B32),IF(Q$27="kg/t SAR",(Q$28*$B32),IF(Q$27="kg/t DM",((Q$28*($B$28/100))*$B32),IF(Q$27="mg/kg SAR",((Q$28*0.001)*$B32),IF(Q$27="mg/kg DM",(((Q$28*0.001)*($B$28/100))*$B32),0)))))))*2.5</f>
        <v>413.76250000000005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DJ3</v>
      </c>
      <c r="B33" s="15">
        <v>79</v>
      </c>
      <c r="C33" s="77">
        <f t="shared" si="6"/>
        <v>173.8</v>
      </c>
      <c r="D33" s="77">
        <f t="shared" si="7"/>
        <v>95.200214000000003</v>
      </c>
      <c r="E33" s="77">
        <f t="shared" si="8"/>
        <v>20.371729999999999</v>
      </c>
      <c r="F33" s="77">
        <f t="shared" si="9"/>
        <v>12.050343999999999</v>
      </c>
      <c r="G33" s="77">
        <f t="shared" si="5"/>
        <v>7.7420000000000003E-2</v>
      </c>
      <c r="H33" s="77">
        <f t="shared" si="5"/>
        <v>0.87690000000000001</v>
      </c>
      <c r="I33" s="77">
        <f t="shared" si="5"/>
        <v>3.95E-2</v>
      </c>
      <c r="J33" s="77">
        <f t="shared" si="5"/>
        <v>7.9000000000000001E-4</v>
      </c>
      <c r="K33" s="77">
        <f t="shared" si="5"/>
        <v>3.9500000000000004E-3</v>
      </c>
      <c r="L33" s="77">
        <f t="shared" si="5"/>
        <v>5.1587000000000001E-2</v>
      </c>
      <c r="M33" s="77">
        <f t="shared" si="5"/>
        <v>0.40369000000000005</v>
      </c>
      <c r="N33" s="77">
        <f t="shared" si="5"/>
        <v>0</v>
      </c>
      <c r="O33" s="77">
        <f t="shared" si="5"/>
        <v>0</v>
      </c>
      <c r="P33" s="77">
        <f t="shared" si="5"/>
        <v>345.46700000000004</v>
      </c>
      <c r="Q33" s="77">
        <f t="shared" si="10"/>
        <v>413.76250000000005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DJ4</v>
      </c>
      <c r="B34" s="15">
        <v>79</v>
      </c>
      <c r="C34" s="77">
        <f t="shared" si="6"/>
        <v>173.8</v>
      </c>
      <c r="D34" s="77">
        <f t="shared" si="7"/>
        <v>95.200214000000003</v>
      </c>
      <c r="E34" s="77">
        <f t="shared" si="8"/>
        <v>20.371729999999999</v>
      </c>
      <c r="F34" s="77">
        <f t="shared" si="9"/>
        <v>12.050343999999999</v>
      </c>
      <c r="G34" s="77">
        <f t="shared" si="5"/>
        <v>7.7420000000000003E-2</v>
      </c>
      <c r="H34" s="77">
        <f t="shared" si="5"/>
        <v>0.87690000000000001</v>
      </c>
      <c r="I34" s="77">
        <f t="shared" si="5"/>
        <v>3.95E-2</v>
      </c>
      <c r="J34" s="77">
        <f t="shared" si="5"/>
        <v>7.9000000000000001E-4</v>
      </c>
      <c r="K34" s="77">
        <f t="shared" si="5"/>
        <v>3.9500000000000004E-3</v>
      </c>
      <c r="L34" s="77">
        <f t="shared" si="5"/>
        <v>5.1587000000000001E-2</v>
      </c>
      <c r="M34" s="77">
        <f t="shared" si="5"/>
        <v>0.40369000000000005</v>
      </c>
      <c r="N34" s="77">
        <f t="shared" si="5"/>
        <v>0</v>
      </c>
      <c r="O34" s="77">
        <f t="shared" si="5"/>
        <v>0</v>
      </c>
      <c r="P34" s="77">
        <f t="shared" si="5"/>
        <v>345.46700000000004</v>
      </c>
      <c r="Q34" s="77">
        <f t="shared" si="10"/>
        <v>413.76250000000005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DJ5</v>
      </c>
      <c r="B35" s="15">
        <v>79</v>
      </c>
      <c r="C35" s="77">
        <f t="shared" si="6"/>
        <v>173.8</v>
      </c>
      <c r="D35" s="77">
        <f t="shared" si="7"/>
        <v>95.200214000000003</v>
      </c>
      <c r="E35" s="77">
        <f t="shared" si="8"/>
        <v>20.371729999999999</v>
      </c>
      <c r="F35" s="77">
        <f t="shared" si="9"/>
        <v>12.050343999999999</v>
      </c>
      <c r="G35" s="77">
        <f t="shared" si="5"/>
        <v>7.7420000000000003E-2</v>
      </c>
      <c r="H35" s="77">
        <f t="shared" si="5"/>
        <v>0.87690000000000001</v>
      </c>
      <c r="I35" s="77">
        <f t="shared" si="5"/>
        <v>3.95E-2</v>
      </c>
      <c r="J35" s="77">
        <f t="shared" si="5"/>
        <v>7.9000000000000001E-4</v>
      </c>
      <c r="K35" s="77">
        <f t="shared" si="5"/>
        <v>3.9500000000000004E-3</v>
      </c>
      <c r="L35" s="77">
        <f t="shared" si="5"/>
        <v>5.1587000000000001E-2</v>
      </c>
      <c r="M35" s="77">
        <f t="shared" si="5"/>
        <v>0.40369000000000005</v>
      </c>
      <c r="N35" s="77">
        <f t="shared" si="5"/>
        <v>0</v>
      </c>
      <c r="O35" s="77">
        <f t="shared" si="5"/>
        <v>0</v>
      </c>
      <c r="P35" s="77">
        <f t="shared" si="5"/>
        <v>345.46700000000004</v>
      </c>
      <c r="Q35" s="77">
        <f t="shared" si="10"/>
        <v>413.76250000000005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DJ6</v>
      </c>
      <c r="B36" s="15">
        <v>79</v>
      </c>
      <c r="C36" s="77">
        <f t="shared" si="6"/>
        <v>173.8</v>
      </c>
      <c r="D36" s="77">
        <f t="shared" si="7"/>
        <v>95.200214000000003</v>
      </c>
      <c r="E36" s="77">
        <f t="shared" si="8"/>
        <v>20.371729999999999</v>
      </c>
      <c r="F36" s="77">
        <f t="shared" si="9"/>
        <v>12.050343999999999</v>
      </c>
      <c r="G36" s="77">
        <f t="shared" si="5"/>
        <v>7.7420000000000003E-2</v>
      </c>
      <c r="H36" s="77">
        <f t="shared" si="5"/>
        <v>0.87690000000000001</v>
      </c>
      <c r="I36" s="77">
        <f t="shared" si="5"/>
        <v>3.95E-2</v>
      </c>
      <c r="J36" s="77">
        <f t="shared" si="5"/>
        <v>7.9000000000000001E-4</v>
      </c>
      <c r="K36" s="77">
        <f t="shared" si="5"/>
        <v>3.9500000000000004E-3</v>
      </c>
      <c r="L36" s="77">
        <f t="shared" si="5"/>
        <v>5.1587000000000001E-2</v>
      </c>
      <c r="M36" s="77">
        <f t="shared" si="5"/>
        <v>0.40369000000000005</v>
      </c>
      <c r="N36" s="77">
        <f t="shared" si="5"/>
        <v>0</v>
      </c>
      <c r="O36" s="77">
        <f t="shared" si="5"/>
        <v>0</v>
      </c>
      <c r="P36" s="77">
        <f t="shared" si="5"/>
        <v>345.46700000000004</v>
      </c>
      <c r="Q36" s="77">
        <f t="shared" si="10"/>
        <v>413.76250000000005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DJ7</v>
      </c>
      <c r="B37" s="15">
        <v>79</v>
      </c>
      <c r="C37" s="77">
        <f t="shared" si="6"/>
        <v>173.8</v>
      </c>
      <c r="D37" s="77">
        <f t="shared" si="7"/>
        <v>95.200214000000003</v>
      </c>
      <c r="E37" s="77">
        <f t="shared" si="8"/>
        <v>20.371729999999999</v>
      </c>
      <c r="F37" s="77">
        <f t="shared" si="9"/>
        <v>12.050343999999999</v>
      </c>
      <c r="G37" s="77">
        <f t="shared" si="5"/>
        <v>7.7420000000000003E-2</v>
      </c>
      <c r="H37" s="77">
        <f t="shared" si="5"/>
        <v>0.87690000000000001</v>
      </c>
      <c r="I37" s="77">
        <f t="shared" si="5"/>
        <v>3.95E-2</v>
      </c>
      <c r="J37" s="77">
        <f t="shared" si="5"/>
        <v>7.9000000000000001E-4</v>
      </c>
      <c r="K37" s="77">
        <f t="shared" si="5"/>
        <v>3.9500000000000004E-3</v>
      </c>
      <c r="L37" s="77">
        <f t="shared" si="5"/>
        <v>5.1587000000000001E-2</v>
      </c>
      <c r="M37" s="77">
        <f t="shared" si="5"/>
        <v>0.40369000000000005</v>
      </c>
      <c r="N37" s="77">
        <f t="shared" si="5"/>
        <v>0</v>
      </c>
      <c r="O37" s="77">
        <f t="shared" si="5"/>
        <v>0</v>
      </c>
      <c r="P37" s="77">
        <f t="shared" si="5"/>
        <v>345.46700000000004</v>
      </c>
      <c r="Q37" s="77">
        <f t="shared" si="10"/>
        <v>413.76250000000005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DJ8</v>
      </c>
      <c r="B38" s="15">
        <v>79</v>
      </c>
      <c r="C38" s="77">
        <f t="shared" si="6"/>
        <v>173.8</v>
      </c>
      <c r="D38" s="77">
        <f t="shared" si="7"/>
        <v>95.200214000000003</v>
      </c>
      <c r="E38" s="77">
        <f t="shared" si="8"/>
        <v>20.371729999999999</v>
      </c>
      <c r="F38" s="77">
        <f t="shared" si="9"/>
        <v>12.050343999999999</v>
      </c>
      <c r="G38" s="77">
        <f t="shared" si="5"/>
        <v>7.7420000000000003E-2</v>
      </c>
      <c r="H38" s="77">
        <f t="shared" si="5"/>
        <v>0.87690000000000001</v>
      </c>
      <c r="I38" s="77">
        <f t="shared" si="5"/>
        <v>3.95E-2</v>
      </c>
      <c r="J38" s="77">
        <f t="shared" si="5"/>
        <v>7.9000000000000001E-4</v>
      </c>
      <c r="K38" s="77">
        <f t="shared" si="5"/>
        <v>3.9500000000000004E-3</v>
      </c>
      <c r="L38" s="77">
        <f t="shared" si="5"/>
        <v>5.1587000000000001E-2</v>
      </c>
      <c r="M38" s="77">
        <f t="shared" si="5"/>
        <v>0.40369000000000005</v>
      </c>
      <c r="N38" s="77">
        <f t="shared" si="5"/>
        <v>0</v>
      </c>
      <c r="O38" s="77">
        <f t="shared" si="5"/>
        <v>0</v>
      </c>
      <c r="P38" s="77">
        <f t="shared" si="5"/>
        <v>345.46700000000004</v>
      </c>
      <c r="Q38" s="77">
        <f t="shared" si="10"/>
        <v>413.76250000000005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Sandy Loam I Grass</v>
      </c>
      <c r="C58" s="13" t="str">
        <f>D16&amp;" I "&amp;(VLOOKUP(D14,Table245[],6,FALSE))</f>
        <v>Sandy Loam I Grass</v>
      </c>
      <c r="D58" s="13" t="str">
        <f>E16&amp;" I "&amp;(VLOOKUP(E14,Table245[],6,FALSE))</f>
        <v>Sandy Loam I Grass</v>
      </c>
      <c r="E58" s="13" t="str">
        <f>F16&amp;" I "&amp;(VLOOKUP(F14,Table245[],6,FALSE))</f>
        <v>Sandy Loam I Grass</v>
      </c>
      <c r="F58" s="13" t="str">
        <f>G16&amp;" I "&amp;(VLOOKUP(G14,Table245[],6,FALSE))</f>
        <v>Sandy Loam I Grass</v>
      </c>
      <c r="G58" s="13" t="str">
        <f>H16&amp;" I "&amp;(VLOOKUP(H14,Table245[],6,FALSE))</f>
        <v>Sandy Loam I Grass</v>
      </c>
      <c r="H58" s="13" t="str">
        <f>I16&amp;" I "&amp;(VLOOKUP(I14,Table245[],6,FALSE))</f>
        <v>Sandy Loam I Grass</v>
      </c>
      <c r="I58" s="13" t="str">
        <f>J16&amp;" I "&amp;(VLOOKUP(J14,Table245[],6,FALSE))</f>
        <v>Sandy Loam I Grass</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79</v>
      </c>
      <c r="C62" s="77">
        <f>B32</f>
        <v>79</v>
      </c>
      <c r="D62" s="77">
        <f>B33</f>
        <v>79</v>
      </c>
      <c r="E62" s="77">
        <f>B34</f>
        <v>79</v>
      </c>
      <c r="F62" s="77">
        <f>B35</f>
        <v>79</v>
      </c>
      <c r="G62" s="77">
        <f>B36</f>
        <v>79</v>
      </c>
      <c r="H62" s="77">
        <f>B37</f>
        <v>79</v>
      </c>
      <c r="I62" s="77">
        <f>B38</f>
        <v>79</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F13"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PAN-019538</v>
      </c>
      <c r="D1" s="141"/>
      <c r="E1" s="93" t="s">
        <v>45</v>
      </c>
      <c r="F1" s="39">
        <f>Secanim!F1</f>
        <v>18.100000000000001</v>
      </c>
      <c r="G1" s="120" t="s">
        <v>43</v>
      </c>
      <c r="H1" s="121"/>
      <c r="I1" s="118">
        <v>7.0469999999999997</v>
      </c>
      <c r="J1" s="119" t="s">
        <v>153</v>
      </c>
      <c r="K1" s="119"/>
      <c r="L1" s="97">
        <v>140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EPR-KP3594VE</v>
      </c>
      <c r="D2" s="143"/>
      <c r="E2" s="93" t="s">
        <v>109</v>
      </c>
      <c r="F2" s="96" t="s">
        <v>168</v>
      </c>
      <c r="G2" s="138" t="s">
        <v>110</v>
      </c>
      <c r="H2" s="139"/>
      <c r="I2" s="118">
        <v>613</v>
      </c>
      <c r="J2" s="119" t="s">
        <v>158</v>
      </c>
      <c r="K2" s="119"/>
      <c r="L2" s="97">
        <v>0.36</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 xml:space="preserve">Trade Effluent Services Limited </v>
      </c>
      <c r="D3" s="143"/>
      <c r="E3" s="93" t="s">
        <v>108</v>
      </c>
      <c r="F3" s="31" t="s">
        <v>78</v>
      </c>
      <c r="G3" s="119" t="s">
        <v>159</v>
      </c>
      <c r="H3" s="119"/>
      <c r="I3" s="118"/>
      <c r="J3" s="120" t="s">
        <v>154</v>
      </c>
      <c r="K3" s="121"/>
      <c r="L3" s="97">
        <f>(L1/(L2*10000))*100</f>
        <v>3.8888888888888888</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Secanim!C4:D4</f>
        <v>0</v>
      </c>
      <c r="D4" s="141"/>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Secanim!C8</f>
        <v>DJ1</v>
      </c>
      <c r="D8" s="60" t="str">
        <f>Secanim!D8</f>
        <v>DJ2</v>
      </c>
      <c r="E8" s="60" t="str">
        <f>Secanim!E8</f>
        <v>DJ3</v>
      </c>
      <c r="F8" s="60" t="str">
        <f>Secanim!F8</f>
        <v>DJ4</v>
      </c>
      <c r="G8" s="60" t="str">
        <f>Secanim!G8</f>
        <v>DJ5</v>
      </c>
      <c r="H8" s="60" t="str">
        <f>Secanim!H8</f>
        <v>DJ6</v>
      </c>
      <c r="I8" s="60" t="str">
        <f>Secanim!I8</f>
        <v>DJ7</v>
      </c>
      <c r="J8" s="60" t="str">
        <f>Secanim!J8</f>
        <v>DJ8</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6.6</v>
      </c>
      <c r="D10" s="60">
        <f>Secanim!D10</f>
        <v>5.7</v>
      </c>
      <c r="E10" s="60">
        <f>Secanim!E10</f>
        <v>6.1</v>
      </c>
      <c r="F10" s="60">
        <f>Secanim!F10</f>
        <v>5.2</v>
      </c>
      <c r="G10" s="60">
        <f>Secanim!G10</f>
        <v>5.3</v>
      </c>
      <c r="H10" s="60">
        <f>Secanim!H10</f>
        <v>5.5</v>
      </c>
      <c r="I10" s="60">
        <f>Secanim!I10</f>
        <v>5.4</v>
      </c>
      <c r="J10" s="60">
        <f>Secanim!J10</f>
        <v>5.6</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0</v>
      </c>
      <c r="D11" s="60">
        <f>Secanim!D11</f>
        <v>1</v>
      </c>
      <c r="E11" s="60">
        <f>Secanim!E11</f>
        <v>0</v>
      </c>
      <c r="F11" s="60">
        <f>Secanim!F11</f>
        <v>0</v>
      </c>
      <c r="G11" s="60">
        <f>Secanim!G11</f>
        <v>0</v>
      </c>
      <c r="H11" s="60">
        <f>Secanim!H11</f>
        <v>0</v>
      </c>
      <c r="I11" s="60">
        <f>Secanim!I11</f>
        <v>0</v>
      </c>
      <c r="J11" s="60">
        <f>Secanim!J11</f>
        <v>1</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Secanim!C12</f>
        <v>1</v>
      </c>
      <c r="D12" s="60">
        <f>Secanim!D12</f>
        <v>2</v>
      </c>
      <c r="E12" s="60">
        <f>Secanim!E12</f>
        <v>2</v>
      </c>
      <c r="F12" s="60">
        <f>Secanim!F12</f>
        <v>3</v>
      </c>
      <c r="G12" s="60">
        <f>Secanim!G12</f>
        <v>2</v>
      </c>
      <c r="H12" s="60">
        <f>Secanim!H12</f>
        <v>2</v>
      </c>
      <c r="I12" s="60">
        <f>Secanim!I12</f>
        <v>2</v>
      </c>
      <c r="J12" s="60">
        <f>Secanim!J12</f>
        <v>2</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2</v>
      </c>
      <c r="D13" s="60">
        <f>Secanim!D13</f>
        <v>2</v>
      </c>
      <c r="E13" s="60">
        <f>Secanim!E13</f>
        <v>2</v>
      </c>
      <c r="F13" s="60">
        <f>Secanim!F13</f>
        <v>2</v>
      </c>
      <c r="G13" s="60">
        <f>Secanim!G13</f>
        <v>2</v>
      </c>
      <c r="H13" s="60">
        <f>Secanim!H13</f>
        <v>2</v>
      </c>
      <c r="I13" s="60">
        <f>Secanim!I13</f>
        <v>2</v>
      </c>
      <c r="J13" s="60">
        <f>Secanim!J13</f>
        <v>2</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Sandy Loam</v>
      </c>
      <c r="D16" s="103" t="str">
        <f>Secanim!D16</f>
        <v>Sandy Loam</v>
      </c>
      <c r="E16" s="103" t="str">
        <f>Secanim!E16</f>
        <v>Sandy Loam</v>
      </c>
      <c r="F16" s="103" t="str">
        <f>Secanim!F16</f>
        <v>Sandy Loam</v>
      </c>
      <c r="G16" s="103" t="str">
        <f>Secanim!G16</f>
        <v>Sandy Loam</v>
      </c>
      <c r="H16" s="103" t="str">
        <f>Secanim!H16</f>
        <v>Sandy Loam</v>
      </c>
      <c r="I16" s="103" t="str">
        <f>Secanim!I16</f>
        <v>Sandy Loam</v>
      </c>
      <c r="J16" s="103" t="str">
        <f>Secanim!J16</f>
        <v>Sandy Loam</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90.489918000000003</v>
      </c>
      <c r="D18" s="16">
        <f>$D32</f>
        <v>90.489918000000003</v>
      </c>
      <c r="E18" s="16">
        <f>$D33</f>
        <v>90.489918000000003</v>
      </c>
      <c r="F18" s="16">
        <f>$D34</f>
        <v>90.489918000000003</v>
      </c>
      <c r="G18" s="16">
        <f>$D35</f>
        <v>90.489918000000003</v>
      </c>
      <c r="H18" s="16">
        <f>$D36</f>
        <v>90.489918000000003</v>
      </c>
      <c r="I18" s="16">
        <f>$D37</f>
        <v>90.489918000000003</v>
      </c>
      <c r="J18" s="16">
        <f>$D38</f>
        <v>90.489918000000003</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25.889918000000009</v>
      </c>
      <c r="D19" s="16">
        <f t="shared" ref="D19:V19" si="1">D18-D17</f>
        <v>25.889918000000009</v>
      </c>
      <c r="E19" s="16">
        <f t="shared" si="1"/>
        <v>25.889918000000009</v>
      </c>
      <c r="F19" s="16">
        <f t="shared" si="1"/>
        <v>25.889918000000009</v>
      </c>
      <c r="G19" s="16">
        <f t="shared" si="1"/>
        <v>25.889918000000009</v>
      </c>
      <c r="H19" s="16">
        <f t="shared" si="1"/>
        <v>25.889918000000009</v>
      </c>
      <c r="I19" s="16">
        <f t="shared" si="1"/>
        <v>25.889918000000009</v>
      </c>
      <c r="J19" s="16">
        <f t="shared" si="1"/>
        <v>25.889918000000009</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19.219750000000001</v>
      </c>
      <c r="D22" s="16">
        <f>$E32</f>
        <v>19.219750000000001</v>
      </c>
      <c r="E22" s="16">
        <f>$E33</f>
        <v>19.219750000000001</v>
      </c>
      <c r="F22" s="16">
        <f>$E34</f>
        <v>19.219750000000001</v>
      </c>
      <c r="G22" s="16">
        <f>$E35</f>
        <v>19.219750000000001</v>
      </c>
      <c r="H22" s="16">
        <f>$E36</f>
        <v>19.219750000000001</v>
      </c>
      <c r="I22" s="16">
        <f>$E37</f>
        <v>19.219750000000001</v>
      </c>
      <c r="J22" s="16">
        <f>$E38</f>
        <v>19.219750000000001</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-208.78025</v>
      </c>
      <c r="D23" s="16">
        <f t="shared" ref="D23:V23" si="3">D22-D21</f>
        <v>-208.78025</v>
      </c>
      <c r="E23" s="16">
        <f t="shared" si="3"/>
        <v>-208.78025</v>
      </c>
      <c r="F23" s="16">
        <f t="shared" si="3"/>
        <v>-208.78025</v>
      </c>
      <c r="G23" s="16">
        <f t="shared" si="3"/>
        <v>-208.78025</v>
      </c>
      <c r="H23" s="16">
        <f t="shared" si="3"/>
        <v>-208.78025</v>
      </c>
      <c r="I23" s="16">
        <f t="shared" si="3"/>
        <v>-208.78025</v>
      </c>
      <c r="J23" s="16">
        <f t="shared" si="3"/>
        <v>-208.78025</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5.33</v>
      </c>
      <c r="C28" s="15">
        <v>0.36</v>
      </c>
      <c r="D28" s="15">
        <v>681</v>
      </c>
      <c r="E28" s="15">
        <v>275</v>
      </c>
      <c r="F28" s="15">
        <v>212</v>
      </c>
      <c r="G28" s="15">
        <v>1.48</v>
      </c>
      <c r="H28" s="15">
        <v>11.2</v>
      </c>
      <c r="I28" s="15">
        <v>0.5</v>
      </c>
      <c r="J28" s="15">
        <v>1.6E-2</v>
      </c>
      <c r="K28" s="23">
        <v>0.05</v>
      </c>
      <c r="L28" s="15">
        <v>0.318</v>
      </c>
      <c r="M28" s="15">
        <v>0.53300000000000003</v>
      </c>
      <c r="N28" s="15"/>
      <c r="O28" s="15"/>
      <c r="P28" s="15">
        <v>415</v>
      </c>
      <c r="Q28" s="15">
        <v>711</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v>58</v>
      </c>
      <c r="C31" s="77">
        <f>IF(C$27="%w/w SAR",((C$28*10)*$B31),IF(C$27="%w/w DM",(((C$28*10)*($B$28/100))*$B31),IF(C$27="kg/t SAR",(C$28*$B31),IF(C$27="kg/t DM",((C$28*($B$28/100))*$B31),IF(C$27="mg/kg SAR",((C$28*0.001)*$B31),IF(C$27="mg/kg DM",(((C$28*0.001)*($B$28/100))*$B31),0))))))</f>
        <v>208.79999999999998</v>
      </c>
      <c r="D31" s="77">
        <f>(IF(D$27="%w/w SAR",((D$28*10)*$B31),IF(D$27="%w/w DM",(((D$28*10)*($B$28/100))*$B31),IF(D$27="kg/t SAR",(D$28*$B31),IF(D$27="kg/t DM",((D$28*($B$28/100))*$B31),IF(D$27="mg/kg SAR",((D$28*0.001)*$B31),IF(D$27="mg/kg DM",(((D$28*0.001)*($B$28/100))*$B31),"0")))))))*2.291</f>
        <v>90.489918000000003</v>
      </c>
      <c r="E31" s="77">
        <f>(IF(E$27="%w/w SAR",((E$28*10)*$B31),IF(E$27="%w/w DM",(((E$28*10)*($B$28/100))*$B31),IF(E$27="kg/t SAR",(E$28*$B31),IF(E$27="kg/t DM",((E$28*($B$28/100))*$B31),IF(E$27="mg/kg SAR",((E$28*0.001)*$B31),IF(E$27="mg/kg DM",(((E$28*0.001)*($B$28/100))*$B31),"0")))))))*1.205</f>
        <v>19.219750000000001</v>
      </c>
      <c r="F31" s="77">
        <f>(IF(F$27="%w/w SAR",((F$28*10)*$B31),IF(F$27="%w/w DM",(((F$28*10)*($B$28/100))*$B31),IF(F$27="kg/t SAR",(F$28*$B31),IF(F$27="kg/t DM",((F$28*($B$28/100))*$B31),IF(F$27="mg/kg SAR",((F$28*0.001)*$B31),IF(F$27="mg/kg DM",(((F$28*0.001)*($B$28/100))*$B31),"0")))))))*1.658</f>
        <v>20.386767999999996</v>
      </c>
      <c r="G31" s="77">
        <f t="shared" ref="G31:P46" si="5">IF(G$27="%w/w SAR",((G$28*10)*$B31),IF(G$27="%w/w DM",(((G$28*10)*($B$28/100))*$B31),IF(G$27="kg/t SAR",(G$28*$B31),IF(G$27="kg/t DM",((G$28*($B$28/100))*$B31),IF(G$27="mg/kg SAR",((G$28*0.001)*$B31),IF(G$27="mg/kg DM",(((G$28*0.001)*($B$28/100))*$B31),0))))))</f>
        <v>8.584E-2</v>
      </c>
      <c r="H31" s="77">
        <f t="shared" si="5"/>
        <v>0.64959999999999996</v>
      </c>
      <c r="I31" s="77">
        <f t="shared" si="5"/>
        <v>2.9000000000000001E-2</v>
      </c>
      <c r="J31" s="77">
        <f t="shared" si="5"/>
        <v>9.2800000000000001E-4</v>
      </c>
      <c r="K31" s="77">
        <f t="shared" si="5"/>
        <v>2.9000000000000002E-3</v>
      </c>
      <c r="L31" s="77">
        <f t="shared" si="5"/>
        <v>1.8444000000000002E-2</v>
      </c>
      <c r="M31" s="77">
        <f t="shared" si="5"/>
        <v>3.0914000000000004E-2</v>
      </c>
      <c r="N31" s="77">
        <f t="shared" si="5"/>
        <v>0</v>
      </c>
      <c r="O31" s="77">
        <f t="shared" si="5"/>
        <v>0</v>
      </c>
      <c r="P31" s="77">
        <f t="shared" si="5"/>
        <v>24.07</v>
      </c>
      <c r="Q31" s="77">
        <f>(IF(Q$27="%w/w SAR",((Q$28*10)*$B31),IF(Q$27="%w/w DM",(((Q$28*10)*($B$28/100))*$B31),IF(Q$27="kg/t SAR",(Q$28*$B31),IF(Q$27="kg/t DM",((Q$28*($B$28/100))*$B31),IF(Q$27="mg/kg SAR",((Q$28*0.001)*$B31),IF(Q$27="mg/kg DM",(((Q$28*0.001)*($B$28/100))*$B31),0)))))))*2.5</f>
        <v>103.095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v>58</v>
      </c>
      <c r="C32" s="77">
        <f t="shared" ref="C32:C50" si="6">IF(C$27="%w/w SAR",((C$28*10)*$B32),IF(C$27="%w/w DM",(((C$28*10)*($B$28/100))*$B32),IF(C$27="kg/t SAR",(C$28*$B32),IF(C$27="kg/t DM",((C$28*($B$28/100))*$B32),IF(C$27="mg/kg SAR",((C$28*0.001)*$B32),IF(C$27="mg/kg DM",(((C$28*0.001)*($B$28/100))*$B32),0))))))</f>
        <v>208.79999999999998</v>
      </c>
      <c r="D32" s="77">
        <f t="shared" ref="D32:D50" si="7">(IF(D$27="%w/w SAR",((D$28*10)*$B32),IF(D$27="%w/w DM",(((D$28*10)*($B$28/100))*$B32),IF(D$27="kg/t SAR",(D$28*$B32),IF(D$27="kg/t DM",((D$28*($B$28/100))*$B32),IF(D$27="mg/kg SAR",((D$28*0.001)*$B32),IF(D$27="mg/kg DM",(((D$28*0.001)*($B$28/100))*$B32),"0")))))))*2.291</f>
        <v>90.489918000000003</v>
      </c>
      <c r="E32" s="77">
        <f t="shared" ref="E32:E50" si="8">(IF(E$27="%w/w SAR",((E$28*10)*$B32),IF(E$27="%w/w DM",(((E$28*10)*($B$28/100))*$B32),IF(E$27="kg/t SAR",(E$28*$B32),IF(E$27="kg/t DM",((E$28*($B$28/100))*$B32),IF(E$27="mg/kg SAR",((E$28*0.001)*$B32),IF(E$27="mg/kg DM",(((E$28*0.001)*($B$28/100))*$B32),"0")))))))*1.205</f>
        <v>19.219750000000001</v>
      </c>
      <c r="F32" s="77">
        <f t="shared" ref="F32:F50" si="9">(IF(F$27="%w/w SAR",((F$28*10)*$B32),IF(F$27="%w/w DM",(((F$28*10)*($B$28/100))*$B32),IF(F$27="kg/t SAR",(F$28*$B32),IF(F$27="kg/t DM",((F$28*($B$28/100))*$B32),IF(F$27="mg/kg SAR",((F$28*0.001)*$B32),IF(F$27="mg/kg DM",(((F$28*0.001)*($B$28/100))*$B32),"0")))))))*1.658</f>
        <v>20.386767999999996</v>
      </c>
      <c r="G32" s="77">
        <f t="shared" si="5"/>
        <v>8.584E-2</v>
      </c>
      <c r="H32" s="77">
        <f t="shared" si="5"/>
        <v>0.64959999999999996</v>
      </c>
      <c r="I32" s="77">
        <f t="shared" si="5"/>
        <v>2.9000000000000001E-2</v>
      </c>
      <c r="J32" s="77">
        <f t="shared" si="5"/>
        <v>9.2800000000000001E-4</v>
      </c>
      <c r="K32" s="77">
        <f t="shared" si="5"/>
        <v>2.9000000000000002E-3</v>
      </c>
      <c r="L32" s="77">
        <f t="shared" si="5"/>
        <v>1.8444000000000002E-2</v>
      </c>
      <c r="M32" s="77">
        <f t="shared" si="5"/>
        <v>3.0914000000000004E-2</v>
      </c>
      <c r="N32" s="77">
        <f t="shared" si="5"/>
        <v>0</v>
      </c>
      <c r="O32" s="77">
        <f t="shared" si="5"/>
        <v>0</v>
      </c>
      <c r="P32" s="77">
        <f t="shared" si="5"/>
        <v>24.07</v>
      </c>
      <c r="Q32" s="77">
        <f t="shared" ref="Q32:Q50" si="10">(IF(Q$27="%w/w SAR",((Q$28*10)*$B32),IF(Q$27="%w/w DM",(((Q$28*10)*($B$28/100))*$B32),IF(Q$27="kg/t SAR",(Q$28*$B32),IF(Q$27="kg/t DM",((Q$28*($B$28/100))*$B32),IF(Q$27="mg/kg SAR",((Q$28*0.001)*$B32),IF(Q$27="mg/kg DM",(((Q$28*0.001)*($B$28/100))*$B32),0)))))))*2.5</f>
        <v>103.095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DJ3</v>
      </c>
      <c r="B33" s="15">
        <v>58</v>
      </c>
      <c r="C33" s="77">
        <f t="shared" si="6"/>
        <v>208.79999999999998</v>
      </c>
      <c r="D33" s="77">
        <f t="shared" si="7"/>
        <v>90.489918000000003</v>
      </c>
      <c r="E33" s="77">
        <f t="shared" si="8"/>
        <v>19.219750000000001</v>
      </c>
      <c r="F33" s="77">
        <f t="shared" si="9"/>
        <v>20.386767999999996</v>
      </c>
      <c r="G33" s="77">
        <f t="shared" si="5"/>
        <v>8.584E-2</v>
      </c>
      <c r="H33" s="77">
        <f t="shared" si="5"/>
        <v>0.64959999999999996</v>
      </c>
      <c r="I33" s="77">
        <f t="shared" si="5"/>
        <v>2.9000000000000001E-2</v>
      </c>
      <c r="J33" s="77">
        <f t="shared" si="5"/>
        <v>9.2800000000000001E-4</v>
      </c>
      <c r="K33" s="77">
        <f t="shared" si="5"/>
        <v>2.9000000000000002E-3</v>
      </c>
      <c r="L33" s="77">
        <f t="shared" si="5"/>
        <v>1.8444000000000002E-2</v>
      </c>
      <c r="M33" s="77">
        <f t="shared" si="5"/>
        <v>3.0914000000000004E-2</v>
      </c>
      <c r="N33" s="77">
        <f t="shared" si="5"/>
        <v>0</v>
      </c>
      <c r="O33" s="77">
        <f t="shared" si="5"/>
        <v>0</v>
      </c>
      <c r="P33" s="77">
        <f t="shared" si="5"/>
        <v>24.07</v>
      </c>
      <c r="Q33" s="77">
        <f t="shared" si="10"/>
        <v>103.095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DJ4</v>
      </c>
      <c r="B34" s="15">
        <v>58</v>
      </c>
      <c r="C34" s="77">
        <f t="shared" si="6"/>
        <v>208.79999999999998</v>
      </c>
      <c r="D34" s="77">
        <f t="shared" si="7"/>
        <v>90.489918000000003</v>
      </c>
      <c r="E34" s="77">
        <f t="shared" si="8"/>
        <v>19.219750000000001</v>
      </c>
      <c r="F34" s="77">
        <f t="shared" si="9"/>
        <v>20.386767999999996</v>
      </c>
      <c r="G34" s="77">
        <f t="shared" si="5"/>
        <v>8.584E-2</v>
      </c>
      <c r="H34" s="77">
        <f t="shared" si="5"/>
        <v>0.64959999999999996</v>
      </c>
      <c r="I34" s="77">
        <f t="shared" si="5"/>
        <v>2.9000000000000001E-2</v>
      </c>
      <c r="J34" s="77">
        <f t="shared" si="5"/>
        <v>9.2800000000000001E-4</v>
      </c>
      <c r="K34" s="77">
        <f t="shared" si="5"/>
        <v>2.9000000000000002E-3</v>
      </c>
      <c r="L34" s="77">
        <f t="shared" si="5"/>
        <v>1.8444000000000002E-2</v>
      </c>
      <c r="M34" s="77">
        <f t="shared" si="5"/>
        <v>3.0914000000000004E-2</v>
      </c>
      <c r="N34" s="77">
        <f t="shared" si="5"/>
        <v>0</v>
      </c>
      <c r="O34" s="77">
        <f t="shared" si="5"/>
        <v>0</v>
      </c>
      <c r="P34" s="77">
        <f t="shared" si="5"/>
        <v>24.07</v>
      </c>
      <c r="Q34" s="77">
        <f t="shared" si="10"/>
        <v>103.095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DJ5</v>
      </c>
      <c r="B35" s="15">
        <v>58</v>
      </c>
      <c r="C35" s="77">
        <f t="shared" si="6"/>
        <v>208.79999999999998</v>
      </c>
      <c r="D35" s="77">
        <f t="shared" si="7"/>
        <v>90.489918000000003</v>
      </c>
      <c r="E35" s="77">
        <f t="shared" si="8"/>
        <v>19.219750000000001</v>
      </c>
      <c r="F35" s="77">
        <f t="shared" si="9"/>
        <v>20.386767999999996</v>
      </c>
      <c r="G35" s="77">
        <f t="shared" si="5"/>
        <v>8.584E-2</v>
      </c>
      <c r="H35" s="77">
        <f t="shared" si="5"/>
        <v>0.64959999999999996</v>
      </c>
      <c r="I35" s="77">
        <f t="shared" si="5"/>
        <v>2.9000000000000001E-2</v>
      </c>
      <c r="J35" s="77">
        <f t="shared" si="5"/>
        <v>9.2800000000000001E-4</v>
      </c>
      <c r="K35" s="77">
        <f t="shared" si="5"/>
        <v>2.9000000000000002E-3</v>
      </c>
      <c r="L35" s="77">
        <f t="shared" si="5"/>
        <v>1.8444000000000002E-2</v>
      </c>
      <c r="M35" s="77">
        <f t="shared" si="5"/>
        <v>3.0914000000000004E-2</v>
      </c>
      <c r="N35" s="77">
        <f t="shared" si="5"/>
        <v>0</v>
      </c>
      <c r="O35" s="77">
        <f t="shared" si="5"/>
        <v>0</v>
      </c>
      <c r="P35" s="77">
        <f t="shared" si="5"/>
        <v>24.07</v>
      </c>
      <c r="Q35" s="77">
        <f t="shared" si="10"/>
        <v>103.095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DJ6</v>
      </c>
      <c r="B36" s="15">
        <v>58</v>
      </c>
      <c r="C36" s="77">
        <f t="shared" si="6"/>
        <v>208.79999999999998</v>
      </c>
      <c r="D36" s="77">
        <f t="shared" si="7"/>
        <v>90.489918000000003</v>
      </c>
      <c r="E36" s="77">
        <f t="shared" si="8"/>
        <v>19.219750000000001</v>
      </c>
      <c r="F36" s="77">
        <f t="shared" si="9"/>
        <v>20.386767999999996</v>
      </c>
      <c r="G36" s="77">
        <f t="shared" si="5"/>
        <v>8.584E-2</v>
      </c>
      <c r="H36" s="77">
        <f t="shared" si="5"/>
        <v>0.64959999999999996</v>
      </c>
      <c r="I36" s="77">
        <f t="shared" si="5"/>
        <v>2.9000000000000001E-2</v>
      </c>
      <c r="J36" s="77">
        <f t="shared" si="5"/>
        <v>9.2800000000000001E-4</v>
      </c>
      <c r="K36" s="77">
        <f t="shared" si="5"/>
        <v>2.9000000000000002E-3</v>
      </c>
      <c r="L36" s="77">
        <f t="shared" si="5"/>
        <v>1.8444000000000002E-2</v>
      </c>
      <c r="M36" s="77">
        <f t="shared" si="5"/>
        <v>3.0914000000000004E-2</v>
      </c>
      <c r="N36" s="77">
        <f t="shared" si="5"/>
        <v>0</v>
      </c>
      <c r="O36" s="77">
        <f t="shared" si="5"/>
        <v>0</v>
      </c>
      <c r="P36" s="77">
        <f t="shared" si="5"/>
        <v>24.07</v>
      </c>
      <c r="Q36" s="77">
        <f t="shared" si="10"/>
        <v>103.095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DJ7</v>
      </c>
      <c r="B37" s="15">
        <v>58</v>
      </c>
      <c r="C37" s="77">
        <f t="shared" si="6"/>
        <v>208.79999999999998</v>
      </c>
      <c r="D37" s="77">
        <f t="shared" si="7"/>
        <v>90.489918000000003</v>
      </c>
      <c r="E37" s="77">
        <f t="shared" si="8"/>
        <v>19.219750000000001</v>
      </c>
      <c r="F37" s="77">
        <f t="shared" si="9"/>
        <v>20.386767999999996</v>
      </c>
      <c r="G37" s="77">
        <f t="shared" si="5"/>
        <v>8.584E-2</v>
      </c>
      <c r="H37" s="77">
        <f t="shared" si="5"/>
        <v>0.64959999999999996</v>
      </c>
      <c r="I37" s="77">
        <f t="shared" si="5"/>
        <v>2.9000000000000001E-2</v>
      </c>
      <c r="J37" s="77">
        <f t="shared" si="5"/>
        <v>9.2800000000000001E-4</v>
      </c>
      <c r="K37" s="77">
        <f t="shared" si="5"/>
        <v>2.9000000000000002E-3</v>
      </c>
      <c r="L37" s="77">
        <f t="shared" si="5"/>
        <v>1.8444000000000002E-2</v>
      </c>
      <c r="M37" s="77">
        <f t="shared" si="5"/>
        <v>3.0914000000000004E-2</v>
      </c>
      <c r="N37" s="77">
        <f t="shared" si="5"/>
        <v>0</v>
      </c>
      <c r="O37" s="77">
        <f t="shared" si="5"/>
        <v>0</v>
      </c>
      <c r="P37" s="77">
        <f t="shared" si="5"/>
        <v>24.07</v>
      </c>
      <c r="Q37" s="77">
        <f t="shared" si="10"/>
        <v>103.095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DJ8</v>
      </c>
      <c r="B38" s="15">
        <v>58</v>
      </c>
      <c r="C38" s="77">
        <f t="shared" si="6"/>
        <v>208.79999999999998</v>
      </c>
      <c r="D38" s="77">
        <f t="shared" si="7"/>
        <v>90.489918000000003</v>
      </c>
      <c r="E38" s="77">
        <f t="shared" si="8"/>
        <v>19.219750000000001</v>
      </c>
      <c r="F38" s="77">
        <f t="shared" si="9"/>
        <v>20.386767999999996</v>
      </c>
      <c r="G38" s="77">
        <f t="shared" si="5"/>
        <v>8.584E-2</v>
      </c>
      <c r="H38" s="77">
        <f t="shared" si="5"/>
        <v>0.64959999999999996</v>
      </c>
      <c r="I38" s="77">
        <f t="shared" si="5"/>
        <v>2.9000000000000001E-2</v>
      </c>
      <c r="J38" s="77">
        <f t="shared" si="5"/>
        <v>9.2800000000000001E-4</v>
      </c>
      <c r="K38" s="77">
        <f t="shared" si="5"/>
        <v>2.9000000000000002E-3</v>
      </c>
      <c r="L38" s="77">
        <f t="shared" si="5"/>
        <v>1.8444000000000002E-2</v>
      </c>
      <c r="M38" s="77">
        <f t="shared" si="5"/>
        <v>3.0914000000000004E-2</v>
      </c>
      <c r="N38" s="77">
        <f t="shared" si="5"/>
        <v>0</v>
      </c>
      <c r="O38" s="77">
        <f t="shared" si="5"/>
        <v>0</v>
      </c>
      <c r="P38" s="77">
        <f t="shared" si="5"/>
        <v>24.07</v>
      </c>
      <c r="Q38" s="77">
        <f t="shared" si="10"/>
        <v>103.095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Sandy Loam I Grass</v>
      </c>
      <c r="C58" s="13" t="str">
        <f>D16&amp;" I "&amp;(VLOOKUP(D14,Table245811[],6,FALSE))</f>
        <v>Sandy Loam I Grass</v>
      </c>
      <c r="D58" s="13" t="str">
        <f>E16&amp;" I "&amp;(VLOOKUP(E14,Table245811[],6,FALSE))</f>
        <v>Sandy Loam I Grass</v>
      </c>
      <c r="E58" s="13" t="str">
        <f>F16&amp;" I "&amp;(VLOOKUP(F14,Table245811[],6,FALSE))</f>
        <v>Sandy Loam I Grass</v>
      </c>
      <c r="F58" s="13" t="str">
        <f>G16&amp;" I "&amp;(VLOOKUP(G14,Table245811[],6,FALSE))</f>
        <v>Sandy Loam I Grass</v>
      </c>
      <c r="G58" s="13" t="str">
        <f>H16&amp;" I "&amp;(VLOOKUP(H14,Table245811[],6,FALSE))</f>
        <v>Sandy Loam I Grass</v>
      </c>
      <c r="H58" s="13" t="str">
        <f>I16&amp;" I "&amp;(VLOOKUP(I14,Table245811[],6,FALSE))</f>
        <v>Sandy Loam I Grass</v>
      </c>
      <c r="I58" s="13" t="str">
        <f>J16&amp;" I "&amp;(VLOOKUP(J14,Table245811[],6,FALSE))</f>
        <v>Sandy Loam I Grass</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58</v>
      </c>
      <c r="C62" s="77">
        <f>B32</f>
        <v>58</v>
      </c>
      <c r="D62" s="77">
        <f>B33</f>
        <v>58</v>
      </c>
      <c r="E62" s="77">
        <f>B34</f>
        <v>58</v>
      </c>
      <c r="F62" s="77">
        <f>B35</f>
        <v>58</v>
      </c>
      <c r="G62" s="77">
        <f>B36</f>
        <v>58</v>
      </c>
      <c r="H62" s="77">
        <f>B37</f>
        <v>58</v>
      </c>
      <c r="I62" s="77">
        <f>B38</f>
        <v>58</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F13"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PAN-019538</v>
      </c>
      <c r="D1" s="141"/>
      <c r="E1" s="93" t="s">
        <v>45</v>
      </c>
      <c r="F1" s="39">
        <f>Secanim!F1</f>
        <v>18.100000000000001</v>
      </c>
      <c r="G1" s="120" t="s">
        <v>43</v>
      </c>
      <c r="H1" s="121"/>
      <c r="I1" s="118">
        <v>7.05</v>
      </c>
      <c r="J1" s="119" t="s">
        <v>153</v>
      </c>
      <c r="K1" s="119"/>
      <c r="L1" s="97">
        <v>931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EPR-KP3594VE</v>
      </c>
      <c r="D2" s="143"/>
      <c r="E2" s="93" t="s">
        <v>109</v>
      </c>
      <c r="F2" s="96" t="s">
        <v>164</v>
      </c>
      <c r="G2" s="138" t="s">
        <v>110</v>
      </c>
      <c r="H2" s="139"/>
      <c r="I2" s="118">
        <v>1784</v>
      </c>
      <c r="J2" s="119" t="s">
        <v>158</v>
      </c>
      <c r="K2" s="119"/>
      <c r="L2" s="97">
        <v>0.37</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 xml:space="preserve">Trade Effluent Services Limited </v>
      </c>
      <c r="D3" s="143"/>
      <c r="E3" s="93" t="s">
        <v>108</v>
      </c>
      <c r="F3" s="31" t="s">
        <v>78</v>
      </c>
      <c r="G3" s="119" t="s">
        <v>159</v>
      </c>
      <c r="H3" s="119"/>
      <c r="I3" s="118"/>
      <c r="J3" s="120" t="s">
        <v>154</v>
      </c>
      <c r="K3" s="121"/>
      <c r="L3" s="97">
        <f>(L1/(L2*10000))*100</f>
        <v>25.162162162162161</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Secanim!C4:D4</f>
        <v>0</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Secanim!C8</f>
        <v>DJ1</v>
      </c>
      <c r="D8" s="60" t="str">
        <f>Secanim!D8</f>
        <v>DJ2</v>
      </c>
      <c r="E8" s="60" t="str">
        <f>Secanim!E8</f>
        <v>DJ3</v>
      </c>
      <c r="F8" s="60" t="str">
        <f>Secanim!F8</f>
        <v>DJ4</v>
      </c>
      <c r="G8" s="60" t="str">
        <f>Secanim!G8</f>
        <v>DJ5</v>
      </c>
      <c r="H8" s="60" t="str">
        <f>Secanim!H8</f>
        <v>DJ6</v>
      </c>
      <c r="I8" s="60" t="str">
        <f>Secanim!I8</f>
        <v>DJ7</v>
      </c>
      <c r="J8" s="60" t="str">
        <f>Secanim!J8</f>
        <v>DJ8</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6.6</v>
      </c>
      <c r="D10" s="60">
        <f>Secanim!D10</f>
        <v>5.7</v>
      </c>
      <c r="E10" s="60">
        <f>Secanim!E10</f>
        <v>6.1</v>
      </c>
      <c r="F10" s="60">
        <f>Secanim!F10</f>
        <v>5.2</v>
      </c>
      <c r="G10" s="60">
        <f>Secanim!G10</f>
        <v>5.3</v>
      </c>
      <c r="H10" s="60">
        <f>Secanim!H10</f>
        <v>5.5</v>
      </c>
      <c r="I10" s="60">
        <f>Secanim!I10</f>
        <v>5.4</v>
      </c>
      <c r="J10" s="60">
        <f>Secanim!J10</f>
        <v>5.6</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0</v>
      </c>
      <c r="D11" s="60">
        <f>Secanim!D11</f>
        <v>1</v>
      </c>
      <c r="E11" s="60">
        <f>Secanim!E11</f>
        <v>0</v>
      </c>
      <c r="F11" s="60">
        <f>Secanim!F11</f>
        <v>0</v>
      </c>
      <c r="G11" s="60">
        <f>Secanim!G11</f>
        <v>0</v>
      </c>
      <c r="H11" s="60">
        <f>Secanim!H11</f>
        <v>0</v>
      </c>
      <c r="I11" s="60">
        <f>Secanim!I11</f>
        <v>0</v>
      </c>
      <c r="J11" s="60">
        <f>Secanim!J11</f>
        <v>1</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Secanim!C12</f>
        <v>1</v>
      </c>
      <c r="D12" s="60">
        <f>Secanim!D12</f>
        <v>2</v>
      </c>
      <c r="E12" s="60">
        <f>Secanim!E12</f>
        <v>2</v>
      </c>
      <c r="F12" s="60">
        <f>Secanim!F12</f>
        <v>3</v>
      </c>
      <c r="G12" s="60">
        <f>Secanim!G12</f>
        <v>2</v>
      </c>
      <c r="H12" s="60">
        <f>Secanim!H12</f>
        <v>2</v>
      </c>
      <c r="I12" s="60">
        <f>Secanim!I12</f>
        <v>2</v>
      </c>
      <c r="J12" s="60">
        <f>Secanim!J12</f>
        <v>2</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2</v>
      </c>
      <c r="D13" s="60">
        <f>Secanim!D13</f>
        <v>2</v>
      </c>
      <c r="E13" s="60">
        <f>Secanim!E13</f>
        <v>2</v>
      </c>
      <c r="F13" s="60">
        <f>Secanim!F13</f>
        <v>2</v>
      </c>
      <c r="G13" s="60">
        <f>Secanim!G13</f>
        <v>2</v>
      </c>
      <c r="H13" s="60">
        <f>Secanim!H13</f>
        <v>2</v>
      </c>
      <c r="I13" s="60">
        <f>Secanim!I13</f>
        <v>2</v>
      </c>
      <c r="J13" s="60">
        <f>Secanim!J13</f>
        <v>2</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Sandy Loam</v>
      </c>
      <c r="D16" s="103" t="str">
        <f>Secanim!D16</f>
        <v>Sandy Loam</v>
      </c>
      <c r="E16" s="103" t="str">
        <f>Secanim!E16</f>
        <v>Sandy Loam</v>
      </c>
      <c r="F16" s="103" t="str">
        <f>Secanim!F16</f>
        <v>Sandy Loam</v>
      </c>
      <c r="G16" s="103" t="str">
        <f>Secanim!G16</f>
        <v>Sandy Loam</v>
      </c>
      <c r="H16" s="103" t="str">
        <f>Secanim!H16</f>
        <v>Sandy Loam</v>
      </c>
      <c r="I16" s="103" t="str">
        <f>Secanim!I16</f>
        <v>Sandy Loam</v>
      </c>
      <c r="J16" s="103" t="str">
        <f>Secanim!J16</f>
        <v>Sandy Loam</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93.117694999999983</v>
      </c>
      <c r="D18" s="16">
        <f>$D32</f>
        <v>93.117694999999983</v>
      </c>
      <c r="E18" s="16">
        <f>$D33</f>
        <v>93.117694999999983</v>
      </c>
      <c r="F18" s="16">
        <f>$D34</f>
        <v>93.117694999999983</v>
      </c>
      <c r="G18" s="16">
        <f>$D35</f>
        <v>93.117694999999983</v>
      </c>
      <c r="H18" s="16">
        <f>$D36</f>
        <v>93.117694999999983</v>
      </c>
      <c r="I18" s="16">
        <f>$D37</f>
        <v>93.117694999999983</v>
      </c>
      <c r="J18" s="16">
        <f>$D38</f>
        <v>93.117694999999983</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28.517694999999989</v>
      </c>
      <c r="D19" s="16">
        <f t="shared" ref="D19:V19" si="1">D18-D17</f>
        <v>28.517694999999989</v>
      </c>
      <c r="E19" s="16">
        <f t="shared" si="1"/>
        <v>28.517694999999989</v>
      </c>
      <c r="F19" s="16">
        <f t="shared" si="1"/>
        <v>28.517694999999989</v>
      </c>
      <c r="G19" s="16">
        <f t="shared" si="1"/>
        <v>28.517694999999989</v>
      </c>
      <c r="H19" s="16">
        <f t="shared" si="1"/>
        <v>28.517694999999989</v>
      </c>
      <c r="I19" s="16">
        <f t="shared" si="1"/>
        <v>28.517694999999989</v>
      </c>
      <c r="J19" s="16">
        <f t="shared" si="1"/>
        <v>28.517694999999989</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11.465575000000001</v>
      </c>
      <c r="D22" s="16">
        <f>$E32</f>
        <v>11.465575000000001</v>
      </c>
      <c r="E22" s="16">
        <f>$E33</f>
        <v>11.465575000000001</v>
      </c>
      <c r="F22" s="16">
        <f>$E34</f>
        <v>11.465575000000001</v>
      </c>
      <c r="G22" s="16">
        <f>$E35</f>
        <v>11.465575000000001</v>
      </c>
      <c r="H22" s="16">
        <f>$E36</f>
        <v>11.465575000000001</v>
      </c>
      <c r="I22" s="16">
        <f>$E37</f>
        <v>11.465575000000001</v>
      </c>
      <c r="J22" s="16">
        <f>$E38</f>
        <v>11.465575000000001</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-216.534425</v>
      </c>
      <c r="D23" s="16">
        <f t="shared" ref="D23:V23" si="3">D22-D21</f>
        <v>-216.534425</v>
      </c>
      <c r="E23" s="16">
        <f t="shared" si="3"/>
        <v>-216.534425</v>
      </c>
      <c r="F23" s="16">
        <f t="shared" si="3"/>
        <v>-216.534425</v>
      </c>
      <c r="G23" s="16">
        <f t="shared" si="3"/>
        <v>-216.534425</v>
      </c>
      <c r="H23" s="16">
        <f t="shared" si="3"/>
        <v>-216.534425</v>
      </c>
      <c r="I23" s="16">
        <f t="shared" si="3"/>
        <v>-216.534425</v>
      </c>
      <c r="J23" s="16">
        <f t="shared" si="3"/>
        <v>-216.534425</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4.2699999999999996</v>
      </c>
      <c r="C28" s="15">
        <v>0.37</v>
      </c>
      <c r="D28" s="15">
        <v>739</v>
      </c>
      <c r="E28" s="15">
        <v>173</v>
      </c>
      <c r="F28" s="15">
        <v>230</v>
      </c>
      <c r="G28" s="15">
        <v>3.24</v>
      </c>
      <c r="H28" s="15">
        <v>16.3</v>
      </c>
      <c r="I28" s="15">
        <v>0.5</v>
      </c>
      <c r="J28" s="15">
        <v>0.01</v>
      </c>
      <c r="K28" s="23">
        <v>0.05</v>
      </c>
      <c r="L28" s="15">
        <v>0.879</v>
      </c>
      <c r="M28" s="15">
        <v>0.92700000000000005</v>
      </c>
      <c r="N28" s="15"/>
      <c r="O28" s="15"/>
      <c r="P28" s="15">
        <v>735</v>
      </c>
      <c r="Q28" s="15">
        <v>582</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v>55</v>
      </c>
      <c r="C31" s="77">
        <f>IF(C$27="%w/w SAR",((C$28*10)*$B31),IF(C$27="%w/w DM",(((C$28*10)*($B$28/100))*$B31),IF(C$27="kg/t SAR",(C$28*$B31),IF(C$27="kg/t DM",((C$28*($B$28/100))*$B31),IF(C$27="mg/kg SAR",((C$28*0.001)*$B31),IF(C$27="mg/kg DM",(((C$28*0.001)*($B$28/100))*$B31),0))))))</f>
        <v>203.5</v>
      </c>
      <c r="D31" s="77">
        <f>(IF(D$27="%w/w SAR",((D$28*10)*$B31),IF(D$27="%w/w DM",(((D$28*10)*($B$28/100))*$B31),IF(D$27="kg/t SAR",(D$28*$B31),IF(D$27="kg/t DM",((D$28*($B$28/100))*$B31),IF(D$27="mg/kg SAR",((D$28*0.001)*$B31),IF(D$27="mg/kg DM",(((D$28*0.001)*($B$28/100))*$B31),"0")))))))*2.291</f>
        <v>93.117694999999983</v>
      </c>
      <c r="E31" s="77">
        <f>(IF(E$27="%w/w SAR",((E$28*10)*$B31),IF(E$27="%w/w DM",(((E$28*10)*($B$28/100))*$B31),IF(E$27="kg/t SAR",(E$28*$B31),IF(E$27="kg/t DM",((E$28*($B$28/100))*$B31),IF(E$27="mg/kg SAR",((E$28*0.001)*$B31),IF(E$27="mg/kg DM",(((E$28*0.001)*($B$28/100))*$B31),"0")))))))*1.205</f>
        <v>11.465575000000001</v>
      </c>
      <c r="F31" s="77">
        <f>(IF(F$27="%w/w SAR",((F$28*10)*$B31),IF(F$27="%w/w DM",(((F$28*10)*($B$28/100))*$B31),IF(F$27="kg/t SAR",(F$28*$B31),IF(F$27="kg/t DM",((F$28*($B$28/100))*$B31),IF(F$27="mg/kg SAR",((F$28*0.001)*$B31),IF(F$27="mg/kg DM",(((F$28*0.001)*($B$28/100))*$B31),"0")))))))*1.658</f>
        <v>20.973700000000001</v>
      </c>
      <c r="G31" s="77">
        <f t="shared" ref="G31:P46" si="5">IF(G$27="%w/w SAR",((G$28*10)*$B31),IF(G$27="%w/w DM",(((G$28*10)*($B$28/100))*$B31),IF(G$27="kg/t SAR",(G$28*$B31),IF(G$27="kg/t DM",((G$28*($B$28/100))*$B31),IF(G$27="mg/kg SAR",((G$28*0.001)*$B31),IF(G$27="mg/kg DM",(((G$28*0.001)*($B$28/100))*$B31),0))))))</f>
        <v>0.17820000000000003</v>
      </c>
      <c r="H31" s="77">
        <f t="shared" si="5"/>
        <v>0.89650000000000007</v>
      </c>
      <c r="I31" s="77">
        <f t="shared" si="5"/>
        <v>2.75E-2</v>
      </c>
      <c r="J31" s="77">
        <f t="shared" si="5"/>
        <v>5.5000000000000003E-4</v>
      </c>
      <c r="K31" s="77">
        <f t="shared" si="5"/>
        <v>2.7500000000000003E-3</v>
      </c>
      <c r="L31" s="77">
        <f t="shared" si="5"/>
        <v>4.8344999999999999E-2</v>
      </c>
      <c r="M31" s="77">
        <f t="shared" si="5"/>
        <v>5.0985000000000003E-2</v>
      </c>
      <c r="N31" s="77">
        <f t="shared" si="5"/>
        <v>0</v>
      </c>
      <c r="O31" s="77">
        <f t="shared" si="5"/>
        <v>0</v>
      </c>
      <c r="P31" s="77">
        <f t="shared" si="5"/>
        <v>40.424999999999997</v>
      </c>
      <c r="Q31" s="77">
        <f>(IF(Q$27="%w/w SAR",((Q$28*10)*$B31),IF(Q$27="%w/w DM",(((Q$28*10)*($B$28/100))*$B31),IF(Q$27="kg/t SAR",(Q$28*$B31),IF(Q$27="kg/t DM",((Q$28*($B$28/100))*$B31),IF(Q$27="mg/kg SAR",((Q$28*0.001)*$B31),IF(Q$27="mg/kg DM",(((Q$28*0.001)*($B$28/100))*$B31),0)))))))*2.5</f>
        <v>80.024999999999991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v>55</v>
      </c>
      <c r="C32" s="77">
        <f t="shared" ref="C32:C50" si="6">IF(C$27="%w/w SAR",((C$28*10)*$B32),IF(C$27="%w/w DM",(((C$28*10)*($B$28/100))*$B32),IF(C$27="kg/t SAR",(C$28*$B32),IF(C$27="kg/t DM",((C$28*($B$28/100))*$B32),IF(C$27="mg/kg SAR",((C$28*0.001)*$B32),IF(C$27="mg/kg DM",(((C$28*0.001)*($B$28/100))*$B32),0))))))</f>
        <v>203.5</v>
      </c>
      <c r="D32" s="77">
        <f t="shared" ref="D32:D50" si="7">(IF(D$27="%w/w SAR",((D$28*10)*$B32),IF(D$27="%w/w DM",(((D$28*10)*($B$28/100))*$B32),IF(D$27="kg/t SAR",(D$28*$B32),IF(D$27="kg/t DM",((D$28*($B$28/100))*$B32),IF(D$27="mg/kg SAR",((D$28*0.001)*$B32),IF(D$27="mg/kg DM",(((D$28*0.001)*($B$28/100))*$B32),"0")))))))*2.291</f>
        <v>93.117694999999983</v>
      </c>
      <c r="E32" s="77">
        <f t="shared" ref="E32:E50" si="8">(IF(E$27="%w/w SAR",((E$28*10)*$B32),IF(E$27="%w/w DM",(((E$28*10)*($B$28/100))*$B32),IF(E$27="kg/t SAR",(E$28*$B32),IF(E$27="kg/t DM",((E$28*($B$28/100))*$B32),IF(E$27="mg/kg SAR",((E$28*0.001)*$B32),IF(E$27="mg/kg DM",(((E$28*0.001)*($B$28/100))*$B32),"0")))))))*1.205</f>
        <v>11.465575000000001</v>
      </c>
      <c r="F32" s="77">
        <f t="shared" ref="F32:F50" si="9">(IF(F$27="%w/w SAR",((F$28*10)*$B32),IF(F$27="%w/w DM",(((F$28*10)*($B$28/100))*$B32),IF(F$27="kg/t SAR",(F$28*$B32),IF(F$27="kg/t DM",((F$28*($B$28/100))*$B32),IF(F$27="mg/kg SAR",((F$28*0.001)*$B32),IF(F$27="mg/kg DM",(((F$28*0.001)*($B$28/100))*$B32),"0")))))))*1.658</f>
        <v>20.973700000000001</v>
      </c>
      <c r="G32" s="77">
        <f t="shared" si="5"/>
        <v>0.17820000000000003</v>
      </c>
      <c r="H32" s="77">
        <f t="shared" si="5"/>
        <v>0.89650000000000007</v>
      </c>
      <c r="I32" s="77">
        <f t="shared" si="5"/>
        <v>2.75E-2</v>
      </c>
      <c r="J32" s="77">
        <f t="shared" si="5"/>
        <v>5.5000000000000003E-4</v>
      </c>
      <c r="K32" s="77">
        <f t="shared" si="5"/>
        <v>2.7500000000000003E-3</v>
      </c>
      <c r="L32" s="77">
        <f t="shared" si="5"/>
        <v>4.8344999999999999E-2</v>
      </c>
      <c r="M32" s="77">
        <f t="shared" si="5"/>
        <v>5.0985000000000003E-2</v>
      </c>
      <c r="N32" s="77">
        <f t="shared" si="5"/>
        <v>0</v>
      </c>
      <c r="O32" s="77">
        <f t="shared" si="5"/>
        <v>0</v>
      </c>
      <c r="P32" s="77">
        <f t="shared" si="5"/>
        <v>40.424999999999997</v>
      </c>
      <c r="Q32" s="77">
        <f t="shared" ref="Q32:Q50" si="10">(IF(Q$27="%w/w SAR",((Q$28*10)*$B32),IF(Q$27="%w/w DM",(((Q$28*10)*($B$28/100))*$B32),IF(Q$27="kg/t SAR",(Q$28*$B32),IF(Q$27="kg/t DM",((Q$28*($B$28/100))*$B32),IF(Q$27="mg/kg SAR",((Q$28*0.001)*$B32),IF(Q$27="mg/kg DM",(((Q$28*0.001)*($B$28/100))*$B32),0)))))))*2.5</f>
        <v>80.024999999999991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DJ3</v>
      </c>
      <c r="B33" s="15">
        <v>55</v>
      </c>
      <c r="C33" s="77">
        <f t="shared" si="6"/>
        <v>203.5</v>
      </c>
      <c r="D33" s="77">
        <f t="shared" si="7"/>
        <v>93.117694999999983</v>
      </c>
      <c r="E33" s="77">
        <f t="shared" si="8"/>
        <v>11.465575000000001</v>
      </c>
      <c r="F33" s="77">
        <f t="shared" si="9"/>
        <v>20.973700000000001</v>
      </c>
      <c r="G33" s="77">
        <f t="shared" si="5"/>
        <v>0.17820000000000003</v>
      </c>
      <c r="H33" s="77">
        <f t="shared" si="5"/>
        <v>0.89650000000000007</v>
      </c>
      <c r="I33" s="77">
        <f t="shared" si="5"/>
        <v>2.75E-2</v>
      </c>
      <c r="J33" s="77">
        <f t="shared" si="5"/>
        <v>5.5000000000000003E-4</v>
      </c>
      <c r="K33" s="77">
        <f t="shared" si="5"/>
        <v>2.7500000000000003E-3</v>
      </c>
      <c r="L33" s="77">
        <f t="shared" si="5"/>
        <v>4.8344999999999999E-2</v>
      </c>
      <c r="M33" s="77">
        <f t="shared" si="5"/>
        <v>5.0985000000000003E-2</v>
      </c>
      <c r="N33" s="77">
        <f t="shared" si="5"/>
        <v>0</v>
      </c>
      <c r="O33" s="77">
        <f t="shared" si="5"/>
        <v>0</v>
      </c>
      <c r="P33" s="77">
        <f t="shared" si="5"/>
        <v>40.424999999999997</v>
      </c>
      <c r="Q33" s="77">
        <f t="shared" si="10"/>
        <v>80.024999999999991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DJ4</v>
      </c>
      <c r="B34" s="15">
        <v>55</v>
      </c>
      <c r="C34" s="77">
        <f t="shared" si="6"/>
        <v>203.5</v>
      </c>
      <c r="D34" s="77">
        <f t="shared" si="7"/>
        <v>93.117694999999983</v>
      </c>
      <c r="E34" s="77">
        <f t="shared" si="8"/>
        <v>11.465575000000001</v>
      </c>
      <c r="F34" s="77">
        <f t="shared" si="9"/>
        <v>20.973700000000001</v>
      </c>
      <c r="G34" s="77">
        <f t="shared" si="5"/>
        <v>0.17820000000000003</v>
      </c>
      <c r="H34" s="77">
        <f t="shared" si="5"/>
        <v>0.89650000000000007</v>
      </c>
      <c r="I34" s="77">
        <f t="shared" si="5"/>
        <v>2.75E-2</v>
      </c>
      <c r="J34" s="77">
        <f t="shared" si="5"/>
        <v>5.5000000000000003E-4</v>
      </c>
      <c r="K34" s="77">
        <f t="shared" si="5"/>
        <v>2.7500000000000003E-3</v>
      </c>
      <c r="L34" s="77">
        <f t="shared" si="5"/>
        <v>4.8344999999999999E-2</v>
      </c>
      <c r="M34" s="77">
        <f t="shared" si="5"/>
        <v>5.0985000000000003E-2</v>
      </c>
      <c r="N34" s="77">
        <f t="shared" si="5"/>
        <v>0</v>
      </c>
      <c r="O34" s="77">
        <f t="shared" si="5"/>
        <v>0</v>
      </c>
      <c r="P34" s="77">
        <f t="shared" si="5"/>
        <v>40.424999999999997</v>
      </c>
      <c r="Q34" s="77">
        <f t="shared" si="10"/>
        <v>80.024999999999991</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DJ5</v>
      </c>
      <c r="B35" s="15">
        <v>55</v>
      </c>
      <c r="C35" s="77">
        <f t="shared" si="6"/>
        <v>203.5</v>
      </c>
      <c r="D35" s="77">
        <f t="shared" si="7"/>
        <v>93.117694999999983</v>
      </c>
      <c r="E35" s="77">
        <f t="shared" si="8"/>
        <v>11.465575000000001</v>
      </c>
      <c r="F35" s="77">
        <f t="shared" si="9"/>
        <v>20.973700000000001</v>
      </c>
      <c r="G35" s="77">
        <f t="shared" si="5"/>
        <v>0.17820000000000003</v>
      </c>
      <c r="H35" s="77">
        <f t="shared" si="5"/>
        <v>0.89650000000000007</v>
      </c>
      <c r="I35" s="77">
        <f t="shared" si="5"/>
        <v>2.75E-2</v>
      </c>
      <c r="J35" s="77">
        <f t="shared" si="5"/>
        <v>5.5000000000000003E-4</v>
      </c>
      <c r="K35" s="77">
        <f t="shared" si="5"/>
        <v>2.7500000000000003E-3</v>
      </c>
      <c r="L35" s="77">
        <f t="shared" si="5"/>
        <v>4.8344999999999999E-2</v>
      </c>
      <c r="M35" s="77">
        <f t="shared" si="5"/>
        <v>5.0985000000000003E-2</v>
      </c>
      <c r="N35" s="77">
        <f t="shared" si="5"/>
        <v>0</v>
      </c>
      <c r="O35" s="77">
        <f t="shared" si="5"/>
        <v>0</v>
      </c>
      <c r="P35" s="77">
        <f t="shared" si="5"/>
        <v>40.424999999999997</v>
      </c>
      <c r="Q35" s="77">
        <f t="shared" si="10"/>
        <v>80.024999999999991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DJ6</v>
      </c>
      <c r="B36" s="15">
        <v>55</v>
      </c>
      <c r="C36" s="77">
        <f t="shared" si="6"/>
        <v>203.5</v>
      </c>
      <c r="D36" s="77">
        <f t="shared" si="7"/>
        <v>93.117694999999983</v>
      </c>
      <c r="E36" s="77">
        <f t="shared" si="8"/>
        <v>11.465575000000001</v>
      </c>
      <c r="F36" s="77">
        <f t="shared" si="9"/>
        <v>20.973700000000001</v>
      </c>
      <c r="G36" s="77">
        <f t="shared" si="5"/>
        <v>0.17820000000000003</v>
      </c>
      <c r="H36" s="77">
        <f t="shared" si="5"/>
        <v>0.89650000000000007</v>
      </c>
      <c r="I36" s="77">
        <f t="shared" si="5"/>
        <v>2.75E-2</v>
      </c>
      <c r="J36" s="77">
        <f t="shared" si="5"/>
        <v>5.5000000000000003E-4</v>
      </c>
      <c r="K36" s="77">
        <f t="shared" si="5"/>
        <v>2.7500000000000003E-3</v>
      </c>
      <c r="L36" s="77">
        <f t="shared" si="5"/>
        <v>4.8344999999999999E-2</v>
      </c>
      <c r="M36" s="77">
        <f t="shared" si="5"/>
        <v>5.0985000000000003E-2</v>
      </c>
      <c r="N36" s="77">
        <f t="shared" si="5"/>
        <v>0</v>
      </c>
      <c r="O36" s="77">
        <f t="shared" si="5"/>
        <v>0</v>
      </c>
      <c r="P36" s="77">
        <f t="shared" si="5"/>
        <v>40.424999999999997</v>
      </c>
      <c r="Q36" s="77">
        <f t="shared" si="10"/>
        <v>80.024999999999991</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DJ7</v>
      </c>
      <c r="B37" s="15">
        <v>55</v>
      </c>
      <c r="C37" s="77">
        <f t="shared" si="6"/>
        <v>203.5</v>
      </c>
      <c r="D37" s="77">
        <f t="shared" si="7"/>
        <v>93.117694999999983</v>
      </c>
      <c r="E37" s="77">
        <f t="shared" si="8"/>
        <v>11.465575000000001</v>
      </c>
      <c r="F37" s="77">
        <f t="shared" si="9"/>
        <v>20.973700000000001</v>
      </c>
      <c r="G37" s="77">
        <f t="shared" si="5"/>
        <v>0.17820000000000003</v>
      </c>
      <c r="H37" s="77">
        <f t="shared" si="5"/>
        <v>0.89650000000000007</v>
      </c>
      <c r="I37" s="77">
        <f t="shared" si="5"/>
        <v>2.75E-2</v>
      </c>
      <c r="J37" s="77">
        <f t="shared" si="5"/>
        <v>5.5000000000000003E-4</v>
      </c>
      <c r="K37" s="77">
        <f t="shared" si="5"/>
        <v>2.7500000000000003E-3</v>
      </c>
      <c r="L37" s="77">
        <f t="shared" si="5"/>
        <v>4.8344999999999999E-2</v>
      </c>
      <c r="M37" s="77">
        <f t="shared" si="5"/>
        <v>5.0985000000000003E-2</v>
      </c>
      <c r="N37" s="77">
        <f t="shared" si="5"/>
        <v>0</v>
      </c>
      <c r="O37" s="77">
        <f t="shared" si="5"/>
        <v>0</v>
      </c>
      <c r="P37" s="77">
        <f t="shared" si="5"/>
        <v>40.424999999999997</v>
      </c>
      <c r="Q37" s="77">
        <f t="shared" si="10"/>
        <v>80.024999999999991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DJ8</v>
      </c>
      <c r="B38" s="15">
        <v>55</v>
      </c>
      <c r="C38" s="77">
        <f t="shared" si="6"/>
        <v>203.5</v>
      </c>
      <c r="D38" s="77">
        <f t="shared" si="7"/>
        <v>93.117694999999983</v>
      </c>
      <c r="E38" s="77">
        <f t="shared" si="8"/>
        <v>11.465575000000001</v>
      </c>
      <c r="F38" s="77">
        <f t="shared" si="9"/>
        <v>20.973700000000001</v>
      </c>
      <c r="G38" s="77">
        <f t="shared" si="5"/>
        <v>0.17820000000000003</v>
      </c>
      <c r="H38" s="77">
        <f t="shared" si="5"/>
        <v>0.89650000000000007</v>
      </c>
      <c r="I38" s="77">
        <f t="shared" si="5"/>
        <v>2.75E-2</v>
      </c>
      <c r="J38" s="77">
        <f t="shared" si="5"/>
        <v>5.5000000000000003E-4</v>
      </c>
      <c r="K38" s="77">
        <f t="shared" si="5"/>
        <v>2.7500000000000003E-3</v>
      </c>
      <c r="L38" s="77">
        <f t="shared" si="5"/>
        <v>4.8344999999999999E-2</v>
      </c>
      <c r="M38" s="77">
        <f t="shared" si="5"/>
        <v>5.0985000000000003E-2</v>
      </c>
      <c r="N38" s="77">
        <f t="shared" si="5"/>
        <v>0</v>
      </c>
      <c r="O38" s="77">
        <f t="shared" si="5"/>
        <v>0</v>
      </c>
      <c r="P38" s="77">
        <f t="shared" si="5"/>
        <v>40.424999999999997</v>
      </c>
      <c r="Q38" s="77">
        <f t="shared" si="10"/>
        <v>80.024999999999991</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Sandy Loam I Grass</v>
      </c>
      <c r="C58" s="13" t="str">
        <f>D16&amp;" I "&amp;(VLOOKUP(D14,Table24581112[],6,FALSE))</f>
        <v>Sandy Loam I Grass</v>
      </c>
      <c r="D58" s="13" t="str">
        <f>E16&amp;" I "&amp;(VLOOKUP(E14,Table24581112[],6,FALSE))</f>
        <v>Sandy Loam I Grass</v>
      </c>
      <c r="E58" s="13" t="str">
        <f>F16&amp;" I "&amp;(VLOOKUP(F14,Table24581112[],6,FALSE))</f>
        <v>Sandy Loam I Grass</v>
      </c>
      <c r="F58" s="13" t="str">
        <f>G16&amp;" I "&amp;(VLOOKUP(G14,Table24581112[],6,FALSE))</f>
        <v>Sandy Loam I Grass</v>
      </c>
      <c r="G58" s="13" t="str">
        <f>H16&amp;" I "&amp;(VLOOKUP(H14,Table24581112[],6,FALSE))</f>
        <v>Sandy Loam I Grass</v>
      </c>
      <c r="H58" s="13" t="str">
        <f>I16&amp;" I "&amp;(VLOOKUP(I14,Table24581112[],6,FALSE))</f>
        <v>Sandy Loam I Grass</v>
      </c>
      <c r="I58" s="13" t="str">
        <f>J16&amp;" I "&amp;(VLOOKUP(J14,Table24581112[],6,FALSE))</f>
        <v>Sandy Loam I Grass</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55</v>
      </c>
      <c r="C62" s="77">
        <f>B32</f>
        <v>55</v>
      </c>
      <c r="D62" s="77">
        <f>B33</f>
        <v>55</v>
      </c>
      <c r="E62" s="77">
        <f>B34</f>
        <v>55</v>
      </c>
      <c r="F62" s="77">
        <f>B35</f>
        <v>55</v>
      </c>
      <c r="G62" s="77">
        <f>B36</f>
        <v>55</v>
      </c>
      <c r="H62" s="77">
        <f>B37</f>
        <v>55</v>
      </c>
      <c r="I62" s="77">
        <f>B38</f>
        <v>55</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F13"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19" t="s">
        <v>41</v>
      </c>
      <c r="B1" s="119"/>
      <c r="C1" s="140" t="str">
        <f>Secanim!C1:D1</f>
        <v>PAN-019538</v>
      </c>
      <c r="D1" s="141"/>
      <c r="E1" s="93" t="s">
        <v>45</v>
      </c>
      <c r="F1" s="39">
        <f>Secanim!F1</f>
        <v>18.100000000000001</v>
      </c>
      <c r="G1" s="120" t="s">
        <v>43</v>
      </c>
      <c r="H1" s="121"/>
      <c r="I1" s="118">
        <v>6.84</v>
      </c>
      <c r="J1" s="119" t="s">
        <v>153</v>
      </c>
      <c r="K1" s="119"/>
      <c r="L1" s="97">
        <v>6581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EPR-KP3594VE</v>
      </c>
      <c r="D2" s="143"/>
      <c r="E2" s="93" t="s">
        <v>109</v>
      </c>
      <c r="F2" s="96" t="s">
        <v>171</v>
      </c>
      <c r="G2" s="138" t="s">
        <v>110</v>
      </c>
      <c r="H2" s="139"/>
      <c r="I2" s="118">
        <v>466</v>
      </c>
      <c r="J2" s="119" t="s">
        <v>158</v>
      </c>
      <c r="K2" s="119"/>
      <c r="L2" s="97">
        <v>8.11</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 xml:space="preserve">Trade Effluent Services Limited </v>
      </c>
      <c r="D3" s="143"/>
      <c r="E3" s="93" t="s">
        <v>108</v>
      </c>
      <c r="F3" s="31" t="s">
        <v>78</v>
      </c>
      <c r="G3" s="119" t="s">
        <v>159</v>
      </c>
      <c r="H3" s="119"/>
      <c r="I3" s="118"/>
      <c r="J3" s="120" t="s">
        <v>154</v>
      </c>
      <c r="K3" s="121"/>
      <c r="L3" s="97">
        <f>(L1/(L2*10000))*100</f>
        <v>8.1146732429099888</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Secanim!C4:D4</f>
        <v>0</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Secanim!C8</f>
        <v>DJ1</v>
      </c>
      <c r="D8" s="60" t="str">
        <f>Secanim!D8</f>
        <v>DJ2</v>
      </c>
      <c r="E8" s="60" t="str">
        <f>Secanim!E8</f>
        <v>DJ3</v>
      </c>
      <c r="F8" s="60" t="str">
        <f>Secanim!F8</f>
        <v>DJ4</v>
      </c>
      <c r="G8" s="60" t="str">
        <f>Secanim!G8</f>
        <v>DJ5</v>
      </c>
      <c r="H8" s="60" t="str">
        <f>Secanim!H8</f>
        <v>DJ6</v>
      </c>
      <c r="I8" s="60" t="str">
        <f>Secanim!I8</f>
        <v>DJ7</v>
      </c>
      <c r="J8" s="60" t="str">
        <f>Secanim!J8</f>
        <v>DJ8</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6.6</v>
      </c>
      <c r="D10" s="60">
        <f>Secanim!D10</f>
        <v>5.7</v>
      </c>
      <c r="E10" s="60">
        <f>Secanim!E10</f>
        <v>6.1</v>
      </c>
      <c r="F10" s="60">
        <f>Secanim!F10</f>
        <v>5.2</v>
      </c>
      <c r="G10" s="60">
        <f>Secanim!G10</f>
        <v>5.3</v>
      </c>
      <c r="H10" s="60">
        <f>Secanim!H10</f>
        <v>5.5</v>
      </c>
      <c r="I10" s="60">
        <f>Secanim!I10</f>
        <v>5.4</v>
      </c>
      <c r="J10" s="60">
        <f>Secanim!J10</f>
        <v>5.6</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0</v>
      </c>
      <c r="D11" s="60">
        <f>Secanim!D11</f>
        <v>1</v>
      </c>
      <c r="E11" s="60">
        <f>Secanim!E11</f>
        <v>0</v>
      </c>
      <c r="F11" s="60">
        <f>Secanim!F11</f>
        <v>0</v>
      </c>
      <c r="G11" s="60">
        <f>Secanim!G11</f>
        <v>0</v>
      </c>
      <c r="H11" s="60">
        <f>Secanim!H11</f>
        <v>0</v>
      </c>
      <c r="I11" s="60">
        <f>Secanim!I11</f>
        <v>0</v>
      </c>
      <c r="J11" s="60">
        <f>Secanim!J11</f>
        <v>1</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Secanim!C12</f>
        <v>1</v>
      </c>
      <c r="D12" s="60">
        <f>Secanim!D12</f>
        <v>2</v>
      </c>
      <c r="E12" s="60">
        <f>Secanim!E12</f>
        <v>2</v>
      </c>
      <c r="F12" s="60">
        <f>Secanim!F12</f>
        <v>3</v>
      </c>
      <c r="G12" s="60">
        <f>Secanim!G12</f>
        <v>2</v>
      </c>
      <c r="H12" s="60">
        <f>Secanim!H12</f>
        <v>2</v>
      </c>
      <c r="I12" s="60">
        <f>Secanim!I12</f>
        <v>2</v>
      </c>
      <c r="J12" s="60">
        <f>Secanim!J12</f>
        <v>2</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2</v>
      </c>
      <c r="D13" s="60">
        <f>Secanim!D13</f>
        <v>2</v>
      </c>
      <c r="E13" s="60">
        <f>Secanim!E13</f>
        <v>2</v>
      </c>
      <c r="F13" s="60">
        <f>Secanim!F13</f>
        <v>2</v>
      </c>
      <c r="G13" s="60">
        <f>Secanim!G13</f>
        <v>2</v>
      </c>
      <c r="H13" s="60">
        <f>Secanim!H13</f>
        <v>2</v>
      </c>
      <c r="I13" s="60">
        <f>Secanim!I13</f>
        <v>2</v>
      </c>
      <c r="J13" s="60">
        <f>Secanim!J13</f>
        <v>2</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Sandy Loam</v>
      </c>
      <c r="D16" s="103" t="str">
        <f>Secanim!D16</f>
        <v>Sandy Loam</v>
      </c>
      <c r="E16" s="103" t="str">
        <f>Secanim!E16</f>
        <v>Sandy Loam</v>
      </c>
      <c r="F16" s="103" t="str">
        <f>Secanim!F16</f>
        <v>Sandy Loam</v>
      </c>
      <c r="G16" s="103" t="str">
        <f>Secanim!G16</f>
        <v>Sandy Loam</v>
      </c>
      <c r="H16" s="103" t="str">
        <f>Secanim!H16</f>
        <v>Sandy Loam</v>
      </c>
      <c r="I16" s="103" t="str">
        <f>Secanim!I16</f>
        <v>Sandy Loam</v>
      </c>
      <c r="J16" s="103" t="str">
        <f>Secanim!J16</f>
        <v>Sandy Loam</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89.615672400000008</v>
      </c>
      <c r="D18" s="16">
        <f>$D32</f>
        <v>89.615672400000008</v>
      </c>
      <c r="E18" s="16">
        <f>$D33</f>
        <v>89.615672400000008</v>
      </c>
      <c r="F18" s="16">
        <f>$D34</f>
        <v>89.615672400000008</v>
      </c>
      <c r="G18" s="16">
        <f>$D35</f>
        <v>89.615672400000008</v>
      </c>
      <c r="H18" s="16">
        <f>$D36</f>
        <v>89.615672400000008</v>
      </c>
      <c r="I18" s="16">
        <f>$D37</f>
        <v>89.615672400000008</v>
      </c>
      <c r="J18" s="16">
        <f>$D38</f>
        <v>89.615672400000008</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25.015672400000014</v>
      </c>
      <c r="D19" s="16">
        <f t="shared" ref="D19:V19" si="1">D18-D17</f>
        <v>25.015672400000014</v>
      </c>
      <c r="E19" s="16">
        <f t="shared" si="1"/>
        <v>25.015672400000014</v>
      </c>
      <c r="F19" s="16">
        <f t="shared" si="1"/>
        <v>25.015672400000014</v>
      </c>
      <c r="G19" s="16">
        <f t="shared" si="1"/>
        <v>25.015672400000014</v>
      </c>
      <c r="H19" s="16">
        <f t="shared" si="1"/>
        <v>25.015672400000014</v>
      </c>
      <c r="I19" s="16">
        <f t="shared" si="1"/>
        <v>25.015672400000014</v>
      </c>
      <c r="J19" s="16">
        <f t="shared" si="1"/>
        <v>25.015672400000014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18.471927000000004</v>
      </c>
      <c r="D22" s="16">
        <f>$E32</f>
        <v>18.471927000000004</v>
      </c>
      <c r="E22" s="16">
        <f>$E33</f>
        <v>18.471927000000004</v>
      </c>
      <c r="F22" s="16">
        <f>$E34</f>
        <v>18.471927000000004</v>
      </c>
      <c r="G22" s="16">
        <f>$E35</f>
        <v>18.471927000000004</v>
      </c>
      <c r="H22" s="16">
        <f>$E36</f>
        <v>18.471927000000004</v>
      </c>
      <c r="I22" s="16">
        <f>$E37</f>
        <v>18.471927000000004</v>
      </c>
      <c r="J22" s="16">
        <f>$E38</f>
        <v>18.471927000000004</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-209.52807300000001</v>
      </c>
      <c r="D23" s="16">
        <f t="shared" ref="D23:V23" si="3">D22-D21</f>
        <v>-209.52807300000001</v>
      </c>
      <c r="E23" s="16">
        <f t="shared" si="3"/>
        <v>-209.52807300000001</v>
      </c>
      <c r="F23" s="16">
        <f t="shared" si="3"/>
        <v>-209.52807300000001</v>
      </c>
      <c r="G23" s="16">
        <f t="shared" si="3"/>
        <v>-209.52807300000001</v>
      </c>
      <c r="H23" s="16">
        <f t="shared" si="3"/>
        <v>-209.52807300000001</v>
      </c>
      <c r="I23" s="16">
        <f t="shared" si="3"/>
        <v>-209.52807300000001</v>
      </c>
      <c r="J23" s="16">
        <f t="shared" si="3"/>
        <v>-209.52807300000001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c r="O27" s="107"/>
      <c r="P27" s="107" t="s">
        <v>57</v>
      </c>
      <c r="Q27" s="107" t="s">
        <v>57</v>
      </c>
      <c r="R27" s="107"/>
      <c r="S27" s="107"/>
      <c r="T27" s="107"/>
      <c r="U27" s="107"/>
    </row>
    <row r="28" spans="1:40" s="57" customFormat="1" x14ac:dyDescent="0.25">
      <c r="A28" s="108"/>
      <c r="B28" s="24">
        <v>8.81</v>
      </c>
      <c r="C28" s="15">
        <v>8.11</v>
      </c>
      <c r="D28" s="15">
        <v>1.85</v>
      </c>
      <c r="E28" s="15">
        <v>0.72499999999999998</v>
      </c>
      <c r="F28" s="15">
        <v>0.25900000000000001</v>
      </c>
      <c r="G28" s="15">
        <v>29.7</v>
      </c>
      <c r="H28" s="15">
        <v>337</v>
      </c>
      <c r="I28" s="15">
        <v>4.2300000000000004</v>
      </c>
      <c r="J28" s="15">
        <v>0.1</v>
      </c>
      <c r="K28" s="23">
        <v>0.1</v>
      </c>
      <c r="L28" s="15">
        <v>21.1</v>
      </c>
      <c r="M28" s="15">
        <v>65.599999999999994</v>
      </c>
      <c r="N28" s="15"/>
      <c r="O28" s="15"/>
      <c r="P28" s="15">
        <v>1.04</v>
      </c>
      <c r="Q28" s="15">
        <v>1.69</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v>24</v>
      </c>
      <c r="C31" s="77">
        <f>IF(C$27="%w/w SAR",((C$28*10)*$B31),IF(C$27="%w/w DM",(((C$28*10)*($B$28/100))*$B31),IF(C$27="kg/t SAR",(C$28*$B31),IF(C$27="kg/t DM",((C$28*($B$28/100))*$B31),IF(C$27="mg/kg SAR",((C$28*0.001)*$B31),IF(C$27="mg/kg DM",(((C$28*0.001)*($B$28/100))*$B31),0))))))</f>
        <v>171.47784000000001</v>
      </c>
      <c r="D31" s="77">
        <f>(IF(D$27="%w/w SAR",((D$28*10)*$B31),IF(D$27="%w/w DM",(((D$28*10)*($B$28/100))*$B31),IF(D$27="kg/t SAR",(D$28*$B31),IF(D$27="kg/t DM",((D$28*($B$28/100))*$B31),IF(D$27="mg/kg SAR",((D$28*0.001)*$B31),IF(D$27="mg/kg DM",(((D$28*0.001)*($B$28/100))*$B31),"0")))))))*2.291</f>
        <v>89.615672400000008</v>
      </c>
      <c r="E31" s="77">
        <f>(IF(E$27="%w/w SAR",((E$28*10)*$B31),IF(E$27="%w/w DM",(((E$28*10)*($B$28/100))*$B31),IF(E$27="kg/t SAR",(E$28*$B31),IF(E$27="kg/t DM",((E$28*($B$28/100))*$B31),IF(E$27="mg/kg SAR",((E$28*0.001)*$B31),IF(E$27="mg/kg DM",(((E$28*0.001)*($B$28/100))*$B31),"0")))))))*1.205</f>
        <v>18.471927000000004</v>
      </c>
      <c r="F31" s="77">
        <f>(IF(F$27="%w/w SAR",((F$28*10)*$B31),IF(F$27="%w/w DM",(((F$28*10)*($B$28/100))*$B31),IF(F$27="kg/t SAR",(F$28*$B31),IF(F$27="kg/t DM",((F$28*($B$28/100))*$B31),IF(F$27="mg/kg SAR",((F$28*0.001)*$B31),IF(F$27="mg/kg DM",(((F$28*0.001)*($B$28/100))*$B31),"0")))))))*1.658</f>
        <v>9.0796987680000001</v>
      </c>
      <c r="G31" s="77">
        <f t="shared" ref="G31:P46" si="5">IF(G$27="%w/w SAR",((G$28*10)*$B31),IF(G$27="%w/w DM",(((G$28*10)*($B$28/100))*$B31),IF(G$27="kg/t SAR",(G$28*$B31),IF(G$27="kg/t DM",((G$28*($B$28/100))*$B31),IF(G$27="mg/kg SAR",((G$28*0.001)*$B31),IF(G$27="mg/kg DM",(((G$28*0.001)*($B$28/100))*$B31),0))))))</f>
        <v>6.2797680000000008E-2</v>
      </c>
      <c r="H31" s="77">
        <f t="shared" si="5"/>
        <v>0.7125528000000001</v>
      </c>
      <c r="I31" s="77">
        <f t="shared" si="5"/>
        <v>8.9439120000000018E-3</v>
      </c>
      <c r="J31" s="77">
        <f t="shared" si="5"/>
        <v>2.1144000000000005E-4</v>
      </c>
      <c r="K31" s="77">
        <f t="shared" si="5"/>
        <v>2.1144000000000005E-4</v>
      </c>
      <c r="L31" s="77">
        <f t="shared" si="5"/>
        <v>4.4613840000000009E-2</v>
      </c>
      <c r="M31" s="77">
        <f t="shared" si="5"/>
        <v>0.13870463999999999</v>
      </c>
      <c r="N31" s="77">
        <f t="shared" si="5"/>
        <v>0</v>
      </c>
      <c r="O31" s="77">
        <f t="shared" si="5"/>
        <v>0</v>
      </c>
      <c r="P31" s="77">
        <f t="shared" si="5"/>
        <v>21.989760000000004</v>
      </c>
      <c r="Q31" s="77">
        <f>(IF(Q$27="%w/w SAR",((Q$28*10)*$B31),IF(Q$27="%w/w DM",(((Q$28*10)*($B$28/100))*$B31),IF(Q$27="kg/t SAR",(Q$28*$B31),IF(Q$27="kg/t DM",((Q$28*($B$28/100))*$B31),IF(Q$27="mg/kg SAR",((Q$28*0.001)*$B31),IF(Q$27="mg/kg DM",(((Q$28*0.001)*($B$28/100))*$B31),0)))))))*2.5</f>
        <v>89.333400000000012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v>24</v>
      </c>
      <c r="C32" s="77">
        <f t="shared" ref="C32:C50" si="6">IF(C$27="%w/w SAR",((C$28*10)*$B32),IF(C$27="%w/w DM",(((C$28*10)*($B$28/100))*$B32),IF(C$27="kg/t SAR",(C$28*$B32),IF(C$27="kg/t DM",((C$28*($B$28/100))*$B32),IF(C$27="mg/kg SAR",((C$28*0.001)*$B32),IF(C$27="mg/kg DM",(((C$28*0.001)*($B$28/100))*$B32),0))))))</f>
        <v>171.47784000000001</v>
      </c>
      <c r="D32" s="77">
        <f t="shared" ref="D32:D50" si="7">(IF(D$27="%w/w SAR",((D$28*10)*$B32),IF(D$27="%w/w DM",(((D$28*10)*($B$28/100))*$B32),IF(D$27="kg/t SAR",(D$28*$B32),IF(D$27="kg/t DM",((D$28*($B$28/100))*$B32),IF(D$27="mg/kg SAR",((D$28*0.001)*$B32),IF(D$27="mg/kg DM",(((D$28*0.001)*($B$28/100))*$B32),"0")))))))*2.291</f>
        <v>89.615672400000008</v>
      </c>
      <c r="E32" s="77">
        <f t="shared" ref="E32:E50" si="8">(IF(E$27="%w/w SAR",((E$28*10)*$B32),IF(E$27="%w/w DM",(((E$28*10)*($B$28/100))*$B32),IF(E$27="kg/t SAR",(E$28*$B32),IF(E$27="kg/t DM",((E$28*($B$28/100))*$B32),IF(E$27="mg/kg SAR",((E$28*0.001)*$B32),IF(E$27="mg/kg DM",(((E$28*0.001)*($B$28/100))*$B32),"0")))))))*1.205</f>
        <v>18.471927000000004</v>
      </c>
      <c r="F32" s="77">
        <f t="shared" ref="F32:F50" si="9">(IF(F$27="%w/w SAR",((F$28*10)*$B32),IF(F$27="%w/w DM",(((F$28*10)*($B$28/100))*$B32),IF(F$27="kg/t SAR",(F$28*$B32),IF(F$27="kg/t DM",((F$28*($B$28/100))*$B32),IF(F$27="mg/kg SAR",((F$28*0.001)*$B32),IF(F$27="mg/kg DM",(((F$28*0.001)*($B$28/100))*$B32),"0")))))))*1.658</f>
        <v>9.0796987680000001</v>
      </c>
      <c r="G32" s="77">
        <f t="shared" si="5"/>
        <v>6.2797680000000008E-2</v>
      </c>
      <c r="H32" s="77">
        <f t="shared" si="5"/>
        <v>0.7125528000000001</v>
      </c>
      <c r="I32" s="77">
        <f t="shared" si="5"/>
        <v>8.9439120000000018E-3</v>
      </c>
      <c r="J32" s="77">
        <f t="shared" si="5"/>
        <v>2.1144000000000005E-4</v>
      </c>
      <c r="K32" s="77">
        <f t="shared" si="5"/>
        <v>2.1144000000000005E-4</v>
      </c>
      <c r="L32" s="77">
        <f t="shared" si="5"/>
        <v>4.4613840000000009E-2</v>
      </c>
      <c r="M32" s="77">
        <f t="shared" si="5"/>
        <v>0.13870463999999999</v>
      </c>
      <c r="N32" s="77">
        <f t="shared" si="5"/>
        <v>0</v>
      </c>
      <c r="O32" s="77">
        <f t="shared" si="5"/>
        <v>0</v>
      </c>
      <c r="P32" s="77">
        <f t="shared" si="5"/>
        <v>21.989760000000004</v>
      </c>
      <c r="Q32" s="77">
        <f t="shared" ref="Q32:Q50" si="10">(IF(Q$27="%w/w SAR",((Q$28*10)*$B32),IF(Q$27="%w/w DM",(((Q$28*10)*($B$28/100))*$B32),IF(Q$27="kg/t SAR",(Q$28*$B32),IF(Q$27="kg/t DM",((Q$28*($B$28/100))*$B32),IF(Q$27="mg/kg SAR",((Q$28*0.001)*$B32),IF(Q$27="mg/kg DM",(((Q$28*0.001)*($B$28/100))*$B32),0)))))))*2.5</f>
        <v>89.333400000000012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DJ3</v>
      </c>
      <c r="B33" s="15">
        <v>24</v>
      </c>
      <c r="C33" s="77">
        <f t="shared" si="6"/>
        <v>171.47784000000001</v>
      </c>
      <c r="D33" s="77">
        <f t="shared" si="7"/>
        <v>89.615672400000008</v>
      </c>
      <c r="E33" s="77">
        <f t="shared" si="8"/>
        <v>18.471927000000004</v>
      </c>
      <c r="F33" s="77">
        <f t="shared" si="9"/>
        <v>9.0796987680000001</v>
      </c>
      <c r="G33" s="77">
        <f t="shared" si="5"/>
        <v>6.2797680000000008E-2</v>
      </c>
      <c r="H33" s="77">
        <f t="shared" si="5"/>
        <v>0.7125528000000001</v>
      </c>
      <c r="I33" s="77">
        <f t="shared" si="5"/>
        <v>8.9439120000000018E-3</v>
      </c>
      <c r="J33" s="77">
        <f t="shared" si="5"/>
        <v>2.1144000000000005E-4</v>
      </c>
      <c r="K33" s="77">
        <f t="shared" si="5"/>
        <v>2.1144000000000005E-4</v>
      </c>
      <c r="L33" s="77">
        <f t="shared" si="5"/>
        <v>4.4613840000000009E-2</v>
      </c>
      <c r="M33" s="77">
        <f t="shared" si="5"/>
        <v>0.13870463999999999</v>
      </c>
      <c r="N33" s="77">
        <f t="shared" si="5"/>
        <v>0</v>
      </c>
      <c r="O33" s="77">
        <f t="shared" si="5"/>
        <v>0</v>
      </c>
      <c r="P33" s="77">
        <f t="shared" si="5"/>
        <v>21.989760000000004</v>
      </c>
      <c r="Q33" s="77">
        <f t="shared" si="10"/>
        <v>89.333400000000012</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DJ4</v>
      </c>
      <c r="B34" s="15">
        <v>24</v>
      </c>
      <c r="C34" s="77">
        <f t="shared" si="6"/>
        <v>171.47784000000001</v>
      </c>
      <c r="D34" s="77">
        <f t="shared" si="7"/>
        <v>89.615672400000008</v>
      </c>
      <c r="E34" s="77">
        <f t="shared" si="8"/>
        <v>18.471927000000004</v>
      </c>
      <c r="F34" s="77">
        <f t="shared" si="9"/>
        <v>9.0796987680000001</v>
      </c>
      <c r="G34" s="77">
        <f t="shared" si="5"/>
        <v>6.2797680000000008E-2</v>
      </c>
      <c r="H34" s="77">
        <f t="shared" si="5"/>
        <v>0.7125528000000001</v>
      </c>
      <c r="I34" s="77">
        <f t="shared" si="5"/>
        <v>8.9439120000000018E-3</v>
      </c>
      <c r="J34" s="77">
        <f t="shared" si="5"/>
        <v>2.1144000000000005E-4</v>
      </c>
      <c r="K34" s="77">
        <f t="shared" si="5"/>
        <v>2.1144000000000005E-4</v>
      </c>
      <c r="L34" s="77">
        <f t="shared" si="5"/>
        <v>4.4613840000000009E-2</v>
      </c>
      <c r="M34" s="77">
        <f t="shared" si="5"/>
        <v>0.13870463999999999</v>
      </c>
      <c r="N34" s="77">
        <f t="shared" si="5"/>
        <v>0</v>
      </c>
      <c r="O34" s="77">
        <f t="shared" si="5"/>
        <v>0</v>
      </c>
      <c r="P34" s="77">
        <f t="shared" si="5"/>
        <v>21.989760000000004</v>
      </c>
      <c r="Q34" s="77">
        <f t="shared" si="10"/>
        <v>89.333400000000012</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DJ5</v>
      </c>
      <c r="B35" s="15">
        <v>24</v>
      </c>
      <c r="C35" s="77">
        <f t="shared" si="6"/>
        <v>171.47784000000001</v>
      </c>
      <c r="D35" s="77">
        <f t="shared" si="7"/>
        <v>89.615672400000008</v>
      </c>
      <c r="E35" s="77">
        <f t="shared" si="8"/>
        <v>18.471927000000004</v>
      </c>
      <c r="F35" s="77">
        <f t="shared" si="9"/>
        <v>9.0796987680000001</v>
      </c>
      <c r="G35" s="77">
        <f t="shared" si="5"/>
        <v>6.2797680000000008E-2</v>
      </c>
      <c r="H35" s="77">
        <f t="shared" si="5"/>
        <v>0.7125528000000001</v>
      </c>
      <c r="I35" s="77">
        <f t="shared" si="5"/>
        <v>8.9439120000000018E-3</v>
      </c>
      <c r="J35" s="77">
        <f t="shared" si="5"/>
        <v>2.1144000000000005E-4</v>
      </c>
      <c r="K35" s="77">
        <f t="shared" si="5"/>
        <v>2.1144000000000005E-4</v>
      </c>
      <c r="L35" s="77">
        <f t="shared" si="5"/>
        <v>4.4613840000000009E-2</v>
      </c>
      <c r="M35" s="77">
        <f t="shared" si="5"/>
        <v>0.13870463999999999</v>
      </c>
      <c r="N35" s="77">
        <f t="shared" si="5"/>
        <v>0</v>
      </c>
      <c r="O35" s="77">
        <f t="shared" si="5"/>
        <v>0</v>
      </c>
      <c r="P35" s="77">
        <f t="shared" si="5"/>
        <v>21.989760000000004</v>
      </c>
      <c r="Q35" s="77">
        <f t="shared" si="10"/>
        <v>89.333400000000012</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DJ6</v>
      </c>
      <c r="B36" s="15">
        <v>24</v>
      </c>
      <c r="C36" s="77">
        <f t="shared" si="6"/>
        <v>171.47784000000001</v>
      </c>
      <c r="D36" s="77">
        <f t="shared" si="7"/>
        <v>89.615672400000008</v>
      </c>
      <c r="E36" s="77">
        <f t="shared" si="8"/>
        <v>18.471927000000004</v>
      </c>
      <c r="F36" s="77">
        <f t="shared" si="9"/>
        <v>9.0796987680000001</v>
      </c>
      <c r="G36" s="77">
        <f t="shared" si="5"/>
        <v>6.2797680000000008E-2</v>
      </c>
      <c r="H36" s="77">
        <f t="shared" si="5"/>
        <v>0.7125528000000001</v>
      </c>
      <c r="I36" s="77">
        <f t="shared" si="5"/>
        <v>8.9439120000000018E-3</v>
      </c>
      <c r="J36" s="77">
        <f t="shared" si="5"/>
        <v>2.1144000000000005E-4</v>
      </c>
      <c r="K36" s="77">
        <f t="shared" si="5"/>
        <v>2.1144000000000005E-4</v>
      </c>
      <c r="L36" s="77">
        <f t="shared" si="5"/>
        <v>4.4613840000000009E-2</v>
      </c>
      <c r="M36" s="77">
        <f t="shared" si="5"/>
        <v>0.13870463999999999</v>
      </c>
      <c r="N36" s="77">
        <f t="shared" si="5"/>
        <v>0</v>
      </c>
      <c r="O36" s="77">
        <f t="shared" si="5"/>
        <v>0</v>
      </c>
      <c r="P36" s="77">
        <f t="shared" si="5"/>
        <v>21.989760000000004</v>
      </c>
      <c r="Q36" s="77">
        <f t="shared" si="10"/>
        <v>89.333400000000012</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DJ7</v>
      </c>
      <c r="B37" s="15">
        <v>24</v>
      </c>
      <c r="C37" s="77">
        <f t="shared" si="6"/>
        <v>171.47784000000001</v>
      </c>
      <c r="D37" s="77">
        <f t="shared" si="7"/>
        <v>89.615672400000008</v>
      </c>
      <c r="E37" s="77">
        <f t="shared" si="8"/>
        <v>18.471927000000004</v>
      </c>
      <c r="F37" s="77">
        <f t="shared" si="9"/>
        <v>9.0796987680000001</v>
      </c>
      <c r="G37" s="77">
        <f t="shared" si="5"/>
        <v>6.2797680000000008E-2</v>
      </c>
      <c r="H37" s="77">
        <f t="shared" si="5"/>
        <v>0.7125528000000001</v>
      </c>
      <c r="I37" s="77">
        <f t="shared" si="5"/>
        <v>8.9439120000000018E-3</v>
      </c>
      <c r="J37" s="77">
        <f t="shared" si="5"/>
        <v>2.1144000000000005E-4</v>
      </c>
      <c r="K37" s="77">
        <f t="shared" si="5"/>
        <v>2.1144000000000005E-4</v>
      </c>
      <c r="L37" s="77">
        <f t="shared" si="5"/>
        <v>4.4613840000000009E-2</v>
      </c>
      <c r="M37" s="77">
        <f t="shared" si="5"/>
        <v>0.13870463999999999</v>
      </c>
      <c r="N37" s="77">
        <f t="shared" si="5"/>
        <v>0</v>
      </c>
      <c r="O37" s="77">
        <f t="shared" si="5"/>
        <v>0</v>
      </c>
      <c r="P37" s="77">
        <f t="shared" si="5"/>
        <v>21.989760000000004</v>
      </c>
      <c r="Q37" s="77">
        <f t="shared" si="10"/>
        <v>89.333400000000012</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DJ8</v>
      </c>
      <c r="B38" s="15">
        <v>24</v>
      </c>
      <c r="C38" s="77">
        <f t="shared" si="6"/>
        <v>171.47784000000001</v>
      </c>
      <c r="D38" s="77">
        <f t="shared" si="7"/>
        <v>89.615672400000008</v>
      </c>
      <c r="E38" s="77">
        <f t="shared" si="8"/>
        <v>18.471927000000004</v>
      </c>
      <c r="F38" s="77">
        <f t="shared" si="9"/>
        <v>9.0796987680000001</v>
      </c>
      <c r="G38" s="77">
        <f t="shared" si="5"/>
        <v>6.2797680000000008E-2</v>
      </c>
      <c r="H38" s="77">
        <f t="shared" si="5"/>
        <v>0.7125528000000001</v>
      </c>
      <c r="I38" s="77">
        <f t="shared" si="5"/>
        <v>8.9439120000000018E-3</v>
      </c>
      <c r="J38" s="77">
        <f t="shared" si="5"/>
        <v>2.1144000000000005E-4</v>
      </c>
      <c r="K38" s="77">
        <f t="shared" si="5"/>
        <v>2.1144000000000005E-4</v>
      </c>
      <c r="L38" s="77">
        <f t="shared" si="5"/>
        <v>4.4613840000000009E-2</v>
      </c>
      <c r="M38" s="77">
        <f t="shared" si="5"/>
        <v>0.13870463999999999</v>
      </c>
      <c r="N38" s="77">
        <f t="shared" si="5"/>
        <v>0</v>
      </c>
      <c r="O38" s="77">
        <f t="shared" si="5"/>
        <v>0</v>
      </c>
      <c r="P38" s="77">
        <f t="shared" si="5"/>
        <v>21.989760000000004</v>
      </c>
      <c r="Q38" s="77">
        <f t="shared" si="10"/>
        <v>89.333400000000012</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Sandy Loam I Grass</v>
      </c>
      <c r="C58" s="13" t="str">
        <f>D16&amp;" I "&amp;(VLOOKUP(D14,Table24581114[],6,FALSE))</f>
        <v>Sandy Loam I Grass</v>
      </c>
      <c r="D58" s="13" t="str">
        <f>E16&amp;" I "&amp;(VLOOKUP(E14,Table24581114[],6,FALSE))</f>
        <v>Sandy Loam I Grass</v>
      </c>
      <c r="E58" s="13" t="str">
        <f>F16&amp;" I "&amp;(VLOOKUP(F14,Table24581114[],6,FALSE))</f>
        <v>Sandy Loam I Grass</v>
      </c>
      <c r="F58" s="13" t="str">
        <f>G16&amp;" I "&amp;(VLOOKUP(G14,Table24581114[],6,FALSE))</f>
        <v>Sandy Loam I Grass</v>
      </c>
      <c r="G58" s="13" t="str">
        <f>H16&amp;" I "&amp;(VLOOKUP(H14,Table24581114[],6,FALSE))</f>
        <v>Sandy Loam I Grass</v>
      </c>
      <c r="H58" s="13" t="str">
        <f>I16&amp;" I "&amp;(VLOOKUP(I14,Table24581114[],6,FALSE))</f>
        <v>Sandy Loam I Grass</v>
      </c>
      <c r="I58" s="13" t="str">
        <f>J16&amp;" I "&amp;(VLOOKUP(J14,Table24581114[],6,FALSE))</f>
        <v>Sandy Loam I Grass</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24</v>
      </c>
      <c r="C62" s="77">
        <f>B32</f>
        <v>24</v>
      </c>
      <c r="D62" s="77">
        <f>B33</f>
        <v>24</v>
      </c>
      <c r="E62" s="77">
        <f>B34</f>
        <v>24</v>
      </c>
      <c r="F62" s="77">
        <f>B35</f>
        <v>24</v>
      </c>
      <c r="G62" s="77">
        <f>B36</f>
        <v>24</v>
      </c>
      <c r="H62" s="77">
        <f>B37</f>
        <v>24</v>
      </c>
      <c r="I62" s="77">
        <f>B38</f>
        <v>24</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F13"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PAN-019538</v>
      </c>
      <c r="D1" s="141"/>
      <c r="E1" s="93" t="s">
        <v>45</v>
      </c>
      <c r="F1" s="39">
        <f>Secanim!F1</f>
        <v>18.100000000000001</v>
      </c>
      <c r="G1" s="120" t="s">
        <v>43</v>
      </c>
      <c r="H1" s="121"/>
      <c r="I1" s="118">
        <v>3.76</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EPR-KP3594VE</v>
      </c>
      <c r="D2" s="143"/>
      <c r="E2" s="93" t="s">
        <v>109</v>
      </c>
      <c r="F2" s="96" t="s">
        <v>173</v>
      </c>
      <c r="G2" s="138" t="s">
        <v>110</v>
      </c>
      <c r="H2" s="139"/>
      <c r="I2" s="118">
        <v>516</v>
      </c>
      <c r="J2" s="119" t="s">
        <v>158</v>
      </c>
      <c r="K2" s="119"/>
      <c r="L2" s="97">
        <v>0.06</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 xml:space="preserve">Trade Effluent Services Limited </v>
      </c>
      <c r="D3" s="143"/>
      <c r="E3" s="93" t="s">
        <v>108</v>
      </c>
      <c r="F3" s="31" t="s">
        <v>78</v>
      </c>
      <c r="G3" s="119" t="s">
        <v>159</v>
      </c>
      <c r="H3" s="119"/>
      <c r="I3" s="118"/>
      <c r="J3" s="120" t="s">
        <v>154</v>
      </c>
      <c r="K3" s="121"/>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Secanim!C4:D4</f>
        <v>0</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Secanim!C8</f>
        <v>DJ1</v>
      </c>
      <c r="D8" s="60" t="str">
        <f>Secanim!D8</f>
        <v>DJ2</v>
      </c>
      <c r="E8" s="60" t="str">
        <f>Secanim!E8</f>
        <v>DJ3</v>
      </c>
      <c r="F8" s="60" t="str">
        <f>Secanim!F8</f>
        <v>DJ4</v>
      </c>
      <c r="G8" s="60" t="str">
        <f>Secanim!G8</f>
        <v>DJ5</v>
      </c>
      <c r="H8" s="60" t="str">
        <f>Secanim!H8</f>
        <v>DJ6</v>
      </c>
      <c r="I8" s="60" t="str">
        <f>Secanim!I8</f>
        <v>DJ7</v>
      </c>
      <c r="J8" s="60" t="str">
        <f>Secanim!J8</f>
        <v>DJ8</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6.6</v>
      </c>
      <c r="D10" s="60">
        <f>Secanim!D10</f>
        <v>5.7</v>
      </c>
      <c r="E10" s="60">
        <f>Secanim!E10</f>
        <v>6.1</v>
      </c>
      <c r="F10" s="60">
        <f>Secanim!F10</f>
        <v>5.2</v>
      </c>
      <c r="G10" s="60">
        <f>Secanim!G10</f>
        <v>5.3</v>
      </c>
      <c r="H10" s="60">
        <f>Secanim!H10</f>
        <v>5.5</v>
      </c>
      <c r="I10" s="60">
        <f>Secanim!I10</f>
        <v>5.4</v>
      </c>
      <c r="J10" s="60">
        <f>Secanim!J10</f>
        <v>5.6</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0</v>
      </c>
      <c r="D11" s="60">
        <f>Secanim!D11</f>
        <v>1</v>
      </c>
      <c r="E11" s="60">
        <f>Secanim!E11</f>
        <v>0</v>
      </c>
      <c r="F11" s="60">
        <f>Secanim!F11</f>
        <v>0</v>
      </c>
      <c r="G11" s="60">
        <f>Secanim!G11</f>
        <v>0</v>
      </c>
      <c r="H11" s="60">
        <f>Secanim!H11</f>
        <v>0</v>
      </c>
      <c r="I11" s="60">
        <f>Secanim!I11</f>
        <v>0</v>
      </c>
      <c r="J11" s="60">
        <f>Secanim!J11</f>
        <v>1</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Secanim!C12</f>
        <v>1</v>
      </c>
      <c r="D12" s="60">
        <f>Secanim!D12</f>
        <v>2</v>
      </c>
      <c r="E12" s="60">
        <f>Secanim!E12</f>
        <v>2</v>
      </c>
      <c r="F12" s="60">
        <f>Secanim!F12</f>
        <v>3</v>
      </c>
      <c r="G12" s="60">
        <f>Secanim!G12</f>
        <v>2</v>
      </c>
      <c r="H12" s="60">
        <f>Secanim!H12</f>
        <v>2</v>
      </c>
      <c r="I12" s="60">
        <f>Secanim!I12</f>
        <v>2</v>
      </c>
      <c r="J12" s="60">
        <f>Secanim!J12</f>
        <v>2</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2</v>
      </c>
      <c r="D13" s="60">
        <f>Secanim!D13</f>
        <v>2</v>
      </c>
      <c r="E13" s="60">
        <f>Secanim!E13</f>
        <v>2</v>
      </c>
      <c r="F13" s="60">
        <f>Secanim!F13</f>
        <v>2</v>
      </c>
      <c r="G13" s="60">
        <f>Secanim!G13</f>
        <v>2</v>
      </c>
      <c r="H13" s="60">
        <f>Secanim!H13</f>
        <v>2</v>
      </c>
      <c r="I13" s="60">
        <f>Secanim!I13</f>
        <v>2</v>
      </c>
      <c r="J13" s="60">
        <f>Secanim!J13</f>
        <v>2</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Sandy Loam</v>
      </c>
      <c r="D16" s="103" t="str">
        <f>Secanim!D16</f>
        <v>Sandy Loam</v>
      </c>
      <c r="E16" s="103" t="str">
        <f>Secanim!E16</f>
        <v>Sandy Loam</v>
      </c>
      <c r="F16" s="103" t="str">
        <f>Secanim!F16</f>
        <v>Sandy Loam</v>
      </c>
      <c r="G16" s="103" t="str">
        <f>Secanim!G16</f>
        <v>Sandy Loam</v>
      </c>
      <c r="H16" s="103" t="str">
        <f>Secanim!H16</f>
        <v>Sandy Loam</v>
      </c>
      <c r="I16" s="103" t="str">
        <f>Secanim!I16</f>
        <v>Sandy Loam</v>
      </c>
      <c r="J16" s="103" t="str">
        <f>Secanim!J16</f>
        <v>Sandy Loam</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56.587699999999998</v>
      </c>
      <c r="D18" s="16">
        <f>$D32</f>
        <v>56.587699999999998</v>
      </c>
      <c r="E18" s="16">
        <f>$D33</f>
        <v>56.587699999999998</v>
      </c>
      <c r="F18" s="16">
        <f>$D34</f>
        <v>56.587699999999998</v>
      </c>
      <c r="G18" s="16">
        <f>$D35</f>
        <v>56.587699999999998</v>
      </c>
      <c r="H18" s="16">
        <f>$D36</f>
        <v>56.587699999999998</v>
      </c>
      <c r="I18" s="16">
        <f>$D37</f>
        <v>56.587699999999998</v>
      </c>
      <c r="J18" s="16">
        <f>$D38</f>
        <v>56.587699999999998</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-8.0122999999999962</v>
      </c>
      <c r="D19" s="16">
        <f t="shared" ref="D19:V19" si="1">D18-D17</f>
        <v>-8.0122999999999962</v>
      </c>
      <c r="E19" s="16">
        <f t="shared" si="1"/>
        <v>-8.0122999999999962</v>
      </c>
      <c r="F19" s="16">
        <f t="shared" si="1"/>
        <v>-8.0122999999999962</v>
      </c>
      <c r="G19" s="16">
        <f t="shared" si="1"/>
        <v>-8.0122999999999962</v>
      </c>
      <c r="H19" s="16">
        <f t="shared" si="1"/>
        <v>-8.0122999999999962</v>
      </c>
      <c r="I19" s="16">
        <f t="shared" si="1"/>
        <v>-8.0122999999999962</v>
      </c>
      <c r="J19" s="16">
        <f t="shared" si="1"/>
        <v>-8.0122999999999962</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50.911250000000003</v>
      </c>
      <c r="D22" s="16">
        <f>$E32</f>
        <v>50.911250000000003</v>
      </c>
      <c r="E22" s="16">
        <f>$E33</f>
        <v>50.911250000000003</v>
      </c>
      <c r="F22" s="16">
        <f>$E34</f>
        <v>50.911250000000003</v>
      </c>
      <c r="G22" s="16">
        <f>$E35</f>
        <v>50.911250000000003</v>
      </c>
      <c r="H22" s="16">
        <f>$E36</f>
        <v>50.911250000000003</v>
      </c>
      <c r="I22" s="16">
        <f>$E37</f>
        <v>50.911250000000003</v>
      </c>
      <c r="J22" s="16">
        <f>$E38</f>
        <v>50.911250000000003</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-177.08875</v>
      </c>
      <c r="D23" s="16">
        <f t="shared" ref="D23:V23" si="3">D22-D21</f>
        <v>-177.08875</v>
      </c>
      <c r="E23" s="16">
        <f t="shared" si="3"/>
        <v>-177.08875</v>
      </c>
      <c r="F23" s="16">
        <f t="shared" si="3"/>
        <v>-177.08875</v>
      </c>
      <c r="G23" s="16">
        <f t="shared" si="3"/>
        <v>-177.08875</v>
      </c>
      <c r="H23" s="16">
        <f t="shared" si="3"/>
        <v>-177.08875</v>
      </c>
      <c r="I23" s="16">
        <f t="shared" si="3"/>
        <v>-177.08875</v>
      </c>
      <c r="J23" s="16">
        <f t="shared" si="3"/>
        <v>-177.08875</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1.85</v>
      </c>
      <c r="C28" s="15">
        <v>0.06</v>
      </c>
      <c r="D28" s="15">
        <v>98.8</v>
      </c>
      <c r="E28" s="15">
        <v>169</v>
      </c>
      <c r="F28" s="15">
        <v>25.6</v>
      </c>
      <c r="G28" s="15">
        <v>0.221</v>
      </c>
      <c r="H28" s="15">
        <v>1</v>
      </c>
      <c r="I28" s="15">
        <v>0.5</v>
      </c>
      <c r="J28" s="15">
        <v>0.01</v>
      </c>
      <c r="K28" s="23">
        <v>0.05</v>
      </c>
      <c r="L28" s="15">
        <v>0.2</v>
      </c>
      <c r="M28" s="15">
        <v>0.2</v>
      </c>
      <c r="N28" s="15"/>
      <c r="O28" s="15"/>
      <c r="P28" s="15">
        <v>337</v>
      </c>
      <c r="Q28" s="15">
        <v>77.900000000000006</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v>250</v>
      </c>
      <c r="C31" s="77">
        <f>IF(C$27="%w/w SAR",((C$28*10)*$B31),IF(C$27="%w/w DM",(((C$28*10)*($B$28/100))*$B31),IF(C$27="kg/t SAR",(C$28*$B31),IF(C$27="kg/t DM",((C$28*($B$28/100))*$B31),IF(C$27="mg/kg SAR",((C$28*0.001)*$B31),IF(C$27="mg/kg DM",(((C$28*0.001)*($B$28/100))*$B31),0))))))</f>
        <v>150</v>
      </c>
      <c r="D31" s="77">
        <f>(IF(D$27="%w/w SAR",((D$28*10)*$B31),IF(D$27="%w/w DM",(((D$28*10)*($B$28/100))*$B31),IF(D$27="kg/t SAR",(D$28*$B31),IF(D$27="kg/t DM",((D$28*($B$28/100))*$B31),IF(D$27="mg/kg SAR",((D$28*0.001)*$B31),IF(D$27="mg/kg DM",(((D$28*0.001)*($B$28/100))*$B31),"0")))))))*2.291</f>
        <v>56.587699999999998</v>
      </c>
      <c r="E31" s="77">
        <f>(IF(E$27="%w/w SAR",((E$28*10)*$B31),IF(E$27="%w/w DM",(((E$28*10)*($B$28/100))*$B31),IF(E$27="kg/t SAR",(E$28*$B31),IF(E$27="kg/t DM",((E$28*($B$28/100))*$B31),IF(E$27="mg/kg SAR",((E$28*0.001)*$B31),IF(E$27="mg/kg DM",(((E$28*0.001)*($B$28/100))*$B31),"0")))))))*1.205</f>
        <v>50.911250000000003</v>
      </c>
      <c r="F31" s="77">
        <f>(IF(F$27="%w/w SAR",((F$28*10)*$B31),IF(F$27="%w/w DM",(((F$28*10)*($B$28/100))*$B31),IF(F$27="kg/t SAR",(F$28*$B31),IF(F$27="kg/t DM",((F$28*($B$28/100))*$B31),IF(F$27="mg/kg SAR",((F$28*0.001)*$B31),IF(F$27="mg/kg DM",(((F$28*0.001)*($B$28/100))*$B31),"0")))))))*1.658</f>
        <v>10.6112</v>
      </c>
      <c r="G31" s="77">
        <f t="shared" ref="G31:P46" si="5">IF(G$27="%w/w SAR",((G$28*10)*$B31),IF(G$27="%w/w DM",(((G$28*10)*($B$28/100))*$B31),IF(G$27="kg/t SAR",(G$28*$B31),IF(G$27="kg/t DM",((G$28*($B$28/100))*$B31),IF(G$27="mg/kg SAR",((G$28*0.001)*$B31),IF(G$27="mg/kg DM",(((G$28*0.001)*($B$28/100))*$B31),0))))))</f>
        <v>5.525E-2</v>
      </c>
      <c r="H31" s="77">
        <f t="shared" si="5"/>
        <v>0.25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84.25</v>
      </c>
      <c r="Q31" s="77">
        <f>(IF(Q$27="%w/w SAR",((Q$28*10)*$B31),IF(Q$27="%w/w DM",(((Q$28*10)*($B$28/100))*$B31),IF(Q$27="kg/t SAR",(Q$28*$B31),IF(Q$27="kg/t DM",((Q$28*($B$28/100))*$B31),IF(Q$27="mg/kg SAR",((Q$28*0.001)*$B31),IF(Q$27="mg/kg DM",(((Q$28*0.001)*($B$28/100))*$B31),0)))))))*2.5</f>
        <v>48.6875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v>250</v>
      </c>
      <c r="C32" s="77">
        <f t="shared" ref="C32:C50" si="6">IF(C$27="%w/w SAR",((C$28*10)*$B32),IF(C$27="%w/w DM",(((C$28*10)*($B$28/100))*$B32),IF(C$27="kg/t SAR",(C$28*$B32),IF(C$27="kg/t DM",((C$28*($B$28/100))*$B32),IF(C$27="mg/kg SAR",((C$28*0.001)*$B32),IF(C$27="mg/kg DM",(((C$28*0.001)*($B$28/100))*$B32),0))))))</f>
        <v>150</v>
      </c>
      <c r="D32" s="77">
        <f t="shared" ref="D32:D50" si="7">(IF(D$27="%w/w SAR",((D$28*10)*$B32),IF(D$27="%w/w DM",(((D$28*10)*($B$28/100))*$B32),IF(D$27="kg/t SAR",(D$28*$B32),IF(D$27="kg/t DM",((D$28*($B$28/100))*$B32),IF(D$27="mg/kg SAR",((D$28*0.001)*$B32),IF(D$27="mg/kg DM",(((D$28*0.001)*($B$28/100))*$B32),"0")))))))*2.291</f>
        <v>56.587699999999998</v>
      </c>
      <c r="E32" s="77">
        <f t="shared" ref="E32:E50" si="8">(IF(E$27="%w/w SAR",((E$28*10)*$B32),IF(E$27="%w/w DM",(((E$28*10)*($B$28/100))*$B32),IF(E$27="kg/t SAR",(E$28*$B32),IF(E$27="kg/t DM",((E$28*($B$28/100))*$B32),IF(E$27="mg/kg SAR",((E$28*0.001)*$B32),IF(E$27="mg/kg DM",(((E$28*0.001)*($B$28/100))*$B32),"0")))))))*1.205</f>
        <v>50.911250000000003</v>
      </c>
      <c r="F32" s="77">
        <f t="shared" ref="F32:F50" si="9">(IF(F$27="%w/w SAR",((F$28*10)*$B32),IF(F$27="%w/w DM",(((F$28*10)*($B$28/100))*$B32),IF(F$27="kg/t SAR",(F$28*$B32),IF(F$27="kg/t DM",((F$28*($B$28/100))*$B32),IF(F$27="mg/kg SAR",((F$28*0.001)*$B32),IF(F$27="mg/kg DM",(((F$28*0.001)*($B$28/100))*$B32),"0")))))))*1.658</f>
        <v>10.6112</v>
      </c>
      <c r="G32" s="77">
        <f t="shared" si="5"/>
        <v>5.525E-2</v>
      </c>
      <c r="H32" s="77">
        <f t="shared" si="5"/>
        <v>0.25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84.25</v>
      </c>
      <c r="Q32" s="77">
        <f t="shared" ref="Q32:Q50" si="10">(IF(Q$27="%w/w SAR",((Q$28*10)*$B32),IF(Q$27="%w/w DM",(((Q$28*10)*($B$28/100))*$B32),IF(Q$27="kg/t SAR",(Q$28*$B32),IF(Q$27="kg/t DM",((Q$28*($B$28/100))*$B32),IF(Q$27="mg/kg SAR",((Q$28*0.001)*$B32),IF(Q$27="mg/kg DM",(((Q$28*0.001)*($B$28/100))*$B32),0)))))))*2.5</f>
        <v>48.6875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DJ3</v>
      </c>
      <c r="B33" s="15">
        <v>250</v>
      </c>
      <c r="C33" s="77">
        <f t="shared" si="6"/>
        <v>150</v>
      </c>
      <c r="D33" s="77">
        <f t="shared" si="7"/>
        <v>56.587699999999998</v>
      </c>
      <c r="E33" s="77">
        <f t="shared" si="8"/>
        <v>50.911250000000003</v>
      </c>
      <c r="F33" s="77">
        <f t="shared" si="9"/>
        <v>10.6112</v>
      </c>
      <c r="G33" s="77">
        <f t="shared" si="5"/>
        <v>5.525E-2</v>
      </c>
      <c r="H33" s="77">
        <f t="shared" si="5"/>
        <v>0.25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84.25</v>
      </c>
      <c r="Q33" s="77">
        <f t="shared" si="10"/>
        <v>48.6875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DJ4</v>
      </c>
      <c r="B34" s="15">
        <v>250</v>
      </c>
      <c r="C34" s="77">
        <f t="shared" si="6"/>
        <v>150</v>
      </c>
      <c r="D34" s="77">
        <f t="shared" si="7"/>
        <v>56.587699999999998</v>
      </c>
      <c r="E34" s="77">
        <f t="shared" si="8"/>
        <v>50.911250000000003</v>
      </c>
      <c r="F34" s="77">
        <f t="shared" si="9"/>
        <v>10.6112</v>
      </c>
      <c r="G34" s="77">
        <f t="shared" si="5"/>
        <v>5.525E-2</v>
      </c>
      <c r="H34" s="77">
        <f t="shared" si="5"/>
        <v>0.25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84.25</v>
      </c>
      <c r="Q34" s="77">
        <f t="shared" si="10"/>
        <v>48.6875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DJ5</v>
      </c>
      <c r="B35" s="15">
        <v>250</v>
      </c>
      <c r="C35" s="77">
        <f t="shared" si="6"/>
        <v>150</v>
      </c>
      <c r="D35" s="77">
        <f t="shared" si="7"/>
        <v>56.587699999999998</v>
      </c>
      <c r="E35" s="77">
        <f t="shared" si="8"/>
        <v>50.911250000000003</v>
      </c>
      <c r="F35" s="77">
        <f t="shared" si="9"/>
        <v>10.6112</v>
      </c>
      <c r="G35" s="77">
        <f t="shared" si="5"/>
        <v>5.525E-2</v>
      </c>
      <c r="H35" s="77">
        <f t="shared" si="5"/>
        <v>0.25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84.25</v>
      </c>
      <c r="Q35" s="77">
        <f t="shared" si="10"/>
        <v>48.6875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DJ6</v>
      </c>
      <c r="B36" s="15">
        <v>250</v>
      </c>
      <c r="C36" s="77">
        <f t="shared" si="6"/>
        <v>150</v>
      </c>
      <c r="D36" s="77">
        <f t="shared" si="7"/>
        <v>56.587699999999998</v>
      </c>
      <c r="E36" s="77">
        <f t="shared" si="8"/>
        <v>50.911250000000003</v>
      </c>
      <c r="F36" s="77">
        <f t="shared" si="9"/>
        <v>10.6112</v>
      </c>
      <c r="G36" s="77">
        <f t="shared" si="5"/>
        <v>5.525E-2</v>
      </c>
      <c r="H36" s="77">
        <f t="shared" si="5"/>
        <v>0.25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84.25</v>
      </c>
      <c r="Q36" s="77">
        <f t="shared" si="10"/>
        <v>48.6875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DJ7</v>
      </c>
      <c r="B37" s="15">
        <v>250</v>
      </c>
      <c r="C37" s="77">
        <f t="shared" si="6"/>
        <v>150</v>
      </c>
      <c r="D37" s="77">
        <f t="shared" si="7"/>
        <v>56.587699999999998</v>
      </c>
      <c r="E37" s="77">
        <f t="shared" si="8"/>
        <v>50.911250000000003</v>
      </c>
      <c r="F37" s="77">
        <f t="shared" si="9"/>
        <v>10.6112</v>
      </c>
      <c r="G37" s="77">
        <f t="shared" si="5"/>
        <v>5.525E-2</v>
      </c>
      <c r="H37" s="77">
        <f t="shared" si="5"/>
        <v>0.25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84.25</v>
      </c>
      <c r="Q37" s="77">
        <f t="shared" si="10"/>
        <v>48.6875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DJ8</v>
      </c>
      <c r="B38" s="15">
        <v>250</v>
      </c>
      <c r="C38" s="77">
        <f t="shared" si="6"/>
        <v>150</v>
      </c>
      <c r="D38" s="77">
        <f t="shared" si="7"/>
        <v>56.587699999999998</v>
      </c>
      <c r="E38" s="77">
        <f t="shared" si="8"/>
        <v>50.911250000000003</v>
      </c>
      <c r="F38" s="77">
        <f t="shared" si="9"/>
        <v>10.6112</v>
      </c>
      <c r="G38" s="77">
        <f t="shared" si="5"/>
        <v>5.525E-2</v>
      </c>
      <c r="H38" s="77">
        <f t="shared" si="5"/>
        <v>0.25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84.25</v>
      </c>
      <c r="Q38" s="77">
        <f t="shared" si="10"/>
        <v>48.6875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Sandy Loam I Grass</v>
      </c>
      <c r="C58" s="13" t="str">
        <f>D16&amp;" I "&amp;(VLOOKUP(D14,Table245810[],6,FALSE))</f>
        <v>Sandy Loam I Grass</v>
      </c>
      <c r="D58" s="13" t="str">
        <f>E16&amp;" I "&amp;(VLOOKUP(E14,Table245810[],6,FALSE))</f>
        <v>Sandy Loam I Grass</v>
      </c>
      <c r="E58" s="13" t="str">
        <f>F16&amp;" I "&amp;(VLOOKUP(F14,Table245810[],6,FALSE))</f>
        <v>Sandy Loam I Grass</v>
      </c>
      <c r="F58" s="13" t="str">
        <f>G16&amp;" I "&amp;(VLOOKUP(G14,Table245810[],6,FALSE))</f>
        <v>Sandy Loam I Grass</v>
      </c>
      <c r="G58" s="13" t="str">
        <f>H16&amp;" I "&amp;(VLOOKUP(H14,Table245810[],6,FALSE))</f>
        <v>Sandy Loam I Grass</v>
      </c>
      <c r="H58" s="13" t="str">
        <f>I16&amp;" I "&amp;(VLOOKUP(I14,Table245810[],6,FALSE))</f>
        <v>Sandy Loam I Grass</v>
      </c>
      <c r="I58" s="13" t="str">
        <f>J16&amp;" I "&amp;(VLOOKUP(J14,Table245810[],6,FALSE))</f>
        <v>Sandy Loam I Grass</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F13"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PAN-019538</v>
      </c>
      <c r="D1" s="141"/>
      <c r="E1" s="93" t="s">
        <v>45</v>
      </c>
      <c r="F1" s="39">
        <f>Secanim!F1</f>
        <v>18.100000000000001</v>
      </c>
      <c r="G1" s="120" t="s">
        <v>43</v>
      </c>
      <c r="H1" s="121"/>
      <c r="I1" s="118">
        <v>5.33</v>
      </c>
      <c r="J1" s="119" t="s">
        <v>153</v>
      </c>
      <c r="K1" s="119"/>
      <c r="L1" s="97">
        <v>242</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EPR-KP3594VE</v>
      </c>
      <c r="D2" s="143"/>
      <c r="E2" s="93" t="s">
        <v>109</v>
      </c>
      <c r="F2" s="96" t="s">
        <v>171</v>
      </c>
      <c r="G2" s="138" t="s">
        <v>110</v>
      </c>
      <c r="H2" s="139"/>
      <c r="I2" s="118">
        <v>890</v>
      </c>
      <c r="J2" s="119" t="s">
        <v>158</v>
      </c>
      <c r="K2" s="119"/>
      <c r="L2" s="97">
        <v>0.04</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 xml:space="preserve">Trade Effluent Services Limited </v>
      </c>
      <c r="D3" s="143"/>
      <c r="E3" s="93" t="s">
        <v>108</v>
      </c>
      <c r="F3" s="31" t="s">
        <v>78</v>
      </c>
      <c r="G3" s="119" t="s">
        <v>159</v>
      </c>
      <c r="H3" s="119"/>
      <c r="I3" s="118"/>
      <c r="J3" s="120" t="s">
        <v>154</v>
      </c>
      <c r="K3" s="121"/>
      <c r="L3" s="97">
        <f>(L1/(L2*10000))*100</f>
        <v>60.5</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Secanim!C4:D4</f>
        <v>0</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Secanim!C8</f>
        <v>DJ1</v>
      </c>
      <c r="D8" s="60" t="str">
        <f>Secanim!D8</f>
        <v>DJ2</v>
      </c>
      <c r="E8" s="60" t="str">
        <f>Secanim!E8</f>
        <v>DJ3</v>
      </c>
      <c r="F8" s="60" t="str">
        <f>Secanim!F8</f>
        <v>DJ4</v>
      </c>
      <c r="G8" s="60" t="str">
        <f>Secanim!G8</f>
        <v>DJ5</v>
      </c>
      <c r="H8" s="60" t="str">
        <f>Secanim!H8</f>
        <v>DJ6</v>
      </c>
      <c r="I8" s="60" t="str">
        <f>Secanim!I8</f>
        <v>DJ7</v>
      </c>
      <c r="J8" s="60" t="str">
        <f>Secanim!J8</f>
        <v>DJ8</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6.6</v>
      </c>
      <c r="D10" s="60">
        <f>Secanim!D10</f>
        <v>5.7</v>
      </c>
      <c r="E10" s="60">
        <f>Secanim!E10</f>
        <v>6.1</v>
      </c>
      <c r="F10" s="60">
        <f>Secanim!F10</f>
        <v>5.2</v>
      </c>
      <c r="G10" s="60">
        <f>Secanim!G10</f>
        <v>5.3</v>
      </c>
      <c r="H10" s="60">
        <f>Secanim!H10</f>
        <v>5.5</v>
      </c>
      <c r="I10" s="60">
        <f>Secanim!I10</f>
        <v>5.4</v>
      </c>
      <c r="J10" s="60">
        <f>Secanim!J10</f>
        <v>5.6</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0</v>
      </c>
      <c r="D11" s="60">
        <f>Secanim!D11</f>
        <v>1</v>
      </c>
      <c r="E11" s="60">
        <f>Secanim!E11</f>
        <v>0</v>
      </c>
      <c r="F11" s="60">
        <f>Secanim!F11</f>
        <v>0</v>
      </c>
      <c r="G11" s="60">
        <f>Secanim!G11</f>
        <v>0</v>
      </c>
      <c r="H11" s="60">
        <f>Secanim!H11</f>
        <v>0</v>
      </c>
      <c r="I11" s="60">
        <f>Secanim!I11</f>
        <v>0</v>
      </c>
      <c r="J11" s="60">
        <f>Secanim!J11</f>
        <v>1</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Secanim!C12</f>
        <v>1</v>
      </c>
      <c r="D12" s="60">
        <f>Secanim!D12</f>
        <v>2</v>
      </c>
      <c r="E12" s="60">
        <f>Secanim!E12</f>
        <v>2</v>
      </c>
      <c r="F12" s="60">
        <f>Secanim!F12</f>
        <v>3</v>
      </c>
      <c r="G12" s="60">
        <f>Secanim!G12</f>
        <v>2</v>
      </c>
      <c r="H12" s="60">
        <f>Secanim!H12</f>
        <v>2</v>
      </c>
      <c r="I12" s="60">
        <f>Secanim!I12</f>
        <v>2</v>
      </c>
      <c r="J12" s="60">
        <f>Secanim!J12</f>
        <v>2</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2</v>
      </c>
      <c r="D13" s="60">
        <f>Secanim!D13</f>
        <v>2</v>
      </c>
      <c r="E13" s="60">
        <f>Secanim!E13</f>
        <v>2</v>
      </c>
      <c r="F13" s="60">
        <f>Secanim!F13</f>
        <v>2</v>
      </c>
      <c r="G13" s="60">
        <f>Secanim!G13</f>
        <v>2</v>
      </c>
      <c r="H13" s="60">
        <f>Secanim!H13</f>
        <v>2</v>
      </c>
      <c r="I13" s="60">
        <f>Secanim!I13</f>
        <v>2</v>
      </c>
      <c r="J13" s="60">
        <f>Secanim!J13</f>
        <v>2</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Sandy Loam</v>
      </c>
      <c r="D16" s="103" t="str">
        <f>Secanim!D16</f>
        <v>Sandy Loam</v>
      </c>
      <c r="E16" s="103" t="str">
        <f>Secanim!E16</f>
        <v>Sandy Loam</v>
      </c>
      <c r="F16" s="103" t="str">
        <f>Secanim!F16</f>
        <v>Sandy Loam</v>
      </c>
      <c r="G16" s="103" t="str">
        <f>Secanim!G16</f>
        <v>Sandy Loam</v>
      </c>
      <c r="H16" s="103" t="str">
        <f>Secanim!H16</f>
        <v>Sandy Loam</v>
      </c>
      <c r="I16" s="103" t="str">
        <f>Secanim!I16</f>
        <v>Sandy Loam</v>
      </c>
      <c r="J16" s="103" t="str">
        <f>Secanim!J16</f>
        <v>Sandy Loam</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80.185000000000002</v>
      </c>
      <c r="D18" s="16">
        <f>$D32</f>
        <v>80.185000000000002</v>
      </c>
      <c r="E18" s="16">
        <f>$D33</f>
        <v>80.185000000000002</v>
      </c>
      <c r="F18" s="16">
        <f>$D34</f>
        <v>80.185000000000002</v>
      </c>
      <c r="G18" s="16">
        <f>$D35</f>
        <v>80.185000000000002</v>
      </c>
      <c r="H18" s="16">
        <f>$D36</f>
        <v>80.185000000000002</v>
      </c>
      <c r="I18" s="16">
        <f>$D37</f>
        <v>80.185000000000002</v>
      </c>
      <c r="J18" s="16">
        <f>$D38</f>
        <v>80.185000000000002</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15.585000000000008</v>
      </c>
      <c r="D19" s="16">
        <f t="shared" ref="D19:V19" si="1">D18-D17</f>
        <v>15.585000000000008</v>
      </c>
      <c r="E19" s="16">
        <f t="shared" si="1"/>
        <v>15.585000000000008</v>
      </c>
      <c r="F19" s="16">
        <f t="shared" si="1"/>
        <v>15.585000000000008</v>
      </c>
      <c r="G19" s="16">
        <f t="shared" si="1"/>
        <v>15.585000000000008</v>
      </c>
      <c r="H19" s="16">
        <f t="shared" si="1"/>
        <v>15.585000000000008</v>
      </c>
      <c r="I19" s="16">
        <f t="shared" si="1"/>
        <v>15.585000000000008</v>
      </c>
      <c r="J19" s="16">
        <f t="shared" si="1"/>
        <v>15.585000000000008</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84.952500000000001</v>
      </c>
      <c r="D22" s="16">
        <f>$E32</f>
        <v>84.952500000000001</v>
      </c>
      <c r="E22" s="16">
        <f>$E33</f>
        <v>84.952500000000001</v>
      </c>
      <c r="F22" s="16">
        <f>$E34</f>
        <v>84.952500000000001</v>
      </c>
      <c r="G22" s="16">
        <f>$E35</f>
        <v>84.952500000000001</v>
      </c>
      <c r="H22" s="16">
        <f>$E36</f>
        <v>84.952500000000001</v>
      </c>
      <c r="I22" s="16">
        <f>$E37</f>
        <v>84.952500000000001</v>
      </c>
      <c r="J22" s="16">
        <f>$E38</f>
        <v>84.952500000000001</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-143.04750000000001</v>
      </c>
      <c r="D23" s="16">
        <f t="shared" ref="D23:V23" si="3">D22-D21</f>
        <v>-143.04750000000001</v>
      </c>
      <c r="E23" s="16">
        <f t="shared" si="3"/>
        <v>-143.04750000000001</v>
      </c>
      <c r="F23" s="16">
        <f t="shared" si="3"/>
        <v>-143.04750000000001</v>
      </c>
      <c r="G23" s="16">
        <f t="shared" si="3"/>
        <v>-143.04750000000001</v>
      </c>
      <c r="H23" s="16">
        <f t="shared" si="3"/>
        <v>-143.04750000000001</v>
      </c>
      <c r="I23" s="16">
        <f t="shared" si="3"/>
        <v>-143.04750000000001</v>
      </c>
      <c r="J23" s="16">
        <f t="shared" si="3"/>
        <v>-143.04750000000001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0.67</v>
      </c>
      <c r="C28" s="15">
        <v>0.04</v>
      </c>
      <c r="D28" s="15">
        <v>140</v>
      </c>
      <c r="E28" s="15">
        <v>282</v>
      </c>
      <c r="F28" s="15">
        <v>34.4</v>
      </c>
      <c r="G28" s="15">
        <v>1.63</v>
      </c>
      <c r="H28" s="15">
        <v>0.5</v>
      </c>
      <c r="I28" s="15">
        <v>0.5</v>
      </c>
      <c r="J28" s="15">
        <v>0.01</v>
      </c>
      <c r="K28" s="23">
        <v>0.05</v>
      </c>
      <c r="L28" s="15">
        <v>0.2</v>
      </c>
      <c r="M28" s="15">
        <v>0.2</v>
      </c>
      <c r="N28" s="15"/>
      <c r="O28" s="15"/>
      <c r="P28" s="15">
        <v>888</v>
      </c>
      <c r="Q28" s="15">
        <v>44.5</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v>250</v>
      </c>
      <c r="C31" s="77">
        <f>IF(C$27="%w/w SAR",((C$28*10)*$B31),IF(C$27="%w/w DM",(((C$28*10)*($B$28/100))*$B31),IF(C$27="kg/t SAR",(C$28*$B31),IF(C$27="kg/t DM",((C$28*($B$28/100))*$B31),IF(C$27="mg/kg SAR",((C$28*0.001)*$B31),IF(C$27="mg/kg DM",(((C$28*0.001)*($B$28/100))*$B31),0))))))</f>
        <v>100</v>
      </c>
      <c r="D31" s="77">
        <f>(IF(D$27="%w/w SAR",((D$28*10)*$B31),IF(D$27="%w/w DM",(((D$28*10)*($B$28/100))*$B31),IF(D$27="kg/t SAR",(D$28*$B31),IF(D$27="kg/t DM",((D$28*($B$28/100))*$B31),IF(D$27="mg/kg SAR",((D$28*0.001)*$B31),IF(D$27="mg/kg DM",(((D$28*0.001)*($B$28/100))*$B31),"0")))))))*2.291</f>
        <v>80.185000000000002</v>
      </c>
      <c r="E31" s="77">
        <f>(IF(E$27="%w/w SAR",((E$28*10)*$B31),IF(E$27="%w/w DM",(((E$28*10)*($B$28/100))*$B31),IF(E$27="kg/t SAR",(E$28*$B31),IF(E$27="kg/t DM",((E$28*($B$28/100))*$B31),IF(E$27="mg/kg SAR",((E$28*0.001)*$B31),IF(E$27="mg/kg DM",(((E$28*0.001)*($B$28/100))*$B31),"0")))))))*1.205</f>
        <v>84.952500000000001</v>
      </c>
      <c r="F31" s="77">
        <f>(IF(F$27="%w/w SAR",((F$28*10)*$B31),IF(F$27="%w/w DM",(((F$28*10)*($B$28/100))*$B31),IF(F$27="kg/t SAR",(F$28*$B31),IF(F$27="kg/t DM",((F$28*($B$28/100))*$B31),IF(F$27="mg/kg SAR",((F$28*0.001)*$B31),IF(F$27="mg/kg DM",(((F$28*0.001)*($B$28/100))*$B31),"0")))))))*1.658</f>
        <v>14.258799999999999</v>
      </c>
      <c r="G31" s="77">
        <f t="shared" ref="G31:P46" si="5">IF(G$27="%w/w SAR",((G$28*10)*$B31),IF(G$27="%w/w DM",(((G$28*10)*($B$28/100))*$B31),IF(G$27="kg/t SAR",(G$28*$B31),IF(G$27="kg/t DM",((G$28*($B$28/100))*$B31),IF(G$27="mg/kg SAR",((G$28*0.001)*$B31),IF(G$27="mg/kg DM",(((G$28*0.001)*($B$28/100))*$B31),0))))))</f>
        <v>0.40749999999999997</v>
      </c>
      <c r="H31" s="77">
        <f t="shared" si="5"/>
        <v>0.125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222</v>
      </c>
      <c r="Q31" s="77">
        <f>(IF(Q$27="%w/w SAR",((Q$28*10)*$B31),IF(Q$27="%w/w DM",(((Q$28*10)*($B$28/100))*$B31),IF(Q$27="kg/t SAR",(Q$28*$B31),IF(Q$27="kg/t DM",((Q$28*($B$28/100))*$B31),IF(Q$27="mg/kg SAR",((Q$28*0.001)*$B31),IF(Q$27="mg/kg DM",(((Q$28*0.001)*($B$28/100))*$B31),0)))))))*2.5</f>
        <v>27.8125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v>250</v>
      </c>
      <c r="C32" s="77">
        <f t="shared" ref="C32:C50" si="6">IF(C$27="%w/w SAR",((C$28*10)*$B32),IF(C$27="%w/w DM",(((C$28*10)*($B$28/100))*$B32),IF(C$27="kg/t SAR",(C$28*$B32),IF(C$27="kg/t DM",((C$28*($B$28/100))*$B32),IF(C$27="mg/kg SAR",((C$28*0.001)*$B32),IF(C$27="mg/kg DM",(((C$28*0.001)*($B$28/100))*$B32),0))))))</f>
        <v>100</v>
      </c>
      <c r="D32" s="77">
        <f t="shared" ref="D32:D50" si="7">(IF(D$27="%w/w SAR",((D$28*10)*$B32),IF(D$27="%w/w DM",(((D$28*10)*($B$28/100))*$B32),IF(D$27="kg/t SAR",(D$28*$B32),IF(D$27="kg/t DM",((D$28*($B$28/100))*$B32),IF(D$27="mg/kg SAR",((D$28*0.001)*$B32),IF(D$27="mg/kg DM",(((D$28*0.001)*($B$28/100))*$B32),"0")))))))*2.291</f>
        <v>80.185000000000002</v>
      </c>
      <c r="E32" s="77">
        <f t="shared" ref="E32:E50" si="8">(IF(E$27="%w/w SAR",((E$28*10)*$B32),IF(E$27="%w/w DM",(((E$28*10)*($B$28/100))*$B32),IF(E$27="kg/t SAR",(E$28*$B32),IF(E$27="kg/t DM",((E$28*($B$28/100))*$B32),IF(E$27="mg/kg SAR",((E$28*0.001)*$B32),IF(E$27="mg/kg DM",(((E$28*0.001)*($B$28/100))*$B32),"0")))))))*1.205</f>
        <v>84.952500000000001</v>
      </c>
      <c r="F32" s="77">
        <f t="shared" ref="F32:F50" si="9">(IF(F$27="%w/w SAR",((F$28*10)*$B32),IF(F$27="%w/w DM",(((F$28*10)*($B$28/100))*$B32),IF(F$27="kg/t SAR",(F$28*$B32),IF(F$27="kg/t DM",((F$28*($B$28/100))*$B32),IF(F$27="mg/kg SAR",((F$28*0.001)*$B32),IF(F$27="mg/kg DM",(((F$28*0.001)*($B$28/100))*$B32),"0")))))))*1.658</f>
        <v>14.258799999999999</v>
      </c>
      <c r="G32" s="77">
        <f t="shared" si="5"/>
        <v>0.40749999999999997</v>
      </c>
      <c r="H32" s="77">
        <f t="shared" si="5"/>
        <v>0.125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222</v>
      </c>
      <c r="Q32" s="77">
        <f t="shared" ref="Q32:Q50" si="10">(IF(Q$27="%w/w SAR",((Q$28*10)*$B32),IF(Q$27="%w/w DM",(((Q$28*10)*($B$28/100))*$B32),IF(Q$27="kg/t SAR",(Q$28*$B32),IF(Q$27="kg/t DM",((Q$28*($B$28/100))*$B32),IF(Q$27="mg/kg SAR",((Q$28*0.001)*$B32),IF(Q$27="mg/kg DM",(((Q$28*0.001)*($B$28/100))*$B32),0)))))))*2.5</f>
        <v>27.8125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DJ3</v>
      </c>
      <c r="B33" s="15">
        <v>250</v>
      </c>
      <c r="C33" s="77">
        <f t="shared" si="6"/>
        <v>100</v>
      </c>
      <c r="D33" s="77">
        <f t="shared" si="7"/>
        <v>80.185000000000002</v>
      </c>
      <c r="E33" s="77">
        <f t="shared" si="8"/>
        <v>84.952500000000001</v>
      </c>
      <c r="F33" s="77">
        <f t="shared" si="9"/>
        <v>14.258799999999999</v>
      </c>
      <c r="G33" s="77">
        <f t="shared" si="5"/>
        <v>0.40749999999999997</v>
      </c>
      <c r="H33" s="77">
        <f t="shared" si="5"/>
        <v>0.125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222</v>
      </c>
      <c r="Q33" s="77">
        <f t="shared" si="10"/>
        <v>27.8125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DJ4</v>
      </c>
      <c r="B34" s="15">
        <v>250</v>
      </c>
      <c r="C34" s="77">
        <f t="shared" si="6"/>
        <v>100</v>
      </c>
      <c r="D34" s="77">
        <f t="shared" si="7"/>
        <v>80.185000000000002</v>
      </c>
      <c r="E34" s="77">
        <f t="shared" si="8"/>
        <v>84.952500000000001</v>
      </c>
      <c r="F34" s="77">
        <f t="shared" si="9"/>
        <v>14.258799999999999</v>
      </c>
      <c r="G34" s="77">
        <f t="shared" si="5"/>
        <v>0.40749999999999997</v>
      </c>
      <c r="H34" s="77">
        <f t="shared" si="5"/>
        <v>0.125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222</v>
      </c>
      <c r="Q34" s="77">
        <f t="shared" si="10"/>
        <v>27.8125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DJ5</v>
      </c>
      <c r="B35" s="15">
        <v>250</v>
      </c>
      <c r="C35" s="77">
        <f t="shared" si="6"/>
        <v>100</v>
      </c>
      <c r="D35" s="77">
        <f t="shared" si="7"/>
        <v>80.185000000000002</v>
      </c>
      <c r="E35" s="77">
        <f t="shared" si="8"/>
        <v>84.952500000000001</v>
      </c>
      <c r="F35" s="77">
        <f t="shared" si="9"/>
        <v>14.258799999999999</v>
      </c>
      <c r="G35" s="77">
        <f t="shared" si="5"/>
        <v>0.40749999999999997</v>
      </c>
      <c r="H35" s="77">
        <f t="shared" si="5"/>
        <v>0.125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222</v>
      </c>
      <c r="Q35" s="77">
        <f t="shared" si="10"/>
        <v>27.8125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DJ6</v>
      </c>
      <c r="B36" s="15">
        <v>250</v>
      </c>
      <c r="C36" s="77">
        <f t="shared" si="6"/>
        <v>100</v>
      </c>
      <c r="D36" s="77">
        <f t="shared" si="7"/>
        <v>80.185000000000002</v>
      </c>
      <c r="E36" s="77">
        <f t="shared" si="8"/>
        <v>84.952500000000001</v>
      </c>
      <c r="F36" s="77">
        <f t="shared" si="9"/>
        <v>14.258799999999999</v>
      </c>
      <c r="G36" s="77">
        <f t="shared" si="5"/>
        <v>0.40749999999999997</v>
      </c>
      <c r="H36" s="77">
        <f t="shared" si="5"/>
        <v>0.125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222</v>
      </c>
      <c r="Q36" s="77">
        <f t="shared" si="10"/>
        <v>27.8125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DJ7</v>
      </c>
      <c r="B37" s="15">
        <v>250</v>
      </c>
      <c r="C37" s="77">
        <f t="shared" si="6"/>
        <v>100</v>
      </c>
      <c r="D37" s="77">
        <f t="shared" si="7"/>
        <v>80.185000000000002</v>
      </c>
      <c r="E37" s="77">
        <f t="shared" si="8"/>
        <v>84.952500000000001</v>
      </c>
      <c r="F37" s="77">
        <f t="shared" si="9"/>
        <v>14.258799999999999</v>
      </c>
      <c r="G37" s="77">
        <f t="shared" si="5"/>
        <v>0.40749999999999997</v>
      </c>
      <c r="H37" s="77">
        <f t="shared" si="5"/>
        <v>0.125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222</v>
      </c>
      <c r="Q37" s="77">
        <f t="shared" si="10"/>
        <v>27.8125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DJ8</v>
      </c>
      <c r="B38" s="15">
        <v>250</v>
      </c>
      <c r="C38" s="77">
        <f t="shared" si="6"/>
        <v>100</v>
      </c>
      <c r="D38" s="77">
        <f t="shared" si="7"/>
        <v>80.185000000000002</v>
      </c>
      <c r="E38" s="77">
        <f t="shared" si="8"/>
        <v>84.952500000000001</v>
      </c>
      <c r="F38" s="77">
        <f t="shared" si="9"/>
        <v>14.258799999999999</v>
      </c>
      <c r="G38" s="77">
        <f t="shared" si="5"/>
        <v>0.40749999999999997</v>
      </c>
      <c r="H38" s="77">
        <f t="shared" si="5"/>
        <v>0.125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222</v>
      </c>
      <c r="Q38" s="77">
        <f t="shared" si="10"/>
        <v>27.8125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Sandy Loam I Grass</v>
      </c>
      <c r="C58" s="13" t="str">
        <f>D16&amp;" I "&amp;(VLOOKUP(D14,Table2458[],6,FALSE))</f>
        <v>Sandy Loam I Grass</v>
      </c>
      <c r="D58" s="13" t="str">
        <f>E16&amp;" I "&amp;(VLOOKUP(E14,Table2458[],6,FALSE))</f>
        <v>Sandy Loam I Grass</v>
      </c>
      <c r="E58" s="13" t="str">
        <f>F16&amp;" I "&amp;(VLOOKUP(F14,Table2458[],6,FALSE))</f>
        <v>Sandy Loam I Grass</v>
      </c>
      <c r="F58" s="13" t="str">
        <f>G16&amp;" I "&amp;(VLOOKUP(G14,Table2458[],6,FALSE))</f>
        <v>Sandy Loam I Grass</v>
      </c>
      <c r="G58" s="13" t="str">
        <f>H16&amp;" I "&amp;(VLOOKUP(H14,Table2458[],6,FALSE))</f>
        <v>Sandy Loam I Grass</v>
      </c>
      <c r="H58" s="13" t="str">
        <f>I16&amp;" I "&amp;(VLOOKUP(I14,Table2458[],6,FALSE))</f>
        <v>Sandy Loam I Grass</v>
      </c>
      <c r="I58" s="13" t="str">
        <f>J16&amp;" I "&amp;(VLOOKUP(J14,Table2458[],6,FALSE))</f>
        <v>Sandy Loam I Grass</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abSelected="1" zoomScale="90" zoomScaleNormal="90" workbookViewId="0">
      <selection activeCell="F39" sqref="F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PAN-019538</v>
      </c>
      <c r="D1" s="141"/>
      <c r="E1" s="93" t="s">
        <v>45</v>
      </c>
      <c r="F1" s="39">
        <f>Secanim!F1</f>
        <v>18.100000000000001</v>
      </c>
      <c r="G1" s="120" t="s">
        <v>43</v>
      </c>
      <c r="H1" s="121"/>
      <c r="I1" s="118">
        <v>4.0199999999999996</v>
      </c>
      <c r="J1" s="119" t="s">
        <v>153</v>
      </c>
      <c r="K1" s="119"/>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EPR-KP3594VE</v>
      </c>
      <c r="D2" s="143"/>
      <c r="E2" s="93" t="s">
        <v>109</v>
      </c>
      <c r="F2" s="96" t="s">
        <v>168</v>
      </c>
      <c r="G2" s="138" t="s">
        <v>110</v>
      </c>
      <c r="H2" s="139"/>
      <c r="I2" s="118">
        <v>299</v>
      </c>
      <c r="J2" s="119" t="s">
        <v>158</v>
      </c>
      <c r="K2" s="119"/>
      <c r="L2" s="97">
        <v>0.32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 xml:space="preserve">Trade Effluent Services Limited </v>
      </c>
      <c r="D3" s="143"/>
      <c r="E3" s="93" t="s">
        <v>108</v>
      </c>
      <c r="F3" s="31" t="s">
        <v>78</v>
      </c>
      <c r="G3" s="119" t="s">
        <v>159</v>
      </c>
      <c r="H3" s="119"/>
      <c r="I3" s="118">
        <v>200</v>
      </c>
      <c r="J3" s="120" t="s">
        <v>154</v>
      </c>
      <c r="K3" s="121"/>
      <c r="L3" s="97">
        <f>(L1/(L2*10000))*100</f>
        <v>1.5625</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Secanim!C4:D4</f>
        <v>0</v>
      </c>
      <c r="D4" s="141"/>
      <c r="E4" s="94" t="s">
        <v>1</v>
      </c>
      <c r="F4" s="96" t="s">
        <v>176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Secanim!C8</f>
        <v>DJ1</v>
      </c>
      <c r="D8" s="60" t="str">
        <f>Secanim!D8</f>
        <v>DJ2</v>
      </c>
      <c r="E8" s="60" t="str">
        <f>Secanim!E8</f>
        <v>DJ3</v>
      </c>
      <c r="F8" s="60" t="str">
        <f>Secanim!F8</f>
        <v>DJ4</v>
      </c>
      <c r="G8" s="60" t="str">
        <f>Secanim!G8</f>
        <v>DJ5</v>
      </c>
      <c r="H8" s="60" t="str">
        <f>Secanim!H8</f>
        <v>DJ6</v>
      </c>
      <c r="I8" s="60" t="str">
        <f>Secanim!I8</f>
        <v>DJ7</v>
      </c>
      <c r="J8" s="60" t="str">
        <f>Secanim!J8</f>
        <v>DJ8</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6.6</v>
      </c>
      <c r="D10" s="60">
        <f>Secanim!D10</f>
        <v>5.7</v>
      </c>
      <c r="E10" s="60">
        <f>Secanim!E10</f>
        <v>6.1</v>
      </c>
      <c r="F10" s="60">
        <f>Secanim!F10</f>
        <v>5.2</v>
      </c>
      <c r="G10" s="60">
        <f>Secanim!G10</f>
        <v>5.3</v>
      </c>
      <c r="H10" s="60">
        <f>Secanim!H10</f>
        <v>5.5</v>
      </c>
      <c r="I10" s="60">
        <f>Secanim!I10</f>
        <v>5.4</v>
      </c>
      <c r="J10" s="60">
        <f>Secanim!J10</f>
        <v>5.6</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0</v>
      </c>
      <c r="D11" s="60">
        <f>Secanim!D11</f>
        <v>1</v>
      </c>
      <c r="E11" s="60">
        <f>Secanim!E11</f>
        <v>0</v>
      </c>
      <c r="F11" s="60">
        <f>Secanim!F11</f>
        <v>0</v>
      </c>
      <c r="G11" s="60">
        <f>Secanim!G11</f>
        <v>0</v>
      </c>
      <c r="H11" s="60">
        <f>Secanim!H11</f>
        <v>0</v>
      </c>
      <c r="I11" s="60">
        <f>Secanim!I11</f>
        <v>0</v>
      </c>
      <c r="J11" s="60">
        <f>Secanim!J11</f>
        <v>1</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Secanim!C12</f>
        <v>1</v>
      </c>
      <c r="D12" s="60">
        <f>Secanim!D12</f>
        <v>2</v>
      </c>
      <c r="E12" s="60">
        <f>Secanim!E12</f>
        <v>2</v>
      </c>
      <c r="F12" s="60">
        <f>Secanim!F12</f>
        <v>3</v>
      </c>
      <c r="G12" s="60">
        <f>Secanim!G12</f>
        <v>2</v>
      </c>
      <c r="H12" s="60">
        <f>Secanim!H12</f>
        <v>2</v>
      </c>
      <c r="I12" s="60">
        <f>Secanim!I12</f>
        <v>2</v>
      </c>
      <c r="J12" s="60">
        <f>Secanim!J12</f>
        <v>2</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2</v>
      </c>
      <c r="D13" s="60">
        <f>Secanim!D13</f>
        <v>2</v>
      </c>
      <c r="E13" s="60">
        <f>Secanim!E13</f>
        <v>2</v>
      </c>
      <c r="F13" s="60">
        <f>Secanim!F13</f>
        <v>2</v>
      </c>
      <c r="G13" s="60">
        <f>Secanim!G13</f>
        <v>2</v>
      </c>
      <c r="H13" s="60">
        <f>Secanim!H13</f>
        <v>2</v>
      </c>
      <c r="I13" s="60">
        <f>Secanim!I13</f>
        <v>2</v>
      </c>
      <c r="J13" s="60">
        <f>Secanim!J13</f>
        <v>2</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Sandy Loam</v>
      </c>
      <c r="D16" s="103" t="str">
        <f>Secanim!D16</f>
        <v>Sandy Loam</v>
      </c>
      <c r="E16" s="103" t="str">
        <f>Secanim!E16</f>
        <v>Sandy Loam</v>
      </c>
      <c r="F16" s="103" t="str">
        <f>Secanim!F16</f>
        <v>Sandy Loam</v>
      </c>
      <c r="G16" s="103" t="str">
        <f>Secanim!G16</f>
        <v>Sandy Loam</v>
      </c>
      <c r="H16" s="103" t="str">
        <f>Secanim!H16</f>
        <v>Sandy Loam</v>
      </c>
      <c r="I16" s="103" t="str">
        <f>Secanim!I16</f>
        <v>Sandy Loam</v>
      </c>
      <c r="J16" s="103" t="str">
        <f>Secanim!J16</f>
        <v>Sandy Loam</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90.895425000000003</v>
      </c>
      <c r="D18" s="16">
        <f>$D32</f>
        <v>90.895425000000003</v>
      </c>
      <c r="E18" s="16">
        <f>$D33</f>
        <v>90.895425000000003</v>
      </c>
      <c r="F18" s="16">
        <f>$D34</f>
        <v>90.895425000000003</v>
      </c>
      <c r="G18" s="16">
        <f>$D35</f>
        <v>90.895425000000003</v>
      </c>
      <c r="H18" s="16">
        <f>$D36</f>
        <v>90.895425000000003</v>
      </c>
      <c r="I18" s="16">
        <f>$D37</f>
        <v>90.895425000000003</v>
      </c>
      <c r="J18" s="16">
        <f>$D38</f>
        <v>90.895425000000003</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26.295425000000009</v>
      </c>
      <c r="D19" s="16">
        <f t="shared" ref="D19:V19" si="1">D18-D17</f>
        <v>26.295425000000009</v>
      </c>
      <c r="E19" s="16">
        <f t="shared" si="1"/>
        <v>26.295425000000009</v>
      </c>
      <c r="F19" s="16">
        <f t="shared" si="1"/>
        <v>26.295425000000009</v>
      </c>
      <c r="G19" s="16">
        <f t="shared" si="1"/>
        <v>26.295425000000009</v>
      </c>
      <c r="H19" s="16">
        <f t="shared" si="1"/>
        <v>26.295425000000009</v>
      </c>
      <c r="I19" s="16">
        <f t="shared" si="1"/>
        <v>26.295425000000009</v>
      </c>
      <c r="J19" s="16">
        <f t="shared" si="1"/>
        <v>26.295425000000009</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22.7745</v>
      </c>
      <c r="D22" s="16">
        <f>$E32</f>
        <v>22.7745</v>
      </c>
      <c r="E22" s="16">
        <f>$E33</f>
        <v>22.7745</v>
      </c>
      <c r="F22" s="16">
        <f>$E34</f>
        <v>22.7745</v>
      </c>
      <c r="G22" s="16">
        <f>$E35</f>
        <v>22.7745</v>
      </c>
      <c r="H22" s="16">
        <f>$E36</f>
        <v>22.7745</v>
      </c>
      <c r="I22" s="16">
        <f>$E37</f>
        <v>22.7745</v>
      </c>
      <c r="J22" s="16">
        <f>$E38</f>
        <v>22.7745</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-205.22550000000001</v>
      </c>
      <c r="D23" s="16">
        <f t="shared" ref="D23:V23" si="3">D22-D21</f>
        <v>-205.22550000000001</v>
      </c>
      <c r="E23" s="16">
        <f t="shared" si="3"/>
        <v>-205.22550000000001</v>
      </c>
      <c r="F23" s="16">
        <f t="shared" si="3"/>
        <v>-205.22550000000001</v>
      </c>
      <c r="G23" s="16">
        <f t="shared" si="3"/>
        <v>-205.22550000000001</v>
      </c>
      <c r="H23" s="16">
        <f t="shared" si="3"/>
        <v>-205.22550000000001</v>
      </c>
      <c r="I23" s="16">
        <f t="shared" si="3"/>
        <v>-205.22550000000001</v>
      </c>
      <c r="J23" s="16">
        <f t="shared" si="3"/>
        <v>-205.22550000000001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5.99</v>
      </c>
      <c r="C28" s="15">
        <v>0.32</v>
      </c>
      <c r="D28" s="15">
        <v>529</v>
      </c>
      <c r="E28" s="15">
        <v>252</v>
      </c>
      <c r="F28" s="15">
        <v>64.5</v>
      </c>
      <c r="G28" s="15">
        <v>1.21</v>
      </c>
      <c r="H28" s="15">
        <v>2.33</v>
      </c>
      <c r="I28" s="15">
        <v>0.5</v>
      </c>
      <c r="J28" s="15">
        <v>0.01</v>
      </c>
      <c r="K28" s="23">
        <v>0.05</v>
      </c>
      <c r="L28" s="15">
        <v>0.2</v>
      </c>
      <c r="M28" s="15">
        <v>0.47</v>
      </c>
      <c r="N28" s="15"/>
      <c r="O28" s="15"/>
      <c r="P28" s="15">
        <v>61.7</v>
      </c>
      <c r="Q28" s="15">
        <v>177</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v>75</v>
      </c>
      <c r="C31" s="77">
        <f>IF(C$27="%w/w SAR",((C$28*10)*$B31),IF(C$27="%w/w DM",(((C$28*10)*($B$28/100))*$B31),IF(C$27="kg/t SAR",(C$28*$B31),IF(C$27="kg/t DM",((C$28*($B$28/100))*$B31),IF(C$27="mg/kg SAR",((C$28*0.001)*$B31),IF(C$27="mg/kg DM",(((C$28*0.001)*($B$28/100))*$B31),0))))))</f>
        <v>240</v>
      </c>
      <c r="D31" s="77">
        <f>(IF(D$27="%w/w SAR",((D$28*10)*$B31),IF(D$27="%w/w DM",(((D$28*10)*($B$28/100))*$B31),IF(D$27="kg/t SAR",(D$28*$B31),IF(D$27="kg/t DM",((D$28*($B$28/100))*$B31),IF(D$27="mg/kg SAR",((D$28*0.001)*$B31),IF(D$27="mg/kg DM",(((D$28*0.001)*($B$28/100))*$B31),"0")))))))*2.291</f>
        <v>90.895425000000003</v>
      </c>
      <c r="E31" s="77">
        <f>(IF(E$27="%w/w SAR",((E$28*10)*$B31),IF(E$27="%w/w DM",(((E$28*10)*($B$28/100))*$B31),IF(E$27="kg/t SAR",(E$28*$B31),IF(E$27="kg/t DM",((E$28*($B$28/100))*$B31),IF(E$27="mg/kg SAR",((E$28*0.001)*$B31),IF(E$27="mg/kg DM",(((E$28*0.001)*($B$28/100))*$B31),"0")))))))*1.205</f>
        <v>22.7745</v>
      </c>
      <c r="F31" s="77">
        <f>(IF(F$27="%w/w SAR",((F$28*10)*$B31),IF(F$27="%w/w DM",(((F$28*10)*($B$28/100))*$B31),IF(F$27="kg/t SAR",(F$28*$B31),IF(F$27="kg/t DM",((F$28*($B$28/100))*$B31),IF(F$27="mg/kg SAR",((F$28*0.001)*$B31),IF(F$27="mg/kg DM",(((F$28*0.001)*($B$28/100))*$B31),"0")))))))*1.658</f>
        <v>8.0205750000000009</v>
      </c>
      <c r="G31" s="77">
        <f t="shared" ref="G31:P46" si="5">IF(G$27="%w/w SAR",((G$28*10)*$B31),IF(G$27="%w/w DM",(((G$28*10)*($B$28/100))*$B31),IF(G$27="kg/t SAR",(G$28*$B31),IF(G$27="kg/t DM",((G$28*($B$28/100))*$B31),IF(G$27="mg/kg SAR",((G$28*0.001)*$B31),IF(G$27="mg/kg DM",(((G$28*0.001)*($B$28/100))*$B31),0))))))</f>
        <v>9.0749999999999997E-2</v>
      </c>
      <c r="H31" s="77">
        <f t="shared" si="5"/>
        <v>0.17475000000000002</v>
      </c>
      <c r="I31" s="77">
        <f t="shared" si="5"/>
        <v>3.7499999999999999E-2</v>
      </c>
      <c r="J31" s="77">
        <f t="shared" si="5"/>
        <v>7.5000000000000002E-4</v>
      </c>
      <c r="K31" s="77">
        <f t="shared" si="5"/>
        <v>3.7500000000000003E-3</v>
      </c>
      <c r="L31" s="77">
        <f t="shared" si="5"/>
        <v>1.5000000000000001E-2</v>
      </c>
      <c r="M31" s="77">
        <f t="shared" si="5"/>
        <v>3.5249999999999997E-2</v>
      </c>
      <c r="N31" s="77">
        <f t="shared" si="5"/>
        <v>0</v>
      </c>
      <c r="O31" s="77">
        <f t="shared" si="5"/>
        <v>0</v>
      </c>
      <c r="P31" s="77">
        <f t="shared" si="5"/>
        <v>4.6275000000000004</v>
      </c>
      <c r="Q31" s="77">
        <f>(IF(Q$27="%w/w SAR",((Q$28*10)*$B31),IF(Q$27="%w/w DM",(((Q$28*10)*($B$28/100))*$B31),IF(Q$27="kg/t SAR",(Q$28*$B31),IF(Q$27="kg/t DM",((Q$28*($B$28/100))*$B31),IF(Q$27="mg/kg SAR",((Q$28*0.001)*$B31),IF(Q$27="mg/kg DM",(((Q$28*0.001)*($B$28/100))*$B31),0)))))))*2.5</f>
        <v>33.1875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v>75</v>
      </c>
      <c r="C32" s="77">
        <f t="shared" ref="C32:C50" si="6">IF(C$27="%w/w SAR",((C$28*10)*$B32),IF(C$27="%w/w DM",(((C$28*10)*($B$28/100))*$B32),IF(C$27="kg/t SAR",(C$28*$B32),IF(C$27="kg/t DM",((C$28*($B$28/100))*$B32),IF(C$27="mg/kg SAR",((C$28*0.001)*$B32),IF(C$27="mg/kg DM",(((C$28*0.001)*($B$28/100))*$B32),0))))))</f>
        <v>240</v>
      </c>
      <c r="D32" s="77">
        <f t="shared" ref="D32:D50" si="7">(IF(D$27="%w/w SAR",((D$28*10)*$B32),IF(D$27="%w/w DM",(((D$28*10)*($B$28/100))*$B32),IF(D$27="kg/t SAR",(D$28*$B32),IF(D$27="kg/t DM",((D$28*($B$28/100))*$B32),IF(D$27="mg/kg SAR",((D$28*0.001)*$B32),IF(D$27="mg/kg DM",(((D$28*0.001)*($B$28/100))*$B32),"0")))))))*2.291</f>
        <v>90.895425000000003</v>
      </c>
      <c r="E32" s="77">
        <f t="shared" ref="E32:E50" si="8">(IF(E$27="%w/w SAR",((E$28*10)*$B32),IF(E$27="%w/w DM",(((E$28*10)*($B$28/100))*$B32),IF(E$27="kg/t SAR",(E$28*$B32),IF(E$27="kg/t DM",((E$28*($B$28/100))*$B32),IF(E$27="mg/kg SAR",((E$28*0.001)*$B32),IF(E$27="mg/kg DM",(((E$28*0.001)*($B$28/100))*$B32),"0")))))))*1.205</f>
        <v>22.7745</v>
      </c>
      <c r="F32" s="77">
        <f t="shared" ref="F32:F50" si="9">(IF(F$27="%w/w SAR",((F$28*10)*$B32),IF(F$27="%w/w DM",(((F$28*10)*($B$28/100))*$B32),IF(F$27="kg/t SAR",(F$28*$B32),IF(F$27="kg/t DM",((F$28*($B$28/100))*$B32),IF(F$27="mg/kg SAR",((F$28*0.001)*$B32),IF(F$27="mg/kg DM",(((F$28*0.001)*($B$28/100))*$B32),"0")))))))*1.658</f>
        <v>8.0205750000000009</v>
      </c>
      <c r="G32" s="77">
        <f t="shared" si="5"/>
        <v>9.0749999999999997E-2</v>
      </c>
      <c r="H32" s="77">
        <f t="shared" si="5"/>
        <v>0.17475000000000002</v>
      </c>
      <c r="I32" s="77">
        <f t="shared" si="5"/>
        <v>3.7499999999999999E-2</v>
      </c>
      <c r="J32" s="77">
        <f t="shared" si="5"/>
        <v>7.5000000000000002E-4</v>
      </c>
      <c r="K32" s="77">
        <f t="shared" si="5"/>
        <v>3.7500000000000003E-3</v>
      </c>
      <c r="L32" s="77">
        <f t="shared" si="5"/>
        <v>1.5000000000000001E-2</v>
      </c>
      <c r="M32" s="77">
        <f t="shared" si="5"/>
        <v>3.5249999999999997E-2</v>
      </c>
      <c r="N32" s="77">
        <f t="shared" si="5"/>
        <v>0</v>
      </c>
      <c r="O32" s="77">
        <f t="shared" si="5"/>
        <v>0</v>
      </c>
      <c r="P32" s="77">
        <f t="shared" si="5"/>
        <v>4.6275000000000004</v>
      </c>
      <c r="Q32" s="77">
        <f t="shared" ref="Q32:Q50" si="10">(IF(Q$27="%w/w SAR",((Q$28*10)*$B32),IF(Q$27="%w/w DM",(((Q$28*10)*($B$28/100))*$B32),IF(Q$27="kg/t SAR",(Q$28*$B32),IF(Q$27="kg/t DM",((Q$28*($B$28/100))*$B32),IF(Q$27="mg/kg SAR",((Q$28*0.001)*$B32),IF(Q$27="mg/kg DM",(((Q$28*0.001)*($B$28/100))*$B32),0)))))))*2.5</f>
        <v>33.1875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DJ3</v>
      </c>
      <c r="B33" s="15">
        <v>75</v>
      </c>
      <c r="C33" s="77">
        <f t="shared" si="6"/>
        <v>240</v>
      </c>
      <c r="D33" s="77">
        <f t="shared" si="7"/>
        <v>90.895425000000003</v>
      </c>
      <c r="E33" s="77">
        <f t="shared" si="8"/>
        <v>22.7745</v>
      </c>
      <c r="F33" s="77">
        <f t="shared" si="9"/>
        <v>8.0205750000000009</v>
      </c>
      <c r="G33" s="77">
        <f t="shared" si="5"/>
        <v>9.0749999999999997E-2</v>
      </c>
      <c r="H33" s="77">
        <f t="shared" si="5"/>
        <v>0.17475000000000002</v>
      </c>
      <c r="I33" s="77">
        <f t="shared" si="5"/>
        <v>3.7499999999999999E-2</v>
      </c>
      <c r="J33" s="77">
        <f t="shared" si="5"/>
        <v>7.5000000000000002E-4</v>
      </c>
      <c r="K33" s="77">
        <f t="shared" si="5"/>
        <v>3.7500000000000003E-3</v>
      </c>
      <c r="L33" s="77">
        <f t="shared" si="5"/>
        <v>1.5000000000000001E-2</v>
      </c>
      <c r="M33" s="77">
        <f t="shared" si="5"/>
        <v>3.5249999999999997E-2</v>
      </c>
      <c r="N33" s="77">
        <f t="shared" si="5"/>
        <v>0</v>
      </c>
      <c r="O33" s="77">
        <f t="shared" si="5"/>
        <v>0</v>
      </c>
      <c r="P33" s="77">
        <f t="shared" si="5"/>
        <v>4.6275000000000004</v>
      </c>
      <c r="Q33" s="77">
        <f t="shared" si="10"/>
        <v>33.1875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DJ4</v>
      </c>
      <c r="B34" s="15">
        <v>75</v>
      </c>
      <c r="C34" s="77">
        <f t="shared" si="6"/>
        <v>240</v>
      </c>
      <c r="D34" s="77">
        <f t="shared" si="7"/>
        <v>90.895425000000003</v>
      </c>
      <c r="E34" s="77">
        <f t="shared" si="8"/>
        <v>22.7745</v>
      </c>
      <c r="F34" s="77">
        <f t="shared" si="9"/>
        <v>8.0205750000000009</v>
      </c>
      <c r="G34" s="77">
        <f t="shared" si="5"/>
        <v>9.0749999999999997E-2</v>
      </c>
      <c r="H34" s="77">
        <f t="shared" si="5"/>
        <v>0.17475000000000002</v>
      </c>
      <c r="I34" s="77">
        <f t="shared" si="5"/>
        <v>3.7499999999999999E-2</v>
      </c>
      <c r="J34" s="77">
        <f t="shared" si="5"/>
        <v>7.5000000000000002E-4</v>
      </c>
      <c r="K34" s="77">
        <f t="shared" si="5"/>
        <v>3.7500000000000003E-3</v>
      </c>
      <c r="L34" s="77">
        <f t="shared" si="5"/>
        <v>1.5000000000000001E-2</v>
      </c>
      <c r="M34" s="77">
        <f t="shared" si="5"/>
        <v>3.5249999999999997E-2</v>
      </c>
      <c r="N34" s="77">
        <f t="shared" si="5"/>
        <v>0</v>
      </c>
      <c r="O34" s="77">
        <f t="shared" si="5"/>
        <v>0</v>
      </c>
      <c r="P34" s="77">
        <f t="shared" si="5"/>
        <v>4.6275000000000004</v>
      </c>
      <c r="Q34" s="77">
        <f t="shared" si="10"/>
        <v>33.1875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DJ5</v>
      </c>
      <c r="B35" s="15">
        <v>75</v>
      </c>
      <c r="C35" s="77">
        <f t="shared" si="6"/>
        <v>240</v>
      </c>
      <c r="D35" s="77">
        <f t="shared" si="7"/>
        <v>90.895425000000003</v>
      </c>
      <c r="E35" s="77">
        <f t="shared" si="8"/>
        <v>22.7745</v>
      </c>
      <c r="F35" s="77">
        <f t="shared" si="9"/>
        <v>8.0205750000000009</v>
      </c>
      <c r="G35" s="77">
        <f t="shared" si="5"/>
        <v>9.0749999999999997E-2</v>
      </c>
      <c r="H35" s="77">
        <f t="shared" si="5"/>
        <v>0.17475000000000002</v>
      </c>
      <c r="I35" s="77">
        <f t="shared" si="5"/>
        <v>3.7499999999999999E-2</v>
      </c>
      <c r="J35" s="77">
        <f t="shared" si="5"/>
        <v>7.5000000000000002E-4</v>
      </c>
      <c r="K35" s="77">
        <f t="shared" si="5"/>
        <v>3.7500000000000003E-3</v>
      </c>
      <c r="L35" s="77">
        <f t="shared" si="5"/>
        <v>1.5000000000000001E-2</v>
      </c>
      <c r="M35" s="77">
        <f t="shared" si="5"/>
        <v>3.5249999999999997E-2</v>
      </c>
      <c r="N35" s="77">
        <f t="shared" si="5"/>
        <v>0</v>
      </c>
      <c r="O35" s="77">
        <f t="shared" si="5"/>
        <v>0</v>
      </c>
      <c r="P35" s="77">
        <f t="shared" si="5"/>
        <v>4.6275000000000004</v>
      </c>
      <c r="Q35" s="77">
        <f t="shared" si="10"/>
        <v>33.1875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DJ6</v>
      </c>
      <c r="B36" s="15">
        <v>75</v>
      </c>
      <c r="C36" s="77">
        <f t="shared" si="6"/>
        <v>240</v>
      </c>
      <c r="D36" s="77">
        <f t="shared" si="7"/>
        <v>90.895425000000003</v>
      </c>
      <c r="E36" s="77">
        <f t="shared" si="8"/>
        <v>22.7745</v>
      </c>
      <c r="F36" s="77">
        <f t="shared" si="9"/>
        <v>8.0205750000000009</v>
      </c>
      <c r="G36" s="77">
        <f t="shared" si="5"/>
        <v>9.0749999999999997E-2</v>
      </c>
      <c r="H36" s="77">
        <f t="shared" si="5"/>
        <v>0.17475000000000002</v>
      </c>
      <c r="I36" s="77">
        <f t="shared" si="5"/>
        <v>3.7499999999999999E-2</v>
      </c>
      <c r="J36" s="77">
        <f t="shared" si="5"/>
        <v>7.5000000000000002E-4</v>
      </c>
      <c r="K36" s="77">
        <f t="shared" si="5"/>
        <v>3.7500000000000003E-3</v>
      </c>
      <c r="L36" s="77">
        <f t="shared" si="5"/>
        <v>1.5000000000000001E-2</v>
      </c>
      <c r="M36" s="77">
        <f t="shared" si="5"/>
        <v>3.5249999999999997E-2</v>
      </c>
      <c r="N36" s="77">
        <f t="shared" si="5"/>
        <v>0</v>
      </c>
      <c r="O36" s="77">
        <f t="shared" si="5"/>
        <v>0</v>
      </c>
      <c r="P36" s="77">
        <f t="shared" si="5"/>
        <v>4.6275000000000004</v>
      </c>
      <c r="Q36" s="77">
        <f t="shared" si="10"/>
        <v>33.1875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DJ7</v>
      </c>
      <c r="B37" s="15">
        <v>75</v>
      </c>
      <c r="C37" s="77">
        <f t="shared" si="6"/>
        <v>240</v>
      </c>
      <c r="D37" s="77">
        <f t="shared" si="7"/>
        <v>90.895425000000003</v>
      </c>
      <c r="E37" s="77">
        <f t="shared" si="8"/>
        <v>22.7745</v>
      </c>
      <c r="F37" s="77">
        <f t="shared" si="9"/>
        <v>8.0205750000000009</v>
      </c>
      <c r="G37" s="77">
        <f t="shared" si="5"/>
        <v>9.0749999999999997E-2</v>
      </c>
      <c r="H37" s="77">
        <f t="shared" si="5"/>
        <v>0.17475000000000002</v>
      </c>
      <c r="I37" s="77">
        <f t="shared" si="5"/>
        <v>3.7499999999999999E-2</v>
      </c>
      <c r="J37" s="77">
        <f t="shared" si="5"/>
        <v>7.5000000000000002E-4</v>
      </c>
      <c r="K37" s="77">
        <f t="shared" si="5"/>
        <v>3.7500000000000003E-3</v>
      </c>
      <c r="L37" s="77">
        <f t="shared" si="5"/>
        <v>1.5000000000000001E-2</v>
      </c>
      <c r="M37" s="77">
        <f t="shared" si="5"/>
        <v>3.5249999999999997E-2</v>
      </c>
      <c r="N37" s="77">
        <f t="shared" si="5"/>
        <v>0</v>
      </c>
      <c r="O37" s="77">
        <f t="shared" si="5"/>
        <v>0</v>
      </c>
      <c r="P37" s="77">
        <f t="shared" si="5"/>
        <v>4.6275000000000004</v>
      </c>
      <c r="Q37" s="77">
        <f t="shared" si="10"/>
        <v>33.1875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DJ8</v>
      </c>
      <c r="B38" s="15">
        <v>75</v>
      </c>
      <c r="C38" s="77">
        <f t="shared" si="6"/>
        <v>240</v>
      </c>
      <c r="D38" s="77">
        <f t="shared" si="7"/>
        <v>90.895425000000003</v>
      </c>
      <c r="E38" s="77">
        <f t="shared" si="8"/>
        <v>22.7745</v>
      </c>
      <c r="F38" s="77">
        <f t="shared" si="9"/>
        <v>8.0205750000000009</v>
      </c>
      <c r="G38" s="77">
        <f t="shared" si="5"/>
        <v>9.0749999999999997E-2</v>
      </c>
      <c r="H38" s="77">
        <f t="shared" si="5"/>
        <v>0.17475000000000002</v>
      </c>
      <c r="I38" s="77">
        <f t="shared" si="5"/>
        <v>3.7499999999999999E-2</v>
      </c>
      <c r="J38" s="77">
        <f t="shared" si="5"/>
        <v>7.5000000000000002E-4</v>
      </c>
      <c r="K38" s="77">
        <f t="shared" si="5"/>
        <v>3.7500000000000003E-3</v>
      </c>
      <c r="L38" s="77">
        <f t="shared" si="5"/>
        <v>1.5000000000000001E-2</v>
      </c>
      <c r="M38" s="77">
        <f t="shared" si="5"/>
        <v>3.5249999999999997E-2</v>
      </c>
      <c r="N38" s="77">
        <f t="shared" si="5"/>
        <v>0</v>
      </c>
      <c r="O38" s="77">
        <f t="shared" si="5"/>
        <v>0</v>
      </c>
      <c r="P38" s="77">
        <f t="shared" si="5"/>
        <v>4.6275000000000004</v>
      </c>
      <c r="Q38" s="77">
        <f t="shared" si="10"/>
        <v>33.1875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Sandy Loam I Grass</v>
      </c>
      <c r="C58" s="13" t="str">
        <f>D16&amp;" I "&amp;(VLOOKUP(D14,Table24581113[],6,FALSE))</f>
        <v>Sandy Loam I Grass</v>
      </c>
      <c r="D58" s="13" t="str">
        <f>E16&amp;" I "&amp;(VLOOKUP(E14,Table24581113[],6,FALSE))</f>
        <v>Sandy Loam I Grass</v>
      </c>
      <c r="E58" s="13" t="str">
        <f>F16&amp;" I "&amp;(VLOOKUP(F14,Table24581113[],6,FALSE))</f>
        <v>Sandy Loam I Grass</v>
      </c>
      <c r="F58" s="13" t="str">
        <f>G16&amp;" I "&amp;(VLOOKUP(G14,Table24581113[],6,FALSE))</f>
        <v>Sandy Loam I Grass</v>
      </c>
      <c r="G58" s="13" t="str">
        <f>H16&amp;" I "&amp;(VLOOKUP(H14,Table24581113[],6,FALSE))</f>
        <v>Sandy Loam I Grass</v>
      </c>
      <c r="H58" s="13" t="str">
        <f>I16&amp;" I "&amp;(VLOOKUP(I14,Table24581113[],6,FALSE))</f>
        <v>Sandy Loam I Grass</v>
      </c>
      <c r="I58" s="13" t="str">
        <f>J16&amp;" I "&amp;(VLOOKUP(J14,Table24581113[],6,FALSE))</f>
        <v>Sandy Loam I Grass</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75</v>
      </c>
      <c r="C62" s="77">
        <f>B32</f>
        <v>75</v>
      </c>
      <c r="D62" s="77">
        <f>B33</f>
        <v>75</v>
      </c>
      <c r="E62" s="77">
        <f>B34</f>
        <v>75</v>
      </c>
      <c r="F62" s="77">
        <f>B35</f>
        <v>75</v>
      </c>
      <c r="G62" s="77">
        <f>B36</f>
        <v>75</v>
      </c>
      <c r="H62" s="77">
        <f>B37</f>
        <v>75</v>
      </c>
      <c r="I62" s="77">
        <f>B38</f>
        <v>75</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F13"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PAN-019538</v>
      </c>
      <c r="D1" s="141"/>
      <c r="E1" s="93" t="s">
        <v>45</v>
      </c>
      <c r="F1" s="39">
        <f>Secanim!F1</f>
        <v>18.100000000000001</v>
      </c>
      <c r="G1" s="120" t="s">
        <v>43</v>
      </c>
      <c r="H1" s="121"/>
      <c r="I1" s="118">
        <v>3.82</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EPR-KP3594VE</v>
      </c>
      <c r="D2" s="143"/>
      <c r="E2" s="93" t="s">
        <v>109</v>
      </c>
      <c r="F2" s="96" t="s">
        <v>168</v>
      </c>
      <c r="G2" s="138" t="s">
        <v>110</v>
      </c>
      <c r="H2" s="139"/>
      <c r="I2" s="118">
        <v>598</v>
      </c>
      <c r="J2" s="119" t="s">
        <v>158</v>
      </c>
      <c r="K2" s="119"/>
      <c r="L2" s="97">
        <v>0.17</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 xml:space="preserve">Trade Effluent Services Limited </v>
      </c>
      <c r="D3" s="143"/>
      <c r="E3" s="93" t="s">
        <v>108</v>
      </c>
      <c r="F3" s="31" t="s">
        <v>78</v>
      </c>
      <c r="G3" s="119" t="s">
        <v>159</v>
      </c>
      <c r="H3" s="119"/>
      <c r="I3" s="118">
        <v>31020</v>
      </c>
      <c r="J3" s="120" t="s">
        <v>154</v>
      </c>
      <c r="K3" s="121"/>
      <c r="L3" s="97">
        <f>(L1/(L2*10000))*100</f>
        <v>1.4705882352941175</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Secanim!C4:D4</f>
        <v>0</v>
      </c>
      <c r="D4" s="141"/>
      <c r="E4" s="94" t="s">
        <v>1</v>
      </c>
      <c r="F4" s="96" t="s">
        <v>177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Secanim!C8</f>
        <v>DJ1</v>
      </c>
      <c r="D8" s="60" t="str">
        <f>Secanim!D8</f>
        <v>DJ2</v>
      </c>
      <c r="E8" s="60" t="str">
        <f>Secanim!E8</f>
        <v>DJ3</v>
      </c>
      <c r="F8" s="60" t="str">
        <f>Secanim!F8</f>
        <v>DJ4</v>
      </c>
      <c r="G8" s="60" t="str">
        <f>Secanim!G8</f>
        <v>DJ5</v>
      </c>
      <c r="H8" s="60" t="str">
        <f>Secanim!H8</f>
        <v>DJ6</v>
      </c>
      <c r="I8" s="60" t="str">
        <f>Secanim!I8</f>
        <v>DJ7</v>
      </c>
      <c r="J8" s="60" t="str">
        <f>Secanim!J8</f>
        <v>DJ8</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6.6</v>
      </c>
      <c r="D10" s="60">
        <f>Secanim!D10</f>
        <v>5.7</v>
      </c>
      <c r="E10" s="60">
        <f>Secanim!E10</f>
        <v>6.1</v>
      </c>
      <c r="F10" s="60">
        <f>Secanim!F10</f>
        <v>5.2</v>
      </c>
      <c r="G10" s="60">
        <f>Secanim!G10</f>
        <v>5.3</v>
      </c>
      <c r="H10" s="60">
        <f>Secanim!H10</f>
        <v>5.5</v>
      </c>
      <c r="I10" s="60">
        <f>Secanim!I10</f>
        <v>5.4</v>
      </c>
      <c r="J10" s="60">
        <f>Secanim!J10</f>
        <v>5.6</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0</v>
      </c>
      <c r="D11" s="60">
        <f>Secanim!D11</f>
        <v>1</v>
      </c>
      <c r="E11" s="60">
        <f>Secanim!E11</f>
        <v>0</v>
      </c>
      <c r="F11" s="60">
        <f>Secanim!F11</f>
        <v>0</v>
      </c>
      <c r="G11" s="60">
        <f>Secanim!G11</f>
        <v>0</v>
      </c>
      <c r="H11" s="60">
        <f>Secanim!H11</f>
        <v>0</v>
      </c>
      <c r="I11" s="60">
        <f>Secanim!I11</f>
        <v>0</v>
      </c>
      <c r="J11" s="60">
        <f>Secanim!J11</f>
        <v>1</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Secanim!C12</f>
        <v>1</v>
      </c>
      <c r="D12" s="60">
        <f>Secanim!D12</f>
        <v>2</v>
      </c>
      <c r="E12" s="60">
        <f>Secanim!E12</f>
        <v>2</v>
      </c>
      <c r="F12" s="60">
        <f>Secanim!F12</f>
        <v>3</v>
      </c>
      <c r="G12" s="60">
        <f>Secanim!G12</f>
        <v>2</v>
      </c>
      <c r="H12" s="60">
        <f>Secanim!H12</f>
        <v>2</v>
      </c>
      <c r="I12" s="60">
        <f>Secanim!I12</f>
        <v>2</v>
      </c>
      <c r="J12" s="60">
        <f>Secanim!J12</f>
        <v>2</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2</v>
      </c>
      <c r="D13" s="60">
        <f>Secanim!D13</f>
        <v>2</v>
      </c>
      <c r="E13" s="60">
        <f>Secanim!E13</f>
        <v>2</v>
      </c>
      <c r="F13" s="60">
        <f>Secanim!F13</f>
        <v>2</v>
      </c>
      <c r="G13" s="60">
        <f>Secanim!G13</f>
        <v>2</v>
      </c>
      <c r="H13" s="60">
        <f>Secanim!H13</f>
        <v>2</v>
      </c>
      <c r="I13" s="60">
        <f>Secanim!I13</f>
        <v>2</v>
      </c>
      <c r="J13" s="60">
        <f>Secanim!J13</f>
        <v>2</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Sandy Loam</v>
      </c>
      <c r="D16" s="103" t="str">
        <f>Secanim!D16</f>
        <v>Sandy Loam</v>
      </c>
      <c r="E16" s="103" t="str">
        <f>Secanim!E16</f>
        <v>Sandy Loam</v>
      </c>
      <c r="F16" s="103" t="str">
        <f>Secanim!F16</f>
        <v>Sandy Loam</v>
      </c>
      <c r="G16" s="103" t="str">
        <f>Secanim!G16</f>
        <v>Sandy Loam</v>
      </c>
      <c r="H16" s="103" t="str">
        <f>Secanim!H16</f>
        <v>Sandy Loam</v>
      </c>
      <c r="I16" s="103" t="str">
        <f>Secanim!I16</f>
        <v>Sandy Loam</v>
      </c>
      <c r="J16" s="103" t="str">
        <f>Secanim!J16</f>
        <v>Sandy Loam</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56.640393000000003</v>
      </c>
      <c r="D18" s="16">
        <f>$D32</f>
        <v>56.640393000000003</v>
      </c>
      <c r="E18" s="16">
        <f>$D33</f>
        <v>56.640393000000003</v>
      </c>
      <c r="F18" s="16">
        <f>$D34</f>
        <v>56.640393000000003</v>
      </c>
      <c r="G18" s="16">
        <f>$D35</f>
        <v>56.640393000000003</v>
      </c>
      <c r="H18" s="16">
        <f>$D36</f>
        <v>56.640393000000003</v>
      </c>
      <c r="I18" s="16">
        <f>$D37</f>
        <v>56.640393000000003</v>
      </c>
      <c r="J18" s="16">
        <f>$D38</f>
        <v>56.640393000000003</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-7.9596069999999912</v>
      </c>
      <c r="D19" s="16">
        <f t="shared" ref="D19:V19" si="1">D18-D17</f>
        <v>-7.9596069999999912</v>
      </c>
      <c r="E19" s="16">
        <f t="shared" si="1"/>
        <v>-7.9596069999999912</v>
      </c>
      <c r="F19" s="16">
        <f t="shared" si="1"/>
        <v>-7.9596069999999912</v>
      </c>
      <c r="G19" s="16">
        <f t="shared" si="1"/>
        <v>-7.9596069999999912</v>
      </c>
      <c r="H19" s="16">
        <f t="shared" si="1"/>
        <v>-7.9596069999999912</v>
      </c>
      <c r="I19" s="16">
        <f t="shared" si="1"/>
        <v>-7.9596069999999912</v>
      </c>
      <c r="J19" s="16">
        <f t="shared" si="1"/>
        <v>-7.9596069999999912</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30.532290000000003</v>
      </c>
      <c r="D22" s="16">
        <f>$E32</f>
        <v>30.532290000000003</v>
      </c>
      <c r="E22" s="16">
        <f>$E33</f>
        <v>30.532290000000003</v>
      </c>
      <c r="F22" s="16">
        <f>$E34</f>
        <v>30.532290000000003</v>
      </c>
      <c r="G22" s="16">
        <f>$E35</f>
        <v>30.532290000000003</v>
      </c>
      <c r="H22" s="16">
        <f>$E36</f>
        <v>30.532290000000003</v>
      </c>
      <c r="I22" s="16">
        <f>$E37</f>
        <v>30.532290000000003</v>
      </c>
      <c r="J22" s="16">
        <f>$E38</f>
        <v>30.532290000000003</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-197.46771000000001</v>
      </c>
      <c r="D23" s="16">
        <f t="shared" ref="D23:V23" si="3">D22-D21</f>
        <v>-197.46771000000001</v>
      </c>
      <c r="E23" s="16">
        <f t="shared" si="3"/>
        <v>-197.46771000000001</v>
      </c>
      <c r="F23" s="16">
        <f t="shared" si="3"/>
        <v>-197.46771000000001</v>
      </c>
      <c r="G23" s="16">
        <f t="shared" si="3"/>
        <v>-197.46771000000001</v>
      </c>
      <c r="H23" s="16">
        <f t="shared" si="3"/>
        <v>-197.46771000000001</v>
      </c>
      <c r="I23" s="16">
        <f t="shared" si="3"/>
        <v>-197.46771000000001</v>
      </c>
      <c r="J23" s="16">
        <f t="shared" si="3"/>
        <v>-197.46771000000001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7.29</v>
      </c>
      <c r="C28" s="15">
        <v>0.17</v>
      </c>
      <c r="D28" s="15">
        <v>201</v>
      </c>
      <c r="E28" s="15">
        <v>206</v>
      </c>
      <c r="F28" s="15">
        <v>52.5</v>
      </c>
      <c r="G28" s="15">
        <v>0.35499999999999998</v>
      </c>
      <c r="H28" s="15">
        <v>2.33</v>
      </c>
      <c r="I28" s="15">
        <v>0.5</v>
      </c>
      <c r="J28" s="15">
        <v>0.01</v>
      </c>
      <c r="K28" s="23">
        <v>0.05</v>
      </c>
      <c r="L28" s="15">
        <v>0.214</v>
      </c>
      <c r="M28" s="15">
        <v>0.51400000000000001</v>
      </c>
      <c r="N28" s="15"/>
      <c r="O28" s="15"/>
      <c r="P28" s="15">
        <v>414</v>
      </c>
      <c r="Q28" s="15">
        <v>229</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v>123</v>
      </c>
      <c r="C31" s="77">
        <f>IF(C$27="%w/w SAR",((C$28*10)*$B31),IF(C$27="%w/w DM",(((C$28*10)*($B$28/100))*$B31),IF(C$27="kg/t SAR",(C$28*$B31),IF(C$27="kg/t DM",((C$28*($B$28/100))*$B31),IF(C$27="mg/kg SAR",((C$28*0.001)*$B31),IF(C$27="mg/kg DM",(((C$28*0.001)*($B$28/100))*$B31),0))))))</f>
        <v>209.10000000000002</v>
      </c>
      <c r="D31" s="77">
        <f>(IF(D$27="%w/w SAR",((D$28*10)*$B31),IF(D$27="%w/w DM",(((D$28*10)*($B$28/100))*$B31),IF(D$27="kg/t SAR",(D$28*$B31),IF(D$27="kg/t DM",((D$28*($B$28/100))*$B31),IF(D$27="mg/kg SAR",((D$28*0.001)*$B31),IF(D$27="mg/kg DM",(((D$28*0.001)*($B$28/100))*$B31),"0")))))))*2.291</f>
        <v>56.640393000000003</v>
      </c>
      <c r="E31" s="77">
        <f>(IF(E$27="%w/w SAR",((E$28*10)*$B31),IF(E$27="%w/w DM",(((E$28*10)*($B$28/100))*$B31),IF(E$27="kg/t SAR",(E$28*$B31),IF(E$27="kg/t DM",((E$28*($B$28/100))*$B31),IF(E$27="mg/kg SAR",((E$28*0.001)*$B31),IF(E$27="mg/kg DM",(((E$28*0.001)*($B$28/100))*$B31),"0")))))))*1.205</f>
        <v>30.532290000000003</v>
      </c>
      <c r="F31" s="77">
        <f>(IF(F$27="%w/w SAR",((F$28*10)*$B31),IF(F$27="%w/w DM",(((F$28*10)*($B$28/100))*$B31),IF(F$27="kg/t SAR",(F$28*$B31),IF(F$27="kg/t DM",((F$28*($B$28/100))*$B31),IF(F$27="mg/kg SAR",((F$28*0.001)*$B31),IF(F$27="mg/kg DM",(((F$28*0.001)*($B$28/100))*$B31),"0")))))))*1.658</f>
        <v>10.706534999999999</v>
      </c>
      <c r="G31" s="77">
        <f t="shared" ref="G31:P46" si="5">IF(G$27="%w/w SAR",((G$28*10)*$B31),IF(G$27="%w/w DM",(((G$28*10)*($B$28/100))*$B31),IF(G$27="kg/t SAR",(G$28*$B31),IF(G$27="kg/t DM",((G$28*($B$28/100))*$B31),IF(G$27="mg/kg SAR",((G$28*0.001)*$B31),IF(G$27="mg/kg DM",(((G$28*0.001)*($B$28/100))*$B31),0))))))</f>
        <v>4.3665000000000002E-2</v>
      </c>
      <c r="H31" s="77">
        <f t="shared" si="5"/>
        <v>0.28659000000000001</v>
      </c>
      <c r="I31" s="77">
        <f t="shared" si="5"/>
        <v>6.1499999999999999E-2</v>
      </c>
      <c r="J31" s="77">
        <f t="shared" si="5"/>
        <v>1.2300000000000002E-3</v>
      </c>
      <c r="K31" s="77">
        <f t="shared" si="5"/>
        <v>6.1500000000000001E-3</v>
      </c>
      <c r="L31" s="77">
        <f t="shared" si="5"/>
        <v>2.6321999999999998E-2</v>
      </c>
      <c r="M31" s="77">
        <f t="shared" si="5"/>
        <v>6.3222E-2</v>
      </c>
      <c r="N31" s="77">
        <f t="shared" si="5"/>
        <v>0</v>
      </c>
      <c r="O31" s="77">
        <f t="shared" si="5"/>
        <v>0</v>
      </c>
      <c r="P31" s="77">
        <f t="shared" si="5"/>
        <v>50.922000000000004</v>
      </c>
      <c r="Q31" s="77">
        <f>(IF(Q$27="%w/w SAR",((Q$28*10)*$B31),IF(Q$27="%w/w DM",(((Q$28*10)*($B$28/100))*$B31),IF(Q$27="kg/t SAR",(Q$28*$B31),IF(Q$27="kg/t DM",((Q$28*($B$28/100))*$B31),IF(Q$27="mg/kg SAR",((Q$28*0.001)*$B31),IF(Q$27="mg/kg DM",(((Q$28*0.001)*($B$28/100))*$B31),0)))))))*2.5</f>
        <v>70.417500000000004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v>123</v>
      </c>
      <c r="C32" s="77">
        <f t="shared" ref="C32:C50" si="6">IF(C$27="%w/w SAR",((C$28*10)*$B32),IF(C$27="%w/w DM",(((C$28*10)*($B$28/100))*$B32),IF(C$27="kg/t SAR",(C$28*$B32),IF(C$27="kg/t DM",((C$28*($B$28/100))*$B32),IF(C$27="mg/kg SAR",((C$28*0.001)*$B32),IF(C$27="mg/kg DM",(((C$28*0.001)*($B$28/100))*$B32),0))))))</f>
        <v>209.10000000000002</v>
      </c>
      <c r="D32" s="77">
        <f t="shared" ref="D32:D50" si="7">(IF(D$27="%w/w SAR",((D$28*10)*$B32),IF(D$27="%w/w DM",(((D$28*10)*($B$28/100))*$B32),IF(D$27="kg/t SAR",(D$28*$B32),IF(D$27="kg/t DM",((D$28*($B$28/100))*$B32),IF(D$27="mg/kg SAR",((D$28*0.001)*$B32),IF(D$27="mg/kg DM",(((D$28*0.001)*($B$28/100))*$B32),"0")))))))*2.291</f>
        <v>56.640393000000003</v>
      </c>
      <c r="E32" s="77">
        <f t="shared" ref="E32:E50" si="8">(IF(E$27="%w/w SAR",((E$28*10)*$B32),IF(E$27="%w/w DM",(((E$28*10)*($B$28/100))*$B32),IF(E$27="kg/t SAR",(E$28*$B32),IF(E$27="kg/t DM",((E$28*($B$28/100))*$B32),IF(E$27="mg/kg SAR",((E$28*0.001)*$B32),IF(E$27="mg/kg DM",(((E$28*0.001)*($B$28/100))*$B32),"0")))))))*1.205</f>
        <v>30.532290000000003</v>
      </c>
      <c r="F32" s="77">
        <f t="shared" ref="F32:F50" si="9">(IF(F$27="%w/w SAR",((F$28*10)*$B32),IF(F$27="%w/w DM",(((F$28*10)*($B$28/100))*$B32),IF(F$27="kg/t SAR",(F$28*$B32),IF(F$27="kg/t DM",((F$28*($B$28/100))*$B32),IF(F$27="mg/kg SAR",((F$28*0.001)*$B32),IF(F$27="mg/kg DM",(((F$28*0.001)*($B$28/100))*$B32),"0")))))))*1.658</f>
        <v>10.706534999999999</v>
      </c>
      <c r="G32" s="77">
        <f t="shared" si="5"/>
        <v>4.3665000000000002E-2</v>
      </c>
      <c r="H32" s="77">
        <f t="shared" si="5"/>
        <v>0.28659000000000001</v>
      </c>
      <c r="I32" s="77">
        <f t="shared" si="5"/>
        <v>6.1499999999999999E-2</v>
      </c>
      <c r="J32" s="77">
        <f t="shared" si="5"/>
        <v>1.2300000000000002E-3</v>
      </c>
      <c r="K32" s="77">
        <f t="shared" si="5"/>
        <v>6.1500000000000001E-3</v>
      </c>
      <c r="L32" s="77">
        <f t="shared" si="5"/>
        <v>2.6321999999999998E-2</v>
      </c>
      <c r="M32" s="77">
        <f t="shared" si="5"/>
        <v>6.3222E-2</v>
      </c>
      <c r="N32" s="77">
        <f t="shared" si="5"/>
        <v>0</v>
      </c>
      <c r="O32" s="77">
        <f t="shared" si="5"/>
        <v>0</v>
      </c>
      <c r="P32" s="77">
        <f t="shared" si="5"/>
        <v>50.922000000000004</v>
      </c>
      <c r="Q32" s="77">
        <f t="shared" ref="Q32:Q50" si="10">(IF(Q$27="%w/w SAR",((Q$28*10)*$B32),IF(Q$27="%w/w DM",(((Q$28*10)*($B$28/100))*$B32),IF(Q$27="kg/t SAR",(Q$28*$B32),IF(Q$27="kg/t DM",((Q$28*($B$28/100))*$B32),IF(Q$27="mg/kg SAR",((Q$28*0.001)*$B32),IF(Q$27="mg/kg DM",(((Q$28*0.001)*($B$28/100))*$B32),0)))))))*2.5</f>
        <v>70.417500000000004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DJ3</v>
      </c>
      <c r="B33" s="15">
        <v>123</v>
      </c>
      <c r="C33" s="77">
        <f t="shared" si="6"/>
        <v>209.10000000000002</v>
      </c>
      <c r="D33" s="77">
        <f t="shared" si="7"/>
        <v>56.640393000000003</v>
      </c>
      <c r="E33" s="77">
        <f t="shared" si="8"/>
        <v>30.532290000000003</v>
      </c>
      <c r="F33" s="77">
        <f t="shared" si="9"/>
        <v>10.706534999999999</v>
      </c>
      <c r="G33" s="77">
        <f t="shared" si="5"/>
        <v>4.3665000000000002E-2</v>
      </c>
      <c r="H33" s="77">
        <f t="shared" si="5"/>
        <v>0.28659000000000001</v>
      </c>
      <c r="I33" s="77">
        <f t="shared" si="5"/>
        <v>6.1499999999999999E-2</v>
      </c>
      <c r="J33" s="77">
        <f t="shared" si="5"/>
        <v>1.2300000000000002E-3</v>
      </c>
      <c r="K33" s="77">
        <f t="shared" si="5"/>
        <v>6.1500000000000001E-3</v>
      </c>
      <c r="L33" s="77">
        <f t="shared" si="5"/>
        <v>2.6321999999999998E-2</v>
      </c>
      <c r="M33" s="77">
        <f t="shared" si="5"/>
        <v>6.3222E-2</v>
      </c>
      <c r="N33" s="77">
        <f t="shared" si="5"/>
        <v>0</v>
      </c>
      <c r="O33" s="77">
        <f t="shared" si="5"/>
        <v>0</v>
      </c>
      <c r="P33" s="77">
        <f t="shared" si="5"/>
        <v>50.922000000000004</v>
      </c>
      <c r="Q33" s="77">
        <f t="shared" si="10"/>
        <v>70.417500000000004</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DJ4</v>
      </c>
      <c r="B34" s="15">
        <v>123</v>
      </c>
      <c r="C34" s="77">
        <f t="shared" si="6"/>
        <v>209.10000000000002</v>
      </c>
      <c r="D34" s="77">
        <f t="shared" si="7"/>
        <v>56.640393000000003</v>
      </c>
      <c r="E34" s="77">
        <f t="shared" si="8"/>
        <v>30.532290000000003</v>
      </c>
      <c r="F34" s="77">
        <f t="shared" si="9"/>
        <v>10.706534999999999</v>
      </c>
      <c r="G34" s="77">
        <f t="shared" si="5"/>
        <v>4.3665000000000002E-2</v>
      </c>
      <c r="H34" s="77">
        <f t="shared" si="5"/>
        <v>0.28659000000000001</v>
      </c>
      <c r="I34" s="77">
        <f t="shared" si="5"/>
        <v>6.1499999999999999E-2</v>
      </c>
      <c r="J34" s="77">
        <f t="shared" si="5"/>
        <v>1.2300000000000002E-3</v>
      </c>
      <c r="K34" s="77">
        <f t="shared" si="5"/>
        <v>6.1500000000000001E-3</v>
      </c>
      <c r="L34" s="77">
        <f t="shared" si="5"/>
        <v>2.6321999999999998E-2</v>
      </c>
      <c r="M34" s="77">
        <f t="shared" si="5"/>
        <v>6.3222E-2</v>
      </c>
      <c r="N34" s="77">
        <f t="shared" si="5"/>
        <v>0</v>
      </c>
      <c r="O34" s="77">
        <f t="shared" si="5"/>
        <v>0</v>
      </c>
      <c r="P34" s="77">
        <f t="shared" si="5"/>
        <v>50.922000000000004</v>
      </c>
      <c r="Q34" s="77">
        <f t="shared" si="10"/>
        <v>70.417500000000004</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DJ5</v>
      </c>
      <c r="B35" s="15">
        <v>123</v>
      </c>
      <c r="C35" s="77">
        <f t="shared" si="6"/>
        <v>209.10000000000002</v>
      </c>
      <c r="D35" s="77">
        <f t="shared" si="7"/>
        <v>56.640393000000003</v>
      </c>
      <c r="E35" s="77">
        <f t="shared" si="8"/>
        <v>30.532290000000003</v>
      </c>
      <c r="F35" s="77">
        <f t="shared" si="9"/>
        <v>10.706534999999999</v>
      </c>
      <c r="G35" s="77">
        <f t="shared" si="5"/>
        <v>4.3665000000000002E-2</v>
      </c>
      <c r="H35" s="77">
        <f t="shared" si="5"/>
        <v>0.28659000000000001</v>
      </c>
      <c r="I35" s="77">
        <f t="shared" si="5"/>
        <v>6.1499999999999999E-2</v>
      </c>
      <c r="J35" s="77">
        <f t="shared" si="5"/>
        <v>1.2300000000000002E-3</v>
      </c>
      <c r="K35" s="77">
        <f t="shared" si="5"/>
        <v>6.1500000000000001E-3</v>
      </c>
      <c r="L35" s="77">
        <f t="shared" si="5"/>
        <v>2.6321999999999998E-2</v>
      </c>
      <c r="M35" s="77">
        <f t="shared" si="5"/>
        <v>6.3222E-2</v>
      </c>
      <c r="N35" s="77">
        <f t="shared" si="5"/>
        <v>0</v>
      </c>
      <c r="O35" s="77">
        <f t="shared" si="5"/>
        <v>0</v>
      </c>
      <c r="P35" s="77">
        <f t="shared" si="5"/>
        <v>50.922000000000004</v>
      </c>
      <c r="Q35" s="77">
        <f t="shared" si="10"/>
        <v>70.417500000000004</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DJ6</v>
      </c>
      <c r="B36" s="15">
        <v>123</v>
      </c>
      <c r="C36" s="77">
        <f t="shared" si="6"/>
        <v>209.10000000000002</v>
      </c>
      <c r="D36" s="77">
        <f t="shared" si="7"/>
        <v>56.640393000000003</v>
      </c>
      <c r="E36" s="77">
        <f t="shared" si="8"/>
        <v>30.532290000000003</v>
      </c>
      <c r="F36" s="77">
        <f t="shared" si="9"/>
        <v>10.706534999999999</v>
      </c>
      <c r="G36" s="77">
        <f t="shared" si="5"/>
        <v>4.3665000000000002E-2</v>
      </c>
      <c r="H36" s="77">
        <f t="shared" si="5"/>
        <v>0.28659000000000001</v>
      </c>
      <c r="I36" s="77">
        <f t="shared" si="5"/>
        <v>6.1499999999999999E-2</v>
      </c>
      <c r="J36" s="77">
        <f t="shared" si="5"/>
        <v>1.2300000000000002E-3</v>
      </c>
      <c r="K36" s="77">
        <f t="shared" si="5"/>
        <v>6.1500000000000001E-3</v>
      </c>
      <c r="L36" s="77">
        <f t="shared" si="5"/>
        <v>2.6321999999999998E-2</v>
      </c>
      <c r="M36" s="77">
        <f t="shared" si="5"/>
        <v>6.3222E-2</v>
      </c>
      <c r="N36" s="77">
        <f t="shared" si="5"/>
        <v>0</v>
      </c>
      <c r="O36" s="77">
        <f t="shared" si="5"/>
        <v>0</v>
      </c>
      <c r="P36" s="77">
        <f t="shared" si="5"/>
        <v>50.922000000000004</v>
      </c>
      <c r="Q36" s="77">
        <f t="shared" si="10"/>
        <v>70.417500000000004</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DJ7</v>
      </c>
      <c r="B37" s="15">
        <v>123</v>
      </c>
      <c r="C37" s="77">
        <f t="shared" si="6"/>
        <v>209.10000000000002</v>
      </c>
      <c r="D37" s="77">
        <f t="shared" si="7"/>
        <v>56.640393000000003</v>
      </c>
      <c r="E37" s="77">
        <f t="shared" si="8"/>
        <v>30.532290000000003</v>
      </c>
      <c r="F37" s="77">
        <f t="shared" si="9"/>
        <v>10.706534999999999</v>
      </c>
      <c r="G37" s="77">
        <f t="shared" si="5"/>
        <v>4.3665000000000002E-2</v>
      </c>
      <c r="H37" s="77">
        <f t="shared" si="5"/>
        <v>0.28659000000000001</v>
      </c>
      <c r="I37" s="77">
        <f t="shared" si="5"/>
        <v>6.1499999999999999E-2</v>
      </c>
      <c r="J37" s="77">
        <f t="shared" si="5"/>
        <v>1.2300000000000002E-3</v>
      </c>
      <c r="K37" s="77">
        <f t="shared" si="5"/>
        <v>6.1500000000000001E-3</v>
      </c>
      <c r="L37" s="77">
        <f t="shared" si="5"/>
        <v>2.6321999999999998E-2</v>
      </c>
      <c r="M37" s="77">
        <f t="shared" si="5"/>
        <v>6.3222E-2</v>
      </c>
      <c r="N37" s="77">
        <f t="shared" si="5"/>
        <v>0</v>
      </c>
      <c r="O37" s="77">
        <f t="shared" si="5"/>
        <v>0</v>
      </c>
      <c r="P37" s="77">
        <f t="shared" si="5"/>
        <v>50.922000000000004</v>
      </c>
      <c r="Q37" s="77">
        <f t="shared" si="10"/>
        <v>70.417500000000004</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DJ8</v>
      </c>
      <c r="B38" s="15">
        <v>123</v>
      </c>
      <c r="C38" s="77">
        <f t="shared" si="6"/>
        <v>209.10000000000002</v>
      </c>
      <c r="D38" s="77">
        <f t="shared" si="7"/>
        <v>56.640393000000003</v>
      </c>
      <c r="E38" s="77">
        <f t="shared" si="8"/>
        <v>30.532290000000003</v>
      </c>
      <c r="F38" s="77">
        <f t="shared" si="9"/>
        <v>10.706534999999999</v>
      </c>
      <c r="G38" s="77">
        <f t="shared" si="5"/>
        <v>4.3665000000000002E-2</v>
      </c>
      <c r="H38" s="77">
        <f t="shared" si="5"/>
        <v>0.28659000000000001</v>
      </c>
      <c r="I38" s="77">
        <f t="shared" si="5"/>
        <v>6.1499999999999999E-2</v>
      </c>
      <c r="J38" s="77">
        <f t="shared" si="5"/>
        <v>1.2300000000000002E-3</v>
      </c>
      <c r="K38" s="77">
        <f t="shared" si="5"/>
        <v>6.1500000000000001E-3</v>
      </c>
      <c r="L38" s="77">
        <f t="shared" si="5"/>
        <v>2.6321999999999998E-2</v>
      </c>
      <c r="M38" s="77">
        <f t="shared" si="5"/>
        <v>6.3222E-2</v>
      </c>
      <c r="N38" s="77">
        <f t="shared" si="5"/>
        <v>0</v>
      </c>
      <c r="O38" s="77">
        <f t="shared" si="5"/>
        <v>0</v>
      </c>
      <c r="P38" s="77">
        <f t="shared" si="5"/>
        <v>50.922000000000004</v>
      </c>
      <c r="Q38" s="77">
        <f t="shared" si="10"/>
        <v>70.417500000000004</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Sandy Loam I Grass</v>
      </c>
      <c r="C58" s="13" t="str">
        <f>D16&amp;" I "&amp;(VLOOKUP(D14,Table24567[],6,FALSE))</f>
        <v>Sandy Loam I Grass</v>
      </c>
      <c r="D58" s="13" t="str">
        <f>E16&amp;" I "&amp;(VLOOKUP(E14,Table24567[],6,FALSE))</f>
        <v>Sandy Loam I Grass</v>
      </c>
      <c r="E58" s="13" t="str">
        <f>F16&amp;" I "&amp;(VLOOKUP(F14,Table24567[],6,FALSE))</f>
        <v>Sandy Loam I Grass</v>
      </c>
      <c r="F58" s="13" t="str">
        <f>G16&amp;" I "&amp;(VLOOKUP(G14,Table24567[],6,FALSE))</f>
        <v>Sandy Loam I Grass</v>
      </c>
      <c r="G58" s="13" t="str">
        <f>H16&amp;" I "&amp;(VLOOKUP(H14,Table24567[],6,FALSE))</f>
        <v>Sandy Loam I Grass</v>
      </c>
      <c r="H58" s="13" t="str">
        <f>I16&amp;" I "&amp;(VLOOKUP(I14,Table24567[],6,FALSE))</f>
        <v>Sandy Loam I Grass</v>
      </c>
      <c r="I58" s="13" t="str">
        <f>J16&amp;" I "&amp;(VLOOKUP(J14,Table24567[],6,FALSE))</f>
        <v>Sandy Loam I Grass</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123</v>
      </c>
      <c r="C62" s="77">
        <f>B32</f>
        <v>123</v>
      </c>
      <c r="D62" s="77">
        <f>B33</f>
        <v>123</v>
      </c>
      <c r="E62" s="77">
        <f>B34</f>
        <v>123</v>
      </c>
      <c r="F62" s="77">
        <f>B35</f>
        <v>123</v>
      </c>
      <c r="G62" s="77">
        <f>B36</f>
        <v>123</v>
      </c>
      <c r="H62" s="77">
        <f>B37</f>
        <v>123</v>
      </c>
      <c r="I62" s="77">
        <f>B38</f>
        <v>123</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PAN-019538</v>
      </c>
      <c r="D1" s="141"/>
      <c r="E1" s="93" t="s">
        <v>45</v>
      </c>
      <c r="F1" s="39">
        <f>Secanim!F1</f>
        <v>18.100000000000001</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EPR-KP3594VE</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 xml:space="preserve">Trade Effluent Services Limited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Secanim!C4:D4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Secanim!C8</f>
        <v>DJ1</v>
      </c>
      <c r="D8" s="60" t="str">
        <f>Secanim!D8</f>
        <v>DJ2</v>
      </c>
      <c r="E8" s="60" t="str">
        <f>Secanim!E8</f>
        <v>DJ3</v>
      </c>
      <c r="F8" s="60" t="str">
        <f>Secanim!F8</f>
        <v>DJ4</v>
      </c>
      <c r="G8" s="60" t="str">
        <f>Secanim!G8</f>
        <v>DJ5</v>
      </c>
      <c r="H8" s="60" t="str">
        <f>Secanim!H8</f>
        <v>DJ6</v>
      </c>
      <c r="I8" s="60" t="str">
        <f>Secanim!I8</f>
        <v>DJ7</v>
      </c>
      <c r="J8" s="60" t="str">
        <f>Secanim!J8</f>
        <v>DJ8</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6.6</v>
      </c>
      <c r="D10" s="60">
        <f>Secanim!D10</f>
        <v>5.7</v>
      </c>
      <c r="E10" s="60">
        <f>Secanim!E10</f>
        <v>6.1</v>
      </c>
      <c r="F10" s="60">
        <f>Secanim!F10</f>
        <v>5.2</v>
      </c>
      <c r="G10" s="60">
        <f>Secanim!G10</f>
        <v>5.3</v>
      </c>
      <c r="H10" s="60">
        <f>Secanim!H10</f>
        <v>5.5</v>
      </c>
      <c r="I10" s="60">
        <f>Secanim!I10</f>
        <v>5.4</v>
      </c>
      <c r="J10" s="60">
        <f>Secanim!J10</f>
        <v>5.6</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0</v>
      </c>
      <c r="D11" s="60">
        <f>Secanim!D11</f>
        <v>1</v>
      </c>
      <c r="E11" s="60">
        <f>Secanim!E11</f>
        <v>0</v>
      </c>
      <c r="F11" s="60">
        <f>Secanim!F11</f>
        <v>0</v>
      </c>
      <c r="G11" s="60">
        <f>Secanim!G11</f>
        <v>0</v>
      </c>
      <c r="H11" s="60">
        <f>Secanim!H11</f>
        <v>0</v>
      </c>
      <c r="I11" s="60">
        <f>Secanim!I11</f>
        <v>0</v>
      </c>
      <c r="J11" s="60">
        <f>Secanim!J11</f>
        <v>1</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Secanim!C12</f>
        <v>1</v>
      </c>
      <c r="D12" s="60">
        <f>Secanim!D12</f>
        <v>2</v>
      </c>
      <c r="E12" s="60">
        <f>Secanim!E12</f>
        <v>2</v>
      </c>
      <c r="F12" s="60">
        <f>Secanim!F12</f>
        <v>3</v>
      </c>
      <c r="G12" s="60">
        <f>Secanim!G12</f>
        <v>2</v>
      </c>
      <c r="H12" s="60">
        <f>Secanim!H12</f>
        <v>2</v>
      </c>
      <c r="I12" s="60">
        <f>Secanim!I12</f>
        <v>2</v>
      </c>
      <c r="J12" s="60">
        <f>Secanim!J12</f>
        <v>2</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2</v>
      </c>
      <c r="D13" s="60">
        <f>Secanim!D13</f>
        <v>2</v>
      </c>
      <c r="E13" s="60">
        <f>Secanim!E13</f>
        <v>2</v>
      </c>
      <c r="F13" s="60">
        <f>Secanim!F13</f>
        <v>2</v>
      </c>
      <c r="G13" s="60">
        <f>Secanim!G13</f>
        <v>2</v>
      </c>
      <c r="H13" s="60">
        <f>Secanim!H13</f>
        <v>2</v>
      </c>
      <c r="I13" s="60">
        <f>Secanim!I13</f>
        <v>2</v>
      </c>
      <c r="J13" s="60">
        <f>Secanim!J13</f>
        <v>2</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Sandy Loam</v>
      </c>
      <c r="D16" s="103" t="str">
        <f>Secanim!D16</f>
        <v>Sandy Loam</v>
      </c>
      <c r="E16" s="103" t="str">
        <f>Secanim!E16</f>
        <v>Sandy Loam</v>
      </c>
      <c r="F16" s="103" t="str">
        <f>Secanim!F16</f>
        <v>Sandy Loam</v>
      </c>
      <c r="G16" s="103" t="str">
        <f>Secanim!G16</f>
        <v>Sandy Loam</v>
      </c>
      <c r="H16" s="103" t="str">
        <f>Secanim!H16</f>
        <v>Sandy Loam</v>
      </c>
      <c r="I16" s="103" t="str">
        <f>Secanim!I16</f>
        <v>Sandy Loam</v>
      </c>
      <c r="J16" s="103" t="str">
        <f>Secanim!J16</f>
        <v>Sandy Loam</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DJ1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DJ2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DJ3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DJ4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DJ5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DJ6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DJ7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DJ8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DJ1</v>
      </c>
      <c r="C57" s="8" t="str">
        <f t="shared" ref="C57:U57" si="13">D8</f>
        <v>DJ2</v>
      </c>
      <c r="D57" s="8" t="str">
        <f t="shared" si="13"/>
        <v>DJ3</v>
      </c>
      <c r="E57" s="8" t="str">
        <f t="shared" si="13"/>
        <v>DJ4</v>
      </c>
      <c r="F57" s="8" t="str">
        <f t="shared" si="13"/>
        <v>DJ5</v>
      </c>
      <c r="G57" s="8" t="str">
        <f t="shared" si="13"/>
        <v>DJ6</v>
      </c>
      <c r="H57" s="8" t="str">
        <f t="shared" si="13"/>
        <v>DJ7</v>
      </c>
      <c r="I57" s="8" t="str">
        <f t="shared" si="13"/>
        <v>DJ8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Sandy Loam I Grass</v>
      </c>
      <c r="C58" s="13" t="str">
        <f>D16&amp;" I "&amp;(VLOOKUP(D14,Table2456[],6,FALSE))</f>
        <v>Sandy Loam I Grass</v>
      </c>
      <c r="D58" s="13" t="str">
        <f>E16&amp;" I "&amp;(VLOOKUP(E14,Table2456[],6,FALSE))</f>
        <v>Sandy Loam I Grass</v>
      </c>
      <c r="E58" s="13" t="str">
        <f>F16&amp;" I "&amp;(VLOOKUP(F14,Table2456[],6,FALSE))</f>
        <v>Sandy Loam I Grass</v>
      </c>
      <c r="F58" s="13" t="str">
        <f>G16&amp;" I "&amp;(VLOOKUP(G14,Table2456[],6,FALSE))</f>
        <v>Sandy Loam I Grass</v>
      </c>
      <c r="G58" s="13" t="str">
        <f>H16&amp;" I "&amp;(VLOOKUP(H14,Table2456[],6,FALSE))</f>
        <v>Sandy Loam I Grass</v>
      </c>
      <c r="H58" s="13" t="str">
        <f>I16&amp;" I "&amp;(VLOOKUP(I14,Table2456[],6,FALSE))</f>
        <v>Sandy Loam I Grass</v>
      </c>
      <c r="I58" s="13" t="str">
        <f>J16&amp;" I "&amp;(VLOOKUP(J14,Table2456[],6,FALSE))</f>
        <v>Sandy Loam I Grass</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6.6</v>
      </c>
      <c r="C60" s="76">
        <f t="shared" ref="C60:U60" si="14">D10</f>
        <v>5.7</v>
      </c>
      <c r="D60" s="76">
        <f t="shared" si="14"/>
        <v>6.1</v>
      </c>
      <c r="E60" s="76">
        <f t="shared" si="14"/>
        <v>5.2</v>
      </c>
      <c r="F60" s="76">
        <f t="shared" si="14"/>
        <v>5.3</v>
      </c>
      <c r="G60" s="76">
        <f t="shared" si="14"/>
        <v>5.5</v>
      </c>
      <c r="H60" s="76">
        <f t="shared" si="14"/>
        <v>5.4</v>
      </c>
      <c r="I60" s="76">
        <f t="shared" si="14"/>
        <v>5.6</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-1.9999999999999973</v>
      </c>
      <c r="C64" s="77">
        <f t="shared" ref="C64:U64" si="17">(C59-C60)*C61</f>
        <v>2.5</v>
      </c>
      <c r="D64" s="77">
        <f t="shared" si="17"/>
        <v>0.50000000000000266</v>
      </c>
      <c r="E64" s="77">
        <f t="shared" si="17"/>
        <v>5</v>
      </c>
      <c r="F64" s="77">
        <f t="shared" si="17"/>
        <v>4.5000000000000018</v>
      </c>
      <c r="G64" s="77">
        <f t="shared" si="17"/>
        <v>3.5000000000000009</v>
      </c>
      <c r="H64" s="77">
        <f t="shared" si="17"/>
        <v>3.9999999999999991</v>
      </c>
      <c r="I64" s="77">
        <f t="shared" si="17"/>
        <v>3.0000000000000027</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1.9999999999999973</v>
      </c>
      <c r="C65" s="77">
        <f t="shared" ref="C65:U65" si="18">C63-C64</f>
        <v>-2.5</v>
      </c>
      <c r="D65" s="77">
        <f t="shared" si="18"/>
        <v>-0.50000000000000266</v>
      </c>
      <c r="E65" s="77">
        <f t="shared" si="18"/>
        <v>-5</v>
      </c>
      <c r="F65" s="77">
        <f t="shared" si="18"/>
        <v>-4.5000000000000018</v>
      </c>
      <c r="G65" s="77">
        <f t="shared" si="18"/>
        <v>-3.5000000000000009</v>
      </c>
      <c r="H65" s="77">
        <f t="shared" si="18"/>
        <v>-3.9999999999999991</v>
      </c>
      <c r="I65" s="77">
        <f t="shared" si="18"/>
        <v>-3.0000000000000027</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5" x14ac:dyDescent="0.2">
      <c r="A2" s="144"/>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
      <c r="A3" s="36">
        <v>1</v>
      </c>
      <c r="B3" s="33">
        <f>Secanim!B31</f>
        <v>30</v>
      </c>
      <c r="C3" s="33">
        <f>Secanim!C31</f>
        <v>107.99999999999999</v>
      </c>
      <c r="D3" s="33">
        <f>Secanim!D31</f>
        <v>80.345370000000003</v>
      </c>
      <c r="E3" s="33">
        <f>Secanim!E31</f>
        <v>7.0853999999999999</v>
      </c>
      <c r="F3" s="33">
        <f>Secanim!F31</f>
        <v>2.2333259999999999</v>
      </c>
      <c r="G3" s="33">
        <f>Secanim!G31</f>
        <v>9.9599999999999994E-2</v>
      </c>
      <c r="H3" s="33">
        <f>Secanim!H31</f>
        <v>0.64500000000000002</v>
      </c>
      <c r="I3" s="33">
        <f>Secanim!I31</f>
        <v>4.5600000000000002E-2</v>
      </c>
      <c r="J3" s="33">
        <f>Secanim!J31</f>
        <v>2.1000000000000003E-3</v>
      </c>
      <c r="K3" s="33">
        <f>Secanim!K31</f>
        <v>1.5E-3</v>
      </c>
      <c r="L3" s="33">
        <f>Secanim!L31</f>
        <v>2.1899999999999999E-2</v>
      </c>
      <c r="M3" s="33">
        <f>Secanim!M31</f>
        <v>4.2599999999999999E-2</v>
      </c>
      <c r="N3" s="33">
        <f>Secanim!N31</f>
        <v>0</v>
      </c>
      <c r="O3" s="33">
        <f>Secanim!O31</f>
        <v>0</v>
      </c>
      <c r="P3" s="33">
        <f>Secanim!P31</f>
        <v>23.34</v>
      </c>
      <c r="Q3" s="33">
        <f>Secanim!Q31</f>
        <v>44.624999999999993</v>
      </c>
      <c r="R3" s="33">
        <f>Secanim!R31</f>
        <v>0</v>
      </c>
      <c r="S3" s="33">
        <f>Secanim!S31</f>
        <v>0</v>
      </c>
      <c r="T3" s="33">
        <f>Secanim!T31</f>
        <v>0</v>
      </c>
      <c r="U3" s="33">
        <f>Secanim!U31</f>
        <v>0</v>
      </c>
    </row>
    <row r="4" spans="1:21" x14ac:dyDescent="0.2">
      <c r="A4" s="36">
        <v>2</v>
      </c>
      <c r="B4" s="33">
        <f>'Croda Goole'!B31</f>
        <v>79</v>
      </c>
      <c r="C4" s="33">
        <f>'Croda Goole'!C31</f>
        <v>173.8</v>
      </c>
      <c r="D4" s="33">
        <f>'Croda Goole'!D31</f>
        <v>95.200214000000003</v>
      </c>
      <c r="E4" s="33">
        <f>'Croda Goole'!E31</f>
        <v>20.371729999999999</v>
      </c>
      <c r="F4" s="33">
        <f>'Croda Goole'!F31</f>
        <v>12.050343999999999</v>
      </c>
      <c r="G4" s="33">
        <f>'Croda Goole'!G31</f>
        <v>7.7420000000000003E-2</v>
      </c>
      <c r="H4" s="33">
        <f>'Croda Goole'!H31</f>
        <v>0.87690000000000001</v>
      </c>
      <c r="I4" s="33">
        <f>'Croda Goole'!I31</f>
        <v>3.95E-2</v>
      </c>
      <c r="J4" s="33">
        <f>'Croda Goole'!J31</f>
        <v>7.9000000000000001E-4</v>
      </c>
      <c r="K4" s="33">
        <f>'Croda Goole'!K31</f>
        <v>3.9500000000000004E-3</v>
      </c>
      <c r="L4" s="33">
        <f>'Croda Goole'!L31</f>
        <v>5.1587000000000001E-2</v>
      </c>
      <c r="M4" s="33">
        <f>'Croda Goole'!M31</f>
        <v>0.40369000000000005</v>
      </c>
      <c r="N4" s="33">
        <f>'Croda Goole'!N31</f>
        <v>0</v>
      </c>
      <c r="O4" s="33">
        <f>'Croda Goole'!O31</f>
        <v>0</v>
      </c>
      <c r="P4" s="33">
        <f>'Croda Goole'!P31</f>
        <v>345.46700000000004</v>
      </c>
      <c r="Q4" s="33">
        <f>'Croda Goole'!Q31</f>
        <v>413.76250000000005</v>
      </c>
      <c r="R4" s="33">
        <f>'Croda Goole'!R31</f>
        <v>0</v>
      </c>
      <c r="S4" s="33">
        <f>'Croda Goole'!S31</f>
        <v>0</v>
      </c>
      <c r="T4" s="33">
        <f>'Croda Goole'!T31</f>
        <v>0</v>
      </c>
      <c r="U4" s="33">
        <f>'Croda Goole'!U31</f>
        <v>0</v>
      </c>
    </row>
    <row r="5" spans="1:21" x14ac:dyDescent="0.2">
      <c r="A5" s="36">
        <v>3</v>
      </c>
      <c r="B5" s="33">
        <f>'Croda Widnes'!B31</f>
        <v>58</v>
      </c>
      <c r="C5" s="33">
        <f>'Croda Widnes'!C31</f>
        <v>208.79999999999998</v>
      </c>
      <c r="D5" s="33">
        <f>'Croda Widnes'!D31</f>
        <v>90.489918000000003</v>
      </c>
      <c r="E5" s="33">
        <f>'Croda Widnes'!E31</f>
        <v>19.219750000000001</v>
      </c>
      <c r="F5" s="33">
        <f>'Croda Widnes'!F31</f>
        <v>20.386767999999996</v>
      </c>
      <c r="G5" s="33">
        <f>'Croda Widnes'!G31</f>
        <v>8.584E-2</v>
      </c>
      <c r="H5" s="33">
        <f>'Croda Widnes'!H31</f>
        <v>0.64959999999999996</v>
      </c>
      <c r="I5" s="33">
        <f>'Croda Widnes'!I31</f>
        <v>2.9000000000000001E-2</v>
      </c>
      <c r="J5" s="33">
        <f>'Croda Widnes'!J31</f>
        <v>9.2800000000000001E-4</v>
      </c>
      <c r="K5" s="33">
        <f>'Croda Widnes'!K31</f>
        <v>2.9000000000000002E-3</v>
      </c>
      <c r="L5" s="33">
        <f>'Croda Widnes'!L31</f>
        <v>1.8444000000000002E-2</v>
      </c>
      <c r="M5" s="33">
        <f>'Croda Widnes'!M31</f>
        <v>3.0914000000000004E-2</v>
      </c>
      <c r="N5" s="33">
        <f>'Croda Widnes'!N31</f>
        <v>0</v>
      </c>
      <c r="O5" s="33">
        <f>'Croda Widnes'!O31</f>
        <v>0</v>
      </c>
      <c r="P5" s="33">
        <f>'Croda Widnes'!P31</f>
        <v>24.07</v>
      </c>
      <c r="Q5" s="33">
        <f>'Croda Widnes'!Q31</f>
        <v>103.095</v>
      </c>
      <c r="R5" s="33">
        <f>'Croda Widnes'!R31</f>
        <v>0</v>
      </c>
      <c r="S5" s="33">
        <f>'Croda Widnes'!S31</f>
        <v>0</v>
      </c>
      <c r="T5" s="33">
        <f>'Croda Widnes'!T31</f>
        <v>0</v>
      </c>
      <c r="U5" s="33">
        <f>'Croda Widnes'!U31</f>
        <v>0</v>
      </c>
    </row>
    <row r="6" spans="1:21" x14ac:dyDescent="0.2">
      <c r="A6" s="36">
        <v>4</v>
      </c>
      <c r="B6" s="33">
        <f>Maelor!B31</f>
        <v>55</v>
      </c>
      <c r="C6" s="33">
        <f>Maelor!C31</f>
        <v>203.5</v>
      </c>
      <c r="D6" s="33">
        <f>Maelor!D31</f>
        <v>93.117694999999983</v>
      </c>
      <c r="E6" s="33">
        <f>Maelor!E31</f>
        <v>11.465575000000001</v>
      </c>
      <c r="F6" s="33">
        <f>Maelor!F31</f>
        <v>20.973700000000001</v>
      </c>
      <c r="G6" s="33">
        <f>Maelor!G31</f>
        <v>0.17820000000000003</v>
      </c>
      <c r="H6" s="33">
        <f>Maelor!H31</f>
        <v>0.89650000000000007</v>
      </c>
      <c r="I6" s="33">
        <f>Maelor!I31</f>
        <v>2.75E-2</v>
      </c>
      <c r="J6" s="33">
        <f>Maelor!J31</f>
        <v>5.5000000000000003E-4</v>
      </c>
      <c r="K6" s="33">
        <f>Maelor!K31</f>
        <v>2.7500000000000003E-3</v>
      </c>
      <c r="L6" s="33">
        <f>Maelor!L31</f>
        <v>4.8344999999999999E-2</v>
      </c>
      <c r="M6" s="33">
        <f>Maelor!M31</f>
        <v>5.0985000000000003E-2</v>
      </c>
      <c r="N6" s="33">
        <f>Maelor!N31</f>
        <v>0</v>
      </c>
      <c r="O6" s="33">
        <f>Maelor!O31</f>
        <v>0</v>
      </c>
      <c r="P6" s="33">
        <f>Maelor!P31</f>
        <v>40.424999999999997</v>
      </c>
      <c r="Q6" s="33">
        <f>Maelor!Q31</f>
        <v>80.024999999999991</v>
      </c>
      <c r="R6" s="33">
        <f>Maelor!R31</f>
        <v>0</v>
      </c>
      <c r="S6" s="33">
        <f>Maelor!S31</f>
        <v>0</v>
      </c>
      <c r="T6" s="33">
        <f>Maelor!T31</f>
        <v>0</v>
      </c>
      <c r="U6" s="33">
        <f>Maelor!U31</f>
        <v>0</v>
      </c>
    </row>
    <row r="7" spans="1:21" x14ac:dyDescent="0.2">
      <c r="A7" s="36">
        <v>5</v>
      </c>
      <c r="B7" s="33">
        <f>Encirc!B31</f>
        <v>24</v>
      </c>
      <c r="C7" s="33">
        <f>Encirc!C31</f>
        <v>171.47784000000001</v>
      </c>
      <c r="D7" s="33">
        <f>Encirc!D31</f>
        <v>89.615672400000008</v>
      </c>
      <c r="E7" s="33">
        <f>Encirc!E31</f>
        <v>18.471927000000004</v>
      </c>
      <c r="F7" s="33">
        <f>Encirc!F31</f>
        <v>9.0796987680000001</v>
      </c>
      <c r="G7" s="33">
        <f>Encirc!G31</f>
        <v>6.2797680000000008E-2</v>
      </c>
      <c r="H7" s="33">
        <f>Encirc!H31</f>
        <v>0.7125528000000001</v>
      </c>
      <c r="I7" s="33">
        <f>Encirc!I31</f>
        <v>8.9439120000000018E-3</v>
      </c>
      <c r="J7" s="33">
        <f>Encirc!J31</f>
        <v>2.1144000000000005E-4</v>
      </c>
      <c r="K7" s="33">
        <f>Encirc!K31</f>
        <v>2.1144000000000005E-4</v>
      </c>
      <c r="L7" s="33">
        <f>Encirc!L31</f>
        <v>4.4613840000000009E-2</v>
      </c>
      <c r="M7" s="33">
        <f>Encirc!M31</f>
        <v>0.13870463999999999</v>
      </c>
      <c r="N7" s="33">
        <f>Encirc!N31</f>
        <v>0</v>
      </c>
      <c r="O7" s="33">
        <f>Encirc!O31</f>
        <v>0</v>
      </c>
      <c r="P7" s="33">
        <f>Encirc!P31</f>
        <v>21.989760000000004</v>
      </c>
      <c r="Q7" s="33">
        <f>Encirc!Q31</f>
        <v>89.333400000000012</v>
      </c>
      <c r="R7" s="33">
        <f>Encirc!R31</f>
        <v>0</v>
      </c>
      <c r="S7" s="33">
        <f>Encirc!S31</f>
        <v>0</v>
      </c>
      <c r="T7" s="33">
        <f>Encirc!T31</f>
        <v>0</v>
      </c>
      <c r="U7" s="33">
        <f>Encirc!U31</f>
        <v>0</v>
      </c>
    </row>
    <row r="8" spans="1:21" x14ac:dyDescent="0.2">
      <c r="A8" s="36">
        <v>6</v>
      </c>
      <c r="B8" s="33">
        <f>'Beechdean Ice cream'!B31</f>
        <v>250</v>
      </c>
      <c r="C8" s="33">
        <f>'Beechdean Ice cream'!C31</f>
        <v>150</v>
      </c>
      <c r="D8" s="33">
        <f>'Beechdean Ice cream'!D31</f>
        <v>56.587699999999998</v>
      </c>
      <c r="E8" s="33">
        <f>'Beechdean Ice cream'!E31</f>
        <v>50.911250000000003</v>
      </c>
      <c r="F8" s="33">
        <f>'Beechdean Ice cream'!F31</f>
        <v>10.6112</v>
      </c>
      <c r="G8" s="33">
        <f>'Beechdean Ice cream'!G31</f>
        <v>5.525E-2</v>
      </c>
      <c r="H8" s="33">
        <f>'Beechdean Ice cream'!H31</f>
        <v>0.25</v>
      </c>
      <c r="I8" s="33">
        <f>'Beechdean Ice cream'!I31</f>
        <v>0.125</v>
      </c>
      <c r="J8" s="33">
        <f>'Beechdean Ice cream'!J31</f>
        <v>2.5000000000000001E-3</v>
      </c>
      <c r="K8" s="33">
        <f>'Beechdean Ice cream'!K31</f>
        <v>1.2500000000000001E-2</v>
      </c>
      <c r="L8" s="33">
        <f>'Beechdean Ice cream'!L31</f>
        <v>0.05</v>
      </c>
      <c r="M8" s="33">
        <f>'Beechdean Ice cream'!M31</f>
        <v>0.05</v>
      </c>
      <c r="N8" s="33">
        <f>'Beechdean Ice cream'!N31</f>
        <v>0</v>
      </c>
      <c r="O8" s="33">
        <f>'Beechdean Ice cream'!O31</f>
        <v>0</v>
      </c>
      <c r="P8" s="33">
        <f>'Beechdean Ice cream'!P31</f>
        <v>84.25</v>
      </c>
      <c r="Q8" s="33">
        <f>'Beechdean Ice cream'!Q31</f>
        <v>48.6875</v>
      </c>
      <c r="R8" s="33">
        <f>'Beechdean Ice cream'!R31</f>
        <v>0</v>
      </c>
      <c r="S8" s="33">
        <f>'Beechdean Ice cream'!S31</f>
        <v>0</v>
      </c>
      <c r="T8" s="33">
        <f>'Beechdean Ice cream'!T31</f>
        <v>0</v>
      </c>
      <c r="U8" s="33">
        <f>'Beechdean Ice cream'!U31</f>
        <v>0</v>
      </c>
    </row>
    <row r="9" spans="1:21" x14ac:dyDescent="0.2">
      <c r="A9" s="36">
        <v>7</v>
      </c>
      <c r="B9" s="33">
        <f>'PENDERYN DISTILLERY'!B31</f>
        <v>250</v>
      </c>
      <c r="C9" s="33">
        <f>'PENDERYN DISTILLERY'!C31</f>
        <v>100</v>
      </c>
      <c r="D9" s="33">
        <f>'PENDERYN DISTILLERY'!D31</f>
        <v>80.185000000000002</v>
      </c>
      <c r="E9" s="33">
        <f>'PENDERYN DISTILLERY'!E31</f>
        <v>84.952500000000001</v>
      </c>
      <c r="F9" s="33">
        <f>'PENDERYN DISTILLERY'!F31</f>
        <v>14.258799999999999</v>
      </c>
      <c r="G9" s="33">
        <f>'PENDERYN DISTILLERY'!G31</f>
        <v>0.40749999999999997</v>
      </c>
      <c r="H9" s="33">
        <f>'PENDERYN DISTILLERY'!H31</f>
        <v>0.125</v>
      </c>
      <c r="I9" s="33">
        <f>'PENDERYN DISTILLERY'!I31</f>
        <v>0.125</v>
      </c>
      <c r="J9" s="33">
        <f>'PENDERYN DISTILLERY'!J31</f>
        <v>2.5000000000000001E-3</v>
      </c>
      <c r="K9" s="33">
        <f>'PENDERYN DISTILLERY'!K31</f>
        <v>1.2500000000000001E-2</v>
      </c>
      <c r="L9" s="33">
        <f>'PENDERYN DISTILLERY'!L31</f>
        <v>0.05</v>
      </c>
      <c r="M9" s="33">
        <f>'PENDERYN DISTILLERY'!M31</f>
        <v>0.05</v>
      </c>
      <c r="N9" s="33">
        <f>'PENDERYN DISTILLERY'!N31</f>
        <v>0</v>
      </c>
      <c r="O9" s="33">
        <f>'PENDERYN DISTILLERY'!O31</f>
        <v>0</v>
      </c>
      <c r="P9" s="33">
        <f>'PENDERYN DISTILLERY'!P31</f>
        <v>222</v>
      </c>
      <c r="Q9" s="33">
        <f>'PENDERYN DISTILLERY'!Q31</f>
        <v>27.8125</v>
      </c>
      <c r="R9" s="33">
        <f>'PENDERYN DISTILLERY'!R31</f>
        <v>0</v>
      </c>
      <c r="S9" s="33">
        <f>'PENDERYN DISTILLERY'!S31</f>
        <v>0</v>
      </c>
      <c r="T9" s="33">
        <f>'PENDERYN DISTILLERY'!T31</f>
        <v>0</v>
      </c>
      <c r="U9" s="33">
        <f>'PENDERYN DISTILLERY'!U31</f>
        <v>0</v>
      </c>
    </row>
    <row r="10" spans="1:21" x14ac:dyDescent="0.2">
      <c r="A10" s="36">
        <v>8</v>
      </c>
      <c r="B10" s="33">
        <f>Kelloggs!B31</f>
        <v>75</v>
      </c>
      <c r="C10" s="33">
        <f>Kelloggs!C31</f>
        <v>240</v>
      </c>
      <c r="D10" s="33">
        <f>Kelloggs!D31</f>
        <v>90.895425000000003</v>
      </c>
      <c r="E10" s="33">
        <f>Kelloggs!E31</f>
        <v>22.7745</v>
      </c>
      <c r="F10" s="33">
        <f>Kelloggs!F31</f>
        <v>8.0205750000000009</v>
      </c>
      <c r="G10" s="33">
        <f>Kelloggs!G31</f>
        <v>9.0749999999999997E-2</v>
      </c>
      <c r="H10" s="33">
        <f>Kelloggs!H31</f>
        <v>0.17475000000000002</v>
      </c>
      <c r="I10" s="33">
        <f>Kelloggs!I31</f>
        <v>3.7499999999999999E-2</v>
      </c>
      <c r="J10" s="33">
        <f>Kelloggs!J31</f>
        <v>7.5000000000000002E-4</v>
      </c>
      <c r="K10" s="33">
        <f>Kelloggs!K31</f>
        <v>3.7500000000000003E-3</v>
      </c>
      <c r="L10" s="33">
        <f>Kelloggs!L31</f>
        <v>1.5000000000000001E-2</v>
      </c>
      <c r="M10" s="33">
        <f>Kelloggs!M31</f>
        <v>3.5249999999999997E-2</v>
      </c>
      <c r="N10" s="33">
        <f>Kelloggs!N31</f>
        <v>0</v>
      </c>
      <c r="O10" s="33">
        <f>Kelloggs!O31</f>
        <v>0</v>
      </c>
      <c r="P10" s="33">
        <f>Kelloggs!P31</f>
        <v>4.6275000000000004</v>
      </c>
      <c r="Q10" s="33">
        <f>Kelloggs!Q31</f>
        <v>33.1875</v>
      </c>
      <c r="R10" s="33">
        <f>Kelloggs!R31</f>
        <v>0</v>
      </c>
      <c r="S10" s="33">
        <f>Kelloggs!S31</f>
        <v>0</v>
      </c>
      <c r="T10" s="33">
        <f>Kelloggs!T31</f>
        <v>0</v>
      </c>
      <c r="U10" s="33">
        <f>Kelloggs!U31</f>
        <v>0</v>
      </c>
    </row>
    <row r="11" spans="1:21" x14ac:dyDescent="0.2">
      <c r="A11" s="36">
        <v>9</v>
      </c>
      <c r="B11" s="33">
        <f>'Rowan Foods'!B31</f>
        <v>123</v>
      </c>
      <c r="C11" s="33">
        <f>'Rowan Foods'!C31</f>
        <v>209.10000000000002</v>
      </c>
      <c r="D11" s="33">
        <f>'Rowan Foods'!D31</f>
        <v>56.640393000000003</v>
      </c>
      <c r="E11" s="33">
        <f>'Rowan Foods'!E31</f>
        <v>30.532290000000003</v>
      </c>
      <c r="F11" s="33">
        <f>'Rowan Foods'!F31</f>
        <v>10.706534999999999</v>
      </c>
      <c r="G11" s="33">
        <f>'Rowan Foods'!G31</f>
        <v>4.3665000000000002E-2</v>
      </c>
      <c r="H11" s="33">
        <f>'Rowan Foods'!H31</f>
        <v>0.28659000000000001</v>
      </c>
      <c r="I11" s="33">
        <f>'Rowan Foods'!I31</f>
        <v>6.1499999999999999E-2</v>
      </c>
      <c r="J11" s="33">
        <f>'Rowan Foods'!J31</f>
        <v>1.2300000000000002E-3</v>
      </c>
      <c r="K11" s="33">
        <f>'Rowan Foods'!K31</f>
        <v>6.1500000000000001E-3</v>
      </c>
      <c r="L11" s="33">
        <f>'Rowan Foods'!L31</f>
        <v>2.6321999999999998E-2</v>
      </c>
      <c r="M11" s="33">
        <f>'Rowan Foods'!M31</f>
        <v>6.3222E-2</v>
      </c>
      <c r="N11" s="33">
        <f>'Rowan Foods'!N31</f>
        <v>0</v>
      </c>
      <c r="O11" s="33">
        <f>'Rowan Foods'!O31</f>
        <v>0</v>
      </c>
      <c r="P11" s="33">
        <f>'Rowan Foods'!P31</f>
        <v>50.922000000000004</v>
      </c>
      <c r="Q11" s="33">
        <f>'Rowan Foods'!Q31</f>
        <v>70.417500000000004</v>
      </c>
      <c r="R11" s="33">
        <f>'Rowan Foods'!R31</f>
        <v>0</v>
      </c>
      <c r="S11" s="33">
        <f>'Rowan Foods'!S31</f>
        <v>0</v>
      </c>
      <c r="T11" s="33">
        <f>'Rowan Foods'!T31</f>
        <v>0</v>
      </c>
      <c r="U11" s="33">
        <f>'Rowan Foods'!U31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944</v>
      </c>
      <c r="C13" s="81">
        <f t="shared" ref="C13:U13" si="0">SUM(C3:C12)</f>
        <v>1564.6778399999998</v>
      </c>
      <c r="D13" s="81">
        <f t="shared" si="0"/>
        <v>733.07738740000002</v>
      </c>
      <c r="E13" s="81">
        <f t="shared" si="0"/>
        <v>265.78492199999999</v>
      </c>
      <c r="F13" s="81">
        <f t="shared" si="0"/>
        <v>108.320946768</v>
      </c>
      <c r="G13" s="81">
        <f t="shared" si="0"/>
        <v>1.10102268</v>
      </c>
      <c r="H13" s="81">
        <f t="shared" si="0"/>
        <v>4.6168928000000014</v>
      </c>
      <c r="I13" s="81">
        <f t="shared" si="0"/>
        <v>0.49954391199999998</v>
      </c>
      <c r="J13" s="81">
        <f t="shared" si="0"/>
        <v>1.1559440000000002E-2</v>
      </c>
      <c r="K13" s="81">
        <f t="shared" si="0"/>
        <v>4.6211440000000006E-2</v>
      </c>
      <c r="L13" s="81">
        <f t="shared" si="0"/>
        <v>0.32621184000000003</v>
      </c>
      <c r="M13" s="81">
        <f t="shared" si="0"/>
        <v>0.86536564000000016</v>
      </c>
      <c r="N13" s="81">
        <f t="shared" si="0"/>
        <v>0</v>
      </c>
      <c r="O13" s="81">
        <f t="shared" si="0"/>
        <v>0</v>
      </c>
      <c r="P13" s="81">
        <f t="shared" si="0"/>
        <v>817.09126000000015</v>
      </c>
      <c r="Q13" s="81">
        <f t="shared" si="0"/>
        <v>910.94590000000005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5" x14ac:dyDescent="0.25">
      <c r="A2" s="145"/>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
      <c r="A3" s="36">
        <v>1</v>
      </c>
      <c r="B3" s="91"/>
      <c r="C3" s="33">
        <f>Secanim!B31</f>
        <v>30</v>
      </c>
      <c r="D3" s="33">
        <f>Secanim!C31</f>
        <v>107.99999999999999</v>
      </c>
      <c r="E3" s="33">
        <f>Secanim!D31</f>
        <v>80.345370000000003</v>
      </c>
      <c r="F3" s="33">
        <f>Secanim!E31</f>
        <v>7.0853999999999999</v>
      </c>
      <c r="G3" s="33">
        <f>Secanim!F31</f>
        <v>2.2333259999999999</v>
      </c>
      <c r="H3" s="33">
        <f>Secanim!G31</f>
        <v>9.9599999999999994E-2</v>
      </c>
      <c r="I3" s="33">
        <f>Secanim!H31</f>
        <v>0.64500000000000002</v>
      </c>
      <c r="J3" s="33">
        <f>Secanim!I31</f>
        <v>4.5600000000000002E-2</v>
      </c>
      <c r="K3" s="33">
        <f>Secanim!J31</f>
        <v>2.1000000000000003E-3</v>
      </c>
      <c r="L3" s="33">
        <f>Secanim!K31</f>
        <v>1.5E-3</v>
      </c>
      <c r="M3" s="33">
        <f>Secanim!L31</f>
        <v>2.1899999999999999E-2</v>
      </c>
      <c r="N3" s="33">
        <f>Secanim!M31</f>
        <v>4.2599999999999999E-2</v>
      </c>
      <c r="O3" s="33">
        <f>Secanim!N31</f>
        <v>0</v>
      </c>
      <c r="P3" s="33">
        <f>Secanim!O31</f>
        <v>0</v>
      </c>
      <c r="Q3" s="33">
        <f>Secanim!P31</f>
        <v>23.34</v>
      </c>
      <c r="R3" s="33">
        <f>Secanim!Q31</f>
        <v>44.624999999999993</v>
      </c>
      <c r="S3" s="33">
        <f>Secanim!R31</f>
        <v>0</v>
      </c>
      <c r="T3" s="33">
        <f>Secanim!S31</f>
        <v>0</v>
      </c>
      <c r="U3" s="33">
        <f>Secanim!T31</f>
        <v>0</v>
      </c>
      <c r="V3" s="33">
        <f>Secanim!U31</f>
        <v>0</v>
      </c>
    </row>
    <row r="4" spans="1:22" x14ac:dyDescent="0.2">
      <c r="A4" s="36">
        <v>2</v>
      </c>
      <c r="B4" s="91"/>
      <c r="C4" s="33">
        <f>'Croda Goole'!B31</f>
        <v>79</v>
      </c>
      <c r="D4" s="33">
        <f>'Croda Goole'!C31</f>
        <v>173.8</v>
      </c>
      <c r="E4" s="33">
        <f>'Croda Goole'!D31</f>
        <v>95.200214000000003</v>
      </c>
      <c r="F4" s="33">
        <f>'Croda Goole'!E31</f>
        <v>20.371729999999999</v>
      </c>
      <c r="G4" s="33">
        <f>'Croda Goole'!F31</f>
        <v>12.050343999999999</v>
      </c>
      <c r="H4" s="33">
        <f>'Croda Goole'!G31</f>
        <v>7.7420000000000003E-2</v>
      </c>
      <c r="I4" s="33">
        <f>'Croda Goole'!H31</f>
        <v>0.87690000000000001</v>
      </c>
      <c r="J4" s="33">
        <f>'Croda Goole'!I31</f>
        <v>3.95E-2</v>
      </c>
      <c r="K4" s="33">
        <f>'Croda Goole'!J31</f>
        <v>7.9000000000000001E-4</v>
      </c>
      <c r="L4" s="33">
        <f>'Croda Goole'!K31</f>
        <v>3.9500000000000004E-3</v>
      </c>
      <c r="M4" s="33">
        <f>'Croda Goole'!L31</f>
        <v>5.1587000000000001E-2</v>
      </c>
      <c r="N4" s="33">
        <f>'Croda Goole'!M31</f>
        <v>0.40369000000000005</v>
      </c>
      <c r="O4" s="33">
        <f>'Croda Goole'!N31</f>
        <v>0</v>
      </c>
      <c r="P4" s="33">
        <f>'Croda Goole'!O31</f>
        <v>0</v>
      </c>
      <c r="Q4" s="33">
        <f>'Croda Goole'!P31</f>
        <v>345.46700000000004</v>
      </c>
      <c r="R4" s="33">
        <f>'Croda Goole'!Q31</f>
        <v>413.76250000000005</v>
      </c>
      <c r="S4" s="33">
        <f>'Croda Goole'!R31</f>
        <v>0</v>
      </c>
      <c r="T4" s="33">
        <f>'Croda Goole'!S31</f>
        <v>0</v>
      </c>
      <c r="U4" s="33">
        <f>'Croda Goole'!T31</f>
        <v>0</v>
      </c>
      <c r="V4" s="33">
        <f>'Croda Goole'!U31</f>
        <v>0</v>
      </c>
    </row>
    <row r="5" spans="1:22" x14ac:dyDescent="0.2">
      <c r="A5" s="36">
        <v>3</v>
      </c>
      <c r="B5" s="91"/>
      <c r="C5" s="33">
        <f>'Croda Widnes'!B31</f>
        <v>58</v>
      </c>
      <c r="D5" s="33">
        <f>'Croda Widnes'!C31</f>
        <v>208.79999999999998</v>
      </c>
      <c r="E5" s="33">
        <f>'Croda Widnes'!D31</f>
        <v>90.489918000000003</v>
      </c>
      <c r="F5" s="33">
        <f>'Croda Widnes'!E31</f>
        <v>19.219750000000001</v>
      </c>
      <c r="G5" s="33">
        <f>'Croda Widnes'!F31</f>
        <v>20.386767999999996</v>
      </c>
      <c r="H5" s="33">
        <f>'Croda Widnes'!G31</f>
        <v>8.584E-2</v>
      </c>
      <c r="I5" s="33">
        <f>'Croda Widnes'!H31</f>
        <v>0.64959999999999996</v>
      </c>
      <c r="J5" s="33">
        <f>'Croda Widnes'!I31</f>
        <v>2.9000000000000001E-2</v>
      </c>
      <c r="K5" s="33">
        <f>'Croda Widnes'!J31</f>
        <v>9.2800000000000001E-4</v>
      </c>
      <c r="L5" s="33">
        <f>'Croda Widnes'!K31</f>
        <v>2.9000000000000002E-3</v>
      </c>
      <c r="M5" s="33">
        <f>'Croda Widnes'!L31</f>
        <v>1.8444000000000002E-2</v>
      </c>
      <c r="N5" s="33">
        <f>'Croda Widnes'!M31</f>
        <v>3.0914000000000004E-2</v>
      </c>
      <c r="O5" s="33">
        <f>'Croda Widnes'!N31</f>
        <v>0</v>
      </c>
      <c r="P5" s="33">
        <f>'Croda Widnes'!O31</f>
        <v>0</v>
      </c>
      <c r="Q5" s="33">
        <f>'Croda Widnes'!P31</f>
        <v>24.07</v>
      </c>
      <c r="R5" s="33">
        <f>'Croda Widnes'!Q31</f>
        <v>103.095</v>
      </c>
      <c r="S5" s="33">
        <f>'Croda Widnes'!R31</f>
        <v>0</v>
      </c>
      <c r="T5" s="33">
        <f>'Croda Widnes'!S31</f>
        <v>0</v>
      </c>
      <c r="U5" s="33">
        <f>'Croda Widnes'!T31</f>
        <v>0</v>
      </c>
      <c r="V5" s="33">
        <f>'Croda Widnes'!U31</f>
        <v>0</v>
      </c>
    </row>
    <row r="6" spans="1:22" x14ac:dyDescent="0.2">
      <c r="A6" s="36">
        <v>4</v>
      </c>
      <c r="B6" s="91"/>
      <c r="C6" s="33">
        <f>Maelor!B31</f>
        <v>55</v>
      </c>
      <c r="D6" s="33">
        <f>Maelor!C31</f>
        <v>203.5</v>
      </c>
      <c r="E6" s="33">
        <f>Maelor!D31</f>
        <v>93.117694999999983</v>
      </c>
      <c r="F6" s="33">
        <f>Maelor!E31</f>
        <v>11.465575000000001</v>
      </c>
      <c r="G6" s="33">
        <f>Maelor!F31</f>
        <v>20.973700000000001</v>
      </c>
      <c r="H6" s="33">
        <f>Maelor!G31</f>
        <v>0.17820000000000003</v>
      </c>
      <c r="I6" s="33">
        <f>Maelor!H31</f>
        <v>0.89650000000000007</v>
      </c>
      <c r="J6" s="33">
        <f>Maelor!I31</f>
        <v>2.75E-2</v>
      </c>
      <c r="K6" s="33">
        <f>Maelor!J31</f>
        <v>5.5000000000000003E-4</v>
      </c>
      <c r="L6" s="33">
        <f>Maelor!K31</f>
        <v>2.7500000000000003E-3</v>
      </c>
      <c r="M6" s="33">
        <f>Maelor!L31</f>
        <v>4.8344999999999999E-2</v>
      </c>
      <c r="N6" s="33">
        <f>Maelor!M31</f>
        <v>5.0985000000000003E-2</v>
      </c>
      <c r="O6" s="33">
        <f>Maelor!N31</f>
        <v>0</v>
      </c>
      <c r="P6" s="33">
        <f>Maelor!O31</f>
        <v>0</v>
      </c>
      <c r="Q6" s="33">
        <f>Maelor!P31</f>
        <v>40.424999999999997</v>
      </c>
      <c r="R6" s="33">
        <f>Maelor!Q31</f>
        <v>80.024999999999991</v>
      </c>
      <c r="S6" s="33">
        <f>Maelor!R31</f>
        <v>0</v>
      </c>
      <c r="T6" s="33">
        <f>Maelor!S31</f>
        <v>0</v>
      </c>
      <c r="U6" s="33">
        <f>Maelor!T31</f>
        <v>0</v>
      </c>
      <c r="V6" s="33">
        <f>Maelor!U31</f>
        <v>0</v>
      </c>
    </row>
    <row r="7" spans="1:22" x14ac:dyDescent="0.2">
      <c r="A7" s="36">
        <v>5</v>
      </c>
      <c r="B7" s="91"/>
      <c r="C7" s="33">
        <f>Encirc!B31</f>
        <v>24</v>
      </c>
      <c r="D7" s="33">
        <f>Encirc!C31</f>
        <v>171.47784000000001</v>
      </c>
      <c r="E7" s="33">
        <f>Encirc!D31</f>
        <v>89.615672400000008</v>
      </c>
      <c r="F7" s="33">
        <f>Encirc!E31</f>
        <v>18.471927000000004</v>
      </c>
      <c r="G7" s="33">
        <f>Encirc!F31</f>
        <v>9.0796987680000001</v>
      </c>
      <c r="H7" s="33">
        <f>Encirc!G31</f>
        <v>6.2797680000000008E-2</v>
      </c>
      <c r="I7" s="33">
        <f>Encirc!H31</f>
        <v>0.7125528000000001</v>
      </c>
      <c r="J7" s="33">
        <f>Encirc!I31</f>
        <v>8.9439120000000018E-3</v>
      </c>
      <c r="K7" s="33">
        <f>Encirc!J31</f>
        <v>2.1144000000000005E-4</v>
      </c>
      <c r="L7" s="33">
        <f>Encirc!K31</f>
        <v>2.1144000000000005E-4</v>
      </c>
      <c r="M7" s="33">
        <f>Encirc!L31</f>
        <v>4.4613840000000009E-2</v>
      </c>
      <c r="N7" s="33">
        <f>Encirc!M31</f>
        <v>0.13870463999999999</v>
      </c>
      <c r="O7" s="33">
        <f>Encirc!N31</f>
        <v>0</v>
      </c>
      <c r="P7" s="33">
        <f>Encirc!O31</f>
        <v>0</v>
      </c>
      <c r="Q7" s="33">
        <f>Encirc!P31</f>
        <v>21.989760000000004</v>
      </c>
      <c r="R7" s="33">
        <f>Encirc!Q31</f>
        <v>89.333400000000012</v>
      </c>
      <c r="S7" s="33">
        <f>Encirc!R31</f>
        <v>0</v>
      </c>
      <c r="T7" s="33">
        <f>Encirc!S31</f>
        <v>0</v>
      </c>
      <c r="U7" s="33">
        <f>Encirc!T31</f>
        <v>0</v>
      </c>
      <c r="V7" s="33">
        <f>Encirc!U31</f>
        <v>0</v>
      </c>
    </row>
    <row r="8" spans="1:22" x14ac:dyDescent="0.2">
      <c r="A8" s="36">
        <v>6</v>
      </c>
      <c r="B8" s="91"/>
      <c r="C8" s="33">
        <f>'Beechdean Ice cream'!B31</f>
        <v>250</v>
      </c>
      <c r="D8" s="33">
        <f>'Beechdean Ice cream'!C31</f>
        <v>150</v>
      </c>
      <c r="E8" s="33">
        <f>'Beechdean Ice cream'!D31</f>
        <v>56.587699999999998</v>
      </c>
      <c r="F8" s="33">
        <f>'Beechdean Ice cream'!E31</f>
        <v>50.911250000000003</v>
      </c>
      <c r="G8" s="33">
        <f>'Beechdean Ice cream'!F31</f>
        <v>10.6112</v>
      </c>
      <c r="H8" s="33">
        <f>'Beechdean Ice cream'!G31</f>
        <v>5.525E-2</v>
      </c>
      <c r="I8" s="33">
        <f>'Beechdean Ice cream'!H31</f>
        <v>0.25</v>
      </c>
      <c r="J8" s="33">
        <f>'Beechdean Ice cream'!I31</f>
        <v>0.125</v>
      </c>
      <c r="K8" s="33">
        <f>'Beechdean Ice cream'!J31</f>
        <v>2.5000000000000001E-3</v>
      </c>
      <c r="L8" s="33">
        <f>'Beechdean Ice cream'!K31</f>
        <v>1.2500000000000001E-2</v>
      </c>
      <c r="M8" s="33">
        <f>'Beechdean Ice cream'!L31</f>
        <v>0.05</v>
      </c>
      <c r="N8" s="33">
        <f>'Beechdean Ice cream'!M31</f>
        <v>0.05</v>
      </c>
      <c r="O8" s="33">
        <f>'Beechdean Ice cream'!N31</f>
        <v>0</v>
      </c>
      <c r="P8" s="33">
        <f>'Beechdean Ice cream'!O31</f>
        <v>0</v>
      </c>
      <c r="Q8" s="33">
        <f>'Beechdean Ice cream'!P31</f>
        <v>84.25</v>
      </c>
      <c r="R8" s="33">
        <f>'Beechdean Ice cream'!Q31</f>
        <v>48.6875</v>
      </c>
      <c r="S8" s="33">
        <f>'Beechdean Ice cream'!R31</f>
        <v>0</v>
      </c>
      <c r="T8" s="33">
        <f>'Beechdean Ice cream'!S31</f>
        <v>0</v>
      </c>
      <c r="U8" s="33">
        <f>'Beechdean Ice cream'!T31</f>
        <v>0</v>
      </c>
      <c r="V8" s="33">
        <f>'Beechdean Ice cream'!U31</f>
        <v>0</v>
      </c>
    </row>
    <row r="9" spans="1:22" x14ac:dyDescent="0.2">
      <c r="A9" s="36">
        <v>7</v>
      </c>
      <c r="B9" s="91"/>
      <c r="C9" s="33">
        <f>'PENDERYN DISTILLERY'!B31</f>
        <v>250</v>
      </c>
      <c r="D9" s="33">
        <f>'PENDERYN DISTILLERY'!C31</f>
        <v>100</v>
      </c>
      <c r="E9" s="33">
        <f>'PENDERYN DISTILLERY'!D31</f>
        <v>80.185000000000002</v>
      </c>
      <c r="F9" s="33">
        <f>'PENDERYN DISTILLERY'!E31</f>
        <v>84.952500000000001</v>
      </c>
      <c r="G9" s="33">
        <f>'PENDERYN DISTILLERY'!F31</f>
        <v>14.258799999999999</v>
      </c>
      <c r="H9" s="33">
        <f>'PENDERYN DISTILLERY'!G31</f>
        <v>0.40749999999999997</v>
      </c>
      <c r="I9" s="33">
        <f>'PENDERYN DISTILLERY'!H31</f>
        <v>0.125</v>
      </c>
      <c r="J9" s="33">
        <f>'PENDERYN DISTILLERY'!I31</f>
        <v>0.125</v>
      </c>
      <c r="K9" s="33">
        <f>'PENDERYN DISTILLERY'!J31</f>
        <v>2.5000000000000001E-3</v>
      </c>
      <c r="L9" s="33">
        <f>'PENDERYN DISTILLERY'!K31</f>
        <v>1.2500000000000001E-2</v>
      </c>
      <c r="M9" s="33">
        <f>'PENDERYN DISTILLERY'!L31</f>
        <v>0.05</v>
      </c>
      <c r="N9" s="33">
        <f>'PENDERYN DISTILLERY'!M31</f>
        <v>0.05</v>
      </c>
      <c r="O9" s="33">
        <f>'PENDERYN DISTILLERY'!N31</f>
        <v>0</v>
      </c>
      <c r="P9" s="33">
        <f>'PENDERYN DISTILLERY'!O31</f>
        <v>0</v>
      </c>
      <c r="Q9" s="33">
        <f>'PENDERYN DISTILLERY'!P31</f>
        <v>222</v>
      </c>
      <c r="R9" s="33">
        <f>'PENDERYN DISTILLERY'!Q31</f>
        <v>27.8125</v>
      </c>
      <c r="S9" s="33">
        <f>'PENDERYN DISTILLERY'!R31</f>
        <v>0</v>
      </c>
      <c r="T9" s="33">
        <f>'PENDERYN DISTILLERY'!S31</f>
        <v>0</v>
      </c>
      <c r="U9" s="33">
        <f>'PENDERYN DISTILLERY'!T31</f>
        <v>0</v>
      </c>
      <c r="V9" s="33">
        <f>'PENDERYN DISTILLERY'!U31</f>
        <v>0</v>
      </c>
    </row>
    <row r="10" spans="1:22" x14ac:dyDescent="0.2">
      <c r="A10" s="36">
        <v>8</v>
      </c>
      <c r="B10" s="91"/>
      <c r="C10" s="33">
        <f>Kelloggs!B31</f>
        <v>75</v>
      </c>
      <c r="D10" s="33">
        <f>Kelloggs!C31</f>
        <v>240</v>
      </c>
      <c r="E10" s="33">
        <f>Kelloggs!D31</f>
        <v>90.895425000000003</v>
      </c>
      <c r="F10" s="33">
        <f>Kelloggs!E31</f>
        <v>22.7745</v>
      </c>
      <c r="G10" s="33">
        <f>Kelloggs!F31</f>
        <v>8.0205750000000009</v>
      </c>
      <c r="H10" s="33">
        <f>Kelloggs!G31</f>
        <v>9.0749999999999997E-2</v>
      </c>
      <c r="I10" s="33">
        <f>Kelloggs!H31</f>
        <v>0.17475000000000002</v>
      </c>
      <c r="J10" s="33">
        <f>Kelloggs!I31</f>
        <v>3.7499999999999999E-2</v>
      </c>
      <c r="K10" s="33">
        <f>Kelloggs!J31</f>
        <v>7.5000000000000002E-4</v>
      </c>
      <c r="L10" s="33">
        <f>Kelloggs!K31</f>
        <v>3.7500000000000003E-3</v>
      </c>
      <c r="M10" s="33">
        <f>Kelloggs!L31</f>
        <v>1.5000000000000001E-2</v>
      </c>
      <c r="N10" s="33">
        <f>Kelloggs!M31</f>
        <v>3.5249999999999997E-2</v>
      </c>
      <c r="O10" s="33">
        <f>Kelloggs!N31</f>
        <v>0</v>
      </c>
      <c r="P10" s="33">
        <f>Kelloggs!O31</f>
        <v>0</v>
      </c>
      <c r="Q10" s="33">
        <f>Kelloggs!P31</f>
        <v>4.6275000000000004</v>
      </c>
      <c r="R10" s="33">
        <f>Kelloggs!Q31</f>
        <v>33.1875</v>
      </c>
      <c r="S10" s="33">
        <f>Kelloggs!R31</f>
        <v>0</v>
      </c>
      <c r="T10" s="33">
        <f>Kelloggs!S31</f>
        <v>0</v>
      </c>
      <c r="U10" s="33">
        <f>Kelloggs!T31</f>
        <v>0</v>
      </c>
      <c r="V10" s="33">
        <f>Kelloggs!U31</f>
        <v>0</v>
      </c>
    </row>
    <row r="11" spans="1:22" x14ac:dyDescent="0.2">
      <c r="A11" s="36">
        <v>9</v>
      </c>
      <c r="B11" s="91"/>
      <c r="C11" s="33">
        <f>'Rowan Foods'!B31</f>
        <v>123</v>
      </c>
      <c r="D11" s="33">
        <f>'Rowan Foods'!C31</f>
        <v>209.10000000000002</v>
      </c>
      <c r="E11" s="33">
        <f>'Rowan Foods'!D31</f>
        <v>56.640393000000003</v>
      </c>
      <c r="F11" s="33">
        <f>'Rowan Foods'!E31</f>
        <v>30.532290000000003</v>
      </c>
      <c r="G11" s="33">
        <f>'Rowan Foods'!F31</f>
        <v>10.706534999999999</v>
      </c>
      <c r="H11" s="33">
        <f>'Rowan Foods'!G31</f>
        <v>4.3665000000000002E-2</v>
      </c>
      <c r="I11" s="33">
        <f>'Rowan Foods'!H31</f>
        <v>0.28659000000000001</v>
      </c>
      <c r="J11" s="33">
        <f>'Rowan Foods'!I31</f>
        <v>6.1499999999999999E-2</v>
      </c>
      <c r="K11" s="33">
        <f>'Rowan Foods'!J31</f>
        <v>1.2300000000000002E-3</v>
      </c>
      <c r="L11" s="33">
        <f>'Rowan Foods'!K31</f>
        <v>6.1500000000000001E-3</v>
      </c>
      <c r="M11" s="33">
        <f>'Rowan Foods'!L31</f>
        <v>2.6321999999999998E-2</v>
      </c>
      <c r="N11" s="33">
        <f>'Rowan Foods'!M31</f>
        <v>6.3222E-2</v>
      </c>
      <c r="O11" s="33">
        <f>'Rowan Foods'!N31</f>
        <v>0</v>
      </c>
      <c r="P11" s="33">
        <f>'Rowan Foods'!O31</f>
        <v>0</v>
      </c>
      <c r="Q11" s="33">
        <f>'Rowan Foods'!P31</f>
        <v>50.922000000000004</v>
      </c>
      <c r="R11" s="33">
        <f>'Rowan Foods'!Q31</f>
        <v>70.417500000000004</v>
      </c>
      <c r="S11" s="33">
        <f>'Rowan Foods'!R31</f>
        <v>0</v>
      </c>
      <c r="T11" s="33">
        <f>'Rowan Foods'!S31</f>
        <v>0</v>
      </c>
      <c r="U11" s="33">
        <f>'Rowan Foods'!T31</f>
        <v>0</v>
      </c>
      <c r="V11" s="33">
        <f>'Rowan Foods'!U31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Secanim!B43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Secanim!B44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30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79</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58</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55</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24</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75</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123</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REGU-204-2746489</_dlc_DocId>
    <_dlc_DocIdUrl xmlns="9be56660-2c31-41ef-bc00-23e72f632f2a">
      <Url>https://cyfoethnaturiolcymru.sharepoint.com/teams/Regulatory/Permitting/_layouts/15/DocIdRedir.aspx?ID=REGU-204-2746489</Url>
      <Description>REGU-204-2746489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2022-12-01T00:00:00+00:00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6f82df96a09ff668165a7e4519a67510">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9a6f577df8969ceb4e4f764c52075bc8"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9312DB9F-159C-41BF-A76A-E87D02541CE5}"/>
</file>

<file path=customXml/itemProps4.xml><?xml version="1.0" encoding="utf-8"?>
<ds:datastoreItem xmlns:ds="http://schemas.openxmlformats.org/officeDocument/2006/customXml" ds:itemID="{8A411393-2242-4E33-A307-2509DB582A40}"/>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Beechdean Ice cream</vt:lpstr>
      <vt:lpstr>PENDERYN DISTILLERY</vt:lpstr>
      <vt:lpstr>Kelloggs</vt:lpstr>
      <vt:lpstr>Rowan Foods</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2022-11-29T14:52:22Z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2fa21ac5-28c8-4cc9-82ca-7741babfb1af</vt:lpwstr>
  </property>
  <property fmtid="{D5CDD505-2E9C-101B-9397-08002B2CF9AE}" pid="4" name="MediaServiceImageTags">
    <vt:lpwstr/>
  </property>
</Properties>
</file>