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19774/"/>
    </mc:Choice>
  </mc:AlternateContent>
  <xr:revisionPtr revIDLastSave="0" documentId="13_ncr:1_{2329194C-5082-4DB5-9A87-C7A5ED11395F}" xr6:coauthVersionLast="47" xr6:coauthVersionMax="47" xr10:uidLastSave="{00000000-0000-0000-0000-000000000000}"/>
  <bookViews>
    <workbookView xWindow="-110" yWindow="-110" windowWidth="19420" windowHeight="10420" tabRatio="870" activeTab="9" xr2:uid="{00000000-000D-0000-FFFF-FFFF00000000}"/>
  </bookViews>
  <sheets>
    <sheet name="Bryngwyn" sheetId="1" r:id="rId1"/>
    <sheet name="Capel Dewi" sheetId="21" r:id="rId2"/>
    <sheet name="Cefn Dryscoed" sheetId="27" r:id="rId3"/>
    <sheet name="Crai" sheetId="28" r:id="rId4"/>
    <sheet name="Elan" sheetId="30" r:id="rId5"/>
    <sheet name="Hirwaun" sheetId="26" r:id="rId6"/>
    <sheet name="Llyswen" sheetId="24" r:id="rId7"/>
    <sheet name="Pontsticill" sheetId="29" r:id="rId8"/>
    <sheet name="Talybont" sheetId="23" r:id="rId9"/>
    <sheet name="Whitebourne"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I65" i="1" l="1"/>
  <c r="J65" i="1"/>
  <c r="K65" i="1"/>
  <c r="L65" i="1"/>
  <c r="M65" i="1"/>
  <c r="N65" i="1"/>
  <c r="O65" i="1"/>
  <c r="P65" i="1"/>
  <c r="Q65" i="1"/>
  <c r="R65" i="1"/>
  <c r="S65" i="1"/>
  <c r="T65" i="1"/>
  <c r="U65" i="1"/>
  <c r="I65" i="21"/>
  <c r="J65" i="21"/>
  <c r="K65" i="21"/>
  <c r="L65" i="21"/>
  <c r="M65" i="21"/>
  <c r="N65" i="21"/>
  <c r="O65" i="21"/>
  <c r="P65" i="21"/>
  <c r="Q65" i="21"/>
  <c r="R65" i="21"/>
  <c r="S65" i="21"/>
  <c r="T65" i="21"/>
  <c r="U65" i="21"/>
  <c r="I65" i="27"/>
  <c r="J65" i="27"/>
  <c r="K65" i="27"/>
  <c r="L65" i="27"/>
  <c r="M65" i="27"/>
  <c r="N65" i="27"/>
  <c r="O65" i="27"/>
  <c r="P65" i="27"/>
  <c r="Q65" i="27"/>
  <c r="R65" i="27"/>
  <c r="S65" i="27"/>
  <c r="T65" i="27"/>
  <c r="U65" i="27"/>
  <c r="I65" i="28"/>
  <c r="J65" i="28"/>
  <c r="K65" i="28"/>
  <c r="L65" i="28"/>
  <c r="M65" i="28"/>
  <c r="N65" i="28"/>
  <c r="O65" i="28"/>
  <c r="P65" i="28"/>
  <c r="Q65" i="28"/>
  <c r="R65" i="28"/>
  <c r="S65" i="28"/>
  <c r="T65" i="28"/>
  <c r="U65" i="28"/>
  <c r="I65" i="30"/>
  <c r="J65" i="30"/>
  <c r="K65" i="30"/>
  <c r="L65" i="30"/>
  <c r="M65" i="30"/>
  <c r="N65" i="30"/>
  <c r="O65" i="30"/>
  <c r="P65" i="30"/>
  <c r="Q65" i="30"/>
  <c r="R65" i="30"/>
  <c r="S65" i="30"/>
  <c r="T65" i="30"/>
  <c r="U65" i="30"/>
  <c r="I65" i="26"/>
  <c r="J65" i="26"/>
  <c r="K65" i="26"/>
  <c r="L65" i="26"/>
  <c r="M65" i="26"/>
  <c r="N65" i="26"/>
  <c r="O65" i="26"/>
  <c r="P65" i="26"/>
  <c r="Q65" i="26"/>
  <c r="R65" i="26"/>
  <c r="S65" i="26"/>
  <c r="T65" i="26"/>
  <c r="U65" i="26"/>
  <c r="I65" i="24"/>
  <c r="J65" i="24"/>
  <c r="K65" i="24"/>
  <c r="L65" i="24"/>
  <c r="M65" i="24"/>
  <c r="N65" i="24"/>
  <c r="O65" i="24"/>
  <c r="P65" i="24"/>
  <c r="Q65" i="24"/>
  <c r="R65" i="24"/>
  <c r="S65" i="24"/>
  <c r="T65" i="24"/>
  <c r="U65" i="24"/>
  <c r="I65" i="29"/>
  <c r="J65" i="29"/>
  <c r="K65" i="29"/>
  <c r="L65" i="29"/>
  <c r="M65" i="29"/>
  <c r="N65" i="29"/>
  <c r="O65" i="29"/>
  <c r="P65" i="29"/>
  <c r="Q65" i="29"/>
  <c r="R65" i="29"/>
  <c r="S65" i="29"/>
  <c r="T65" i="29"/>
  <c r="U65" i="29"/>
  <c r="I65" i="23"/>
  <c r="J65" i="23"/>
  <c r="K65" i="23"/>
  <c r="L65" i="23"/>
  <c r="M65" i="23"/>
  <c r="N65" i="23"/>
  <c r="O65" i="23"/>
  <c r="P65" i="23"/>
  <c r="Q65" i="23"/>
  <c r="R65" i="23"/>
  <c r="S65" i="23"/>
  <c r="T65" i="23"/>
  <c r="U65" i="23"/>
  <c r="I65" i="22"/>
  <c r="J65" i="22"/>
  <c r="K65" i="22"/>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2" i="30"/>
  <c r="Q22" i="30"/>
  <c r="V20" i="30"/>
  <c r="U20" i="30"/>
  <c r="T20" i="30"/>
  <c r="S20" i="30"/>
  <c r="R20" i="30"/>
  <c r="Q20" i="30"/>
  <c r="P20" i="30"/>
  <c r="O20" i="30"/>
  <c r="N20" i="30"/>
  <c r="M20" i="30"/>
  <c r="L20" i="30"/>
  <c r="K20" i="30"/>
  <c r="J20" i="30"/>
  <c r="P18" i="30"/>
  <c r="J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T22" i="29" s="1"/>
  <c r="D48" i="29"/>
  <c r="T18" i="29" s="1"/>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S22" i="29"/>
  <c r="V20" i="29"/>
  <c r="U20" i="29"/>
  <c r="T20" i="29"/>
  <c r="S20" i="29"/>
  <c r="R20" i="29"/>
  <c r="Q20" i="29"/>
  <c r="P20" i="29"/>
  <c r="O20" i="29"/>
  <c r="N20" i="29"/>
  <c r="M20" i="29"/>
  <c r="L20" i="29"/>
  <c r="K20" i="29"/>
  <c r="J20" i="29"/>
  <c r="I20" i="29"/>
  <c r="H20" i="29"/>
  <c r="G20" i="29"/>
  <c r="F20" i="29"/>
  <c r="E20" i="29"/>
  <c r="D20" i="29"/>
  <c r="L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P20" i="28"/>
  <c r="O20" i="28"/>
  <c r="N20" i="28"/>
  <c r="M20" i="28"/>
  <c r="L20" i="28"/>
  <c r="K20" i="28"/>
  <c r="J20" i="28"/>
  <c r="V18" i="28"/>
  <c r="U18" i="28"/>
  <c r="P18" i="28"/>
  <c r="M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O22" i="27"/>
  <c r="G22" i="27"/>
  <c r="V20" i="27"/>
  <c r="U20" i="27"/>
  <c r="T20" i="27"/>
  <c r="S20" i="27"/>
  <c r="R20" i="27"/>
  <c r="Q20" i="27"/>
  <c r="P20" i="27"/>
  <c r="O20" i="27"/>
  <c r="N20" i="27"/>
  <c r="M20" i="27"/>
  <c r="L20" i="27"/>
  <c r="K20" i="27"/>
  <c r="J20" i="27"/>
  <c r="I20" i="27"/>
  <c r="H20" i="27"/>
  <c r="G20" i="27"/>
  <c r="F20" i="27"/>
  <c r="E20" i="27"/>
  <c r="D20" i="27"/>
  <c r="U18" i="27"/>
  <c r="S18" i="27"/>
  <c r="R18" i="27"/>
  <c r="O18" i="27"/>
  <c r="K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O22" i="26"/>
  <c r="K22" i="26"/>
  <c r="I22" i="26"/>
  <c r="V20" i="26"/>
  <c r="U20" i="26"/>
  <c r="T20" i="26"/>
  <c r="S20" i="26"/>
  <c r="R20" i="26"/>
  <c r="Q20" i="26"/>
  <c r="P20" i="26"/>
  <c r="O20" i="26"/>
  <c r="N20" i="26"/>
  <c r="M20" i="26"/>
  <c r="L20" i="26"/>
  <c r="K20" i="26"/>
  <c r="J20" i="26"/>
  <c r="V18" i="26"/>
  <c r="L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M22" i="24"/>
  <c r="V20" i="24"/>
  <c r="U20" i="24"/>
  <c r="T20" i="24"/>
  <c r="S20" i="24"/>
  <c r="R20" i="24"/>
  <c r="Q20" i="24"/>
  <c r="P20" i="24"/>
  <c r="O20" i="24"/>
  <c r="N20" i="24"/>
  <c r="M20" i="24"/>
  <c r="L20" i="24"/>
  <c r="K20" i="24"/>
  <c r="J20" i="24"/>
  <c r="U18" i="24"/>
  <c r="P18" i="24"/>
  <c r="M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M22" i="23"/>
  <c r="I22" i="23"/>
  <c r="V20" i="23"/>
  <c r="U20" i="23"/>
  <c r="T20" i="23"/>
  <c r="S20" i="23"/>
  <c r="R20" i="23"/>
  <c r="Q20" i="23"/>
  <c r="P20" i="23"/>
  <c r="O20" i="23"/>
  <c r="N20" i="23"/>
  <c r="M20" i="23"/>
  <c r="L20" i="23"/>
  <c r="K20" i="23"/>
  <c r="J20" i="23"/>
  <c r="I20" i="23"/>
  <c r="H20" i="23"/>
  <c r="G20" i="23"/>
  <c r="F20" i="23"/>
  <c r="E20" i="23"/>
  <c r="D20" i="23"/>
  <c r="S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S18" i="22" s="1"/>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S22" i="22"/>
  <c r="O22" i="22"/>
  <c r="M22" i="22"/>
  <c r="V20" i="22"/>
  <c r="U20" i="22"/>
  <c r="T20" i="22"/>
  <c r="S20" i="22"/>
  <c r="R20" i="22"/>
  <c r="Q20" i="22"/>
  <c r="P20" i="22"/>
  <c r="O20" i="22"/>
  <c r="N20" i="22"/>
  <c r="M20" i="22"/>
  <c r="L20" i="22"/>
  <c r="K20" i="22"/>
  <c r="J20" i="22"/>
  <c r="V18" i="22"/>
  <c r="R18" i="22"/>
  <c r="O18" i="22"/>
  <c r="G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M11" i="19"/>
  <c r="M25" i="19" s="1"/>
  <c r="F8" i="19"/>
  <c r="F22" i="19" s="1"/>
  <c r="G17" i="27"/>
  <c r="G19" i="27" s="1"/>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L64" i="28" s="1"/>
  <c r="M17" i="28"/>
  <c r="M21" i="28"/>
  <c r="T59" i="28"/>
  <c r="U17" i="28"/>
  <c r="U21" i="28"/>
  <c r="U23" i="28" s="1"/>
  <c r="U24" i="28" s="1"/>
  <c r="I4" i="20"/>
  <c r="J4" i="19"/>
  <c r="J18" i="19" s="1"/>
  <c r="I59" i="21"/>
  <c r="J17" i="21"/>
  <c r="J19" i="21" s="1"/>
  <c r="J21" i="21"/>
  <c r="C59" i="22"/>
  <c r="D21" i="22"/>
  <c r="D23" i="22" s="1"/>
  <c r="D24" i="22" s="1"/>
  <c r="D17" i="22"/>
  <c r="D19" i="22" s="1"/>
  <c r="D20" i="22" s="1"/>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E19" i="22" s="1"/>
  <c r="E20" i="22" s="1"/>
  <c r="L59" i="22"/>
  <c r="M21" i="22"/>
  <c r="M23" i="22" s="1"/>
  <c r="M24" i="22" s="1"/>
  <c r="M17" i="22"/>
  <c r="T59" i="22"/>
  <c r="U21" i="22"/>
  <c r="U17" i="22"/>
  <c r="U19" i="22" s="1"/>
  <c r="D59" i="27"/>
  <c r="E17" i="27"/>
  <c r="E19" i="27" s="1"/>
  <c r="L59" i="27"/>
  <c r="M17" i="27"/>
  <c r="M19" i="27" s="1"/>
  <c r="T59" i="27"/>
  <c r="U17" i="27"/>
  <c r="S59" i="22"/>
  <c r="T21" i="22"/>
  <c r="T17" i="22"/>
  <c r="G21" i="23"/>
  <c r="G23" i="23" s="1"/>
  <c r="G24" i="23" s="1"/>
  <c r="G17" i="23"/>
  <c r="G19" i="23" s="1"/>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J24" i="22" s="1"/>
  <c r="K59" i="23"/>
  <c r="L17" i="23"/>
  <c r="L21" i="23"/>
  <c r="M57" i="21"/>
  <c r="R59" i="21"/>
  <c r="S21" i="21"/>
  <c r="S23" i="21" s="1"/>
  <c r="S24" i="21" s="1"/>
  <c r="S17" i="21"/>
  <c r="J59" i="21"/>
  <c r="K21" i="21"/>
  <c r="K23" i="21" s="1"/>
  <c r="K24" i="21" s="1"/>
  <c r="K17" i="21"/>
  <c r="J59" i="22"/>
  <c r="K17" i="22"/>
  <c r="K21" i="22"/>
  <c r="R59" i="22"/>
  <c r="S17" i="22"/>
  <c r="S21" i="22"/>
  <c r="S23" i="22" s="1"/>
  <c r="S24" i="22" s="1"/>
  <c r="D59" i="23"/>
  <c r="E17" i="23"/>
  <c r="E19" i="23" s="1"/>
  <c r="E21" i="23"/>
  <c r="L59" i="23"/>
  <c r="M17" i="23"/>
  <c r="M21" i="23"/>
  <c r="T59" i="23"/>
  <c r="U17" i="23"/>
  <c r="U19" i="23" s="1"/>
  <c r="U21" i="23"/>
  <c r="U23" i="23" s="1"/>
  <c r="U24" i="23" s="1"/>
  <c r="H21" i="24"/>
  <c r="H23" i="24" s="1"/>
  <c r="H24" i="24" s="1"/>
  <c r="H17" i="24"/>
  <c r="H19" i="24" s="1"/>
  <c r="H20"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S24" i="28" s="1"/>
  <c r="I59" i="29"/>
  <c r="J17" i="29"/>
  <c r="J21" i="29"/>
  <c r="Q59" i="29"/>
  <c r="R21" i="29"/>
  <c r="R23" i="29" s="1"/>
  <c r="R24" i="29" s="1"/>
  <c r="R17" i="29"/>
  <c r="H59" i="30"/>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24" i="23" s="1"/>
  <c r="V17" i="23"/>
  <c r="I17" i="24"/>
  <c r="I19" i="24" s="1"/>
  <c r="I20" i="24" s="1"/>
  <c r="I21" i="24"/>
  <c r="I23" i="24" s="1"/>
  <c r="I24" i="24" s="1"/>
  <c r="Q17" i="24"/>
  <c r="Q19" i="24" s="1"/>
  <c r="Q21" i="24"/>
  <c r="Q23" i="24" s="1"/>
  <c r="Q24" i="24" s="1"/>
  <c r="D59" i="26"/>
  <c r="E21" i="26"/>
  <c r="E23" i="26" s="1"/>
  <c r="E24" i="26" s="1"/>
  <c r="E17" i="26"/>
  <c r="E19" i="26" s="1"/>
  <c r="E20" i="26" s="1"/>
  <c r="L59" i="26"/>
  <c r="M21" i="26"/>
  <c r="M17" i="26"/>
  <c r="T59" i="26"/>
  <c r="U21" i="26"/>
  <c r="U23" i="26" s="1"/>
  <c r="U24" i="26" s="1"/>
  <c r="U17" i="26"/>
  <c r="U19" i="26" s="1"/>
  <c r="C59" i="27"/>
  <c r="D17" i="27"/>
  <c r="D19" i="27" s="1"/>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23" i="21" s="1"/>
  <c r="H24" i="21" s="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H19" i="23" s="1"/>
  <c r="P17" i="23"/>
  <c r="P19" i="23" s="1"/>
  <c r="P21" i="23"/>
  <c r="J59" i="24"/>
  <c r="K21" i="24"/>
  <c r="K17" i="24"/>
  <c r="R59" i="24"/>
  <c r="S21" i="24"/>
  <c r="S23" i="24" s="1"/>
  <c r="S24" i="24" s="1"/>
  <c r="S17" i="24"/>
  <c r="G21" i="26"/>
  <c r="G23" i="26" s="1"/>
  <c r="G24" i="26" s="1"/>
  <c r="G17" i="26"/>
  <c r="O17" i="26"/>
  <c r="O21" i="26"/>
  <c r="E59" i="27"/>
  <c r="F17" i="27"/>
  <c r="F19" i="27" s="1"/>
  <c r="M59" i="27"/>
  <c r="N17" i="27"/>
  <c r="U59" i="27"/>
  <c r="V17" i="27"/>
  <c r="E59" i="28"/>
  <c r="F17" i="28"/>
  <c r="F19" i="28" s="1"/>
  <c r="F20" i="28" s="1"/>
  <c r="F21" i="28"/>
  <c r="M59" i="28"/>
  <c r="N17" i="28"/>
  <c r="N19" i="28" s="1"/>
  <c r="N21" i="28"/>
  <c r="U59" i="28"/>
  <c r="V17" i="28"/>
  <c r="V21" i="28"/>
  <c r="D59" i="29"/>
  <c r="E17" i="29"/>
  <c r="E21" i="29"/>
  <c r="E23" i="29" s="1"/>
  <c r="E24" i="29" s="1"/>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19" i="22" s="1"/>
  <c r="G20" i="22" s="1"/>
  <c r="G21" i="22"/>
  <c r="G23" i="22" s="1"/>
  <c r="G24" i="22" s="1"/>
  <c r="O17" i="22"/>
  <c r="O19" i="22" s="1"/>
  <c r="O21" i="22"/>
  <c r="O23" i="22" s="1"/>
  <c r="O24" i="22" s="1"/>
  <c r="H59" i="23"/>
  <c r="I21" i="23"/>
  <c r="I23" i="23" s="1"/>
  <c r="I24" i="23" s="1"/>
  <c r="I17" i="23"/>
  <c r="P59" i="23"/>
  <c r="Q17" i="23"/>
  <c r="Q21" i="23"/>
  <c r="Q23" i="23" s="1"/>
  <c r="Q24" i="23" s="1"/>
  <c r="C59" i="24"/>
  <c r="D17" i="24"/>
  <c r="D19" i="24" s="1"/>
  <c r="D20" i="24" s="1"/>
  <c r="D21" i="24"/>
  <c r="D23" i="24" s="1"/>
  <c r="D24" i="24" s="1"/>
  <c r="K59" i="24"/>
  <c r="L21" i="24"/>
  <c r="L17" i="24"/>
  <c r="L19" i="24" s="1"/>
  <c r="S59" i="24"/>
  <c r="T21" i="24"/>
  <c r="T17" i="24"/>
  <c r="T19" i="24" s="1"/>
  <c r="H21" i="26"/>
  <c r="H23" i="26" s="1"/>
  <c r="H24" i="26" s="1"/>
  <c r="H17" i="26"/>
  <c r="H19" i="26" s="1"/>
  <c r="H20" i="26" s="1"/>
  <c r="P21" i="26"/>
  <c r="P17" i="26"/>
  <c r="F59" i="28"/>
  <c r="G17" i="28"/>
  <c r="G19" i="28" s="1"/>
  <c r="G20" i="28" s="1"/>
  <c r="G21" i="28"/>
  <c r="G23" i="28" s="1"/>
  <c r="G24" i="28" s="1"/>
  <c r="N59" i="28"/>
  <c r="O17" i="28"/>
  <c r="O19" i="28" s="1"/>
  <c r="O21" i="28"/>
  <c r="E59" i="29"/>
  <c r="F17" i="29"/>
  <c r="F21" i="29"/>
  <c r="F23" i="29" s="1"/>
  <c r="F24" i="29" s="1"/>
  <c r="M59" i="29"/>
  <c r="N17" i="29"/>
  <c r="N21" i="29"/>
  <c r="U59" i="29"/>
  <c r="V17" i="29"/>
  <c r="V21" i="29"/>
  <c r="V23" i="29" s="1"/>
  <c r="V24" i="29" s="1"/>
  <c r="D59" i="30"/>
  <c r="E17" i="30"/>
  <c r="E19" i="30" s="1"/>
  <c r="E20" i="30" s="1"/>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23" i="22" s="1"/>
  <c r="H24" i="22" s="1"/>
  <c r="H17" i="22"/>
  <c r="H19" i="22" s="1"/>
  <c r="H20" i="22" s="1"/>
  <c r="I59" i="23"/>
  <c r="J21" i="23"/>
  <c r="J23" i="23" s="1"/>
  <c r="J24" i="23" s="1"/>
  <c r="J17" i="23"/>
  <c r="J19" i="23" s="1"/>
  <c r="Q59" i="23"/>
  <c r="R21" i="23"/>
  <c r="R17" i="23"/>
  <c r="D59" i="24"/>
  <c r="E17" i="24"/>
  <c r="E19" i="24" s="1"/>
  <c r="E20" i="24" s="1"/>
  <c r="E21" i="24"/>
  <c r="E23" i="24" s="1"/>
  <c r="E24" i="24" s="1"/>
  <c r="L59" i="24"/>
  <c r="M17" i="24"/>
  <c r="M19" i="24" s="1"/>
  <c r="M21" i="24"/>
  <c r="M23" i="24" s="1"/>
  <c r="M24" i="24" s="1"/>
  <c r="T59" i="24"/>
  <c r="U21" i="24"/>
  <c r="U17" i="24"/>
  <c r="H59" i="26"/>
  <c r="I17" i="26"/>
  <c r="I19" i="26" s="1"/>
  <c r="I20" i="26" s="1"/>
  <c r="I21" i="26"/>
  <c r="I23" i="26" s="1"/>
  <c r="I24" i="26" s="1"/>
  <c r="P59" i="26"/>
  <c r="Q17" i="26"/>
  <c r="Q19" i="26" s="1"/>
  <c r="Q21" i="26"/>
  <c r="E63" i="26"/>
  <c r="H17" i="27"/>
  <c r="P17" i="27"/>
  <c r="P19" i="27" s="1"/>
  <c r="H21" i="28"/>
  <c r="H23" i="28" s="1"/>
  <c r="H24" i="28" s="1"/>
  <c r="H17" i="28"/>
  <c r="P21" i="28"/>
  <c r="P17" i="28"/>
  <c r="P19" i="28" s="1"/>
  <c r="G17" i="29"/>
  <c r="G19" i="29" s="1"/>
  <c r="G21" i="29"/>
  <c r="G23" i="29" s="1"/>
  <c r="G24" i="29" s="1"/>
  <c r="O17" i="29"/>
  <c r="O21" i="29"/>
  <c r="E59" i="30"/>
  <c r="F21" i="30"/>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21" i="21"/>
  <c r="E17" i="21"/>
  <c r="E21" i="21"/>
  <c r="E23" i="21" s="1"/>
  <c r="E24" i="21" s="1"/>
  <c r="H59" i="22"/>
  <c r="I17" i="22"/>
  <c r="I19" i="22" s="1"/>
  <c r="I20" i="22" s="1"/>
  <c r="I21" i="22"/>
  <c r="I23" i="22" s="1"/>
  <c r="I24" i="22" s="1"/>
  <c r="P59" i="22"/>
  <c r="Q17" i="22"/>
  <c r="Q19" i="22" s="1"/>
  <c r="Q21" i="22"/>
  <c r="J59" i="23"/>
  <c r="K17" i="23"/>
  <c r="K21" i="23"/>
  <c r="K23" i="23" s="1"/>
  <c r="K24" i="23" s="1"/>
  <c r="R59" i="23"/>
  <c r="S17" i="23"/>
  <c r="S19" i="23" s="1"/>
  <c r="S21" i="23"/>
  <c r="E59" i="24"/>
  <c r="F21" i="24"/>
  <c r="F23" i="24" s="1"/>
  <c r="F24" i="24" s="1"/>
  <c r="F17" i="24"/>
  <c r="F19" i="24" s="1"/>
  <c r="F20" i="24" s="1"/>
  <c r="M59" i="24"/>
  <c r="N21" i="24"/>
  <c r="N23" i="24" s="1"/>
  <c r="N24" i="24" s="1"/>
  <c r="N17" i="24"/>
  <c r="N19" i="24" s="1"/>
  <c r="U59" i="24"/>
  <c r="V21" i="24"/>
  <c r="V17" i="24"/>
  <c r="V19" i="24" s="1"/>
  <c r="I58" i="26"/>
  <c r="I61" i="26" s="1"/>
  <c r="J17" i="26"/>
  <c r="J19" i="26" s="1"/>
  <c r="J21" i="26"/>
  <c r="Q58" i="26"/>
  <c r="Q61" i="26" s="1"/>
  <c r="R21" i="26"/>
  <c r="R23" i="26" s="1"/>
  <c r="R24" i="26" s="1"/>
  <c r="R17" i="26"/>
  <c r="R19" i="26" s="1"/>
  <c r="F63" i="26"/>
  <c r="I17" i="27"/>
  <c r="I19" i="27" s="1"/>
  <c r="Q17" i="27"/>
  <c r="I21" i="28"/>
  <c r="I23" i="28" s="1"/>
  <c r="I24" i="28" s="1"/>
  <c r="I17" i="28"/>
  <c r="I19" i="28" s="1"/>
  <c r="I20" i="28" s="1"/>
  <c r="Q21" i="28"/>
  <c r="Q23" i="28" s="1"/>
  <c r="Q24" i="28" s="1"/>
  <c r="Q17" i="28"/>
  <c r="Q19" i="28" s="1"/>
  <c r="H21" i="29"/>
  <c r="H23" i="29" s="1"/>
  <c r="H24" i="29" s="1"/>
  <c r="H17" i="29"/>
  <c r="H19" i="29" s="1"/>
  <c r="P21" i="29"/>
  <c r="P23" i="29" s="1"/>
  <c r="P24" i="29" s="1"/>
  <c r="P17" i="29"/>
  <c r="G21" i="30"/>
  <c r="G17" i="30"/>
  <c r="G19" i="30" s="1"/>
  <c r="G20"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1" i="23"/>
  <c r="S59" i="23"/>
  <c r="T17" i="23"/>
  <c r="T21" i="23"/>
  <c r="G17" i="24"/>
  <c r="G19" i="24" s="1"/>
  <c r="G20" i="24" s="1"/>
  <c r="G21" i="24"/>
  <c r="G23" i="24" s="1"/>
  <c r="G24" i="24" s="1"/>
  <c r="O17" i="24"/>
  <c r="O21" i="24"/>
  <c r="J59" i="26"/>
  <c r="K17" i="26"/>
  <c r="K19" i="26" s="1"/>
  <c r="K21" i="26"/>
  <c r="R59" i="26"/>
  <c r="S17" i="26"/>
  <c r="S19" i="26" s="1"/>
  <c r="S21" i="26"/>
  <c r="S23" i="26" s="1"/>
  <c r="S24" i="26" s="1"/>
  <c r="M63" i="26"/>
  <c r="I59" i="27"/>
  <c r="J17" i="27"/>
  <c r="J19" i="27" s="1"/>
  <c r="Q59" i="27"/>
  <c r="R17" i="27"/>
  <c r="I59" i="28"/>
  <c r="J17" i="28"/>
  <c r="J19" i="28" s="1"/>
  <c r="J21" i="28"/>
  <c r="J23" i="28" s="1"/>
  <c r="J24" i="28" s="1"/>
  <c r="Q59" i="28"/>
  <c r="R21" i="28"/>
  <c r="R23" i="28" s="1"/>
  <c r="R24" i="28" s="1"/>
  <c r="R17" i="28"/>
  <c r="I21" i="29"/>
  <c r="I23" i="29" s="1"/>
  <c r="I24" i="29" s="1"/>
  <c r="I17" i="29"/>
  <c r="I19" i="29" s="1"/>
  <c r="Q21" i="29"/>
  <c r="Q17" i="29"/>
  <c r="Q19"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C23" i="27" s="1"/>
  <c r="C24" i="27" s="1"/>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C64" i="21" s="1"/>
  <c r="K58" i="21"/>
  <c r="K61" i="21" s="1"/>
  <c r="K64" i="21" s="1"/>
  <c r="R19" i="24"/>
  <c r="I21" i="27"/>
  <c r="I23" i="27" s="1"/>
  <c r="I24" i="27" s="1"/>
  <c r="Q21" i="27"/>
  <c r="R58" i="21"/>
  <c r="R61" i="21" s="1"/>
  <c r="R64" i="21" s="1"/>
  <c r="O57" i="21"/>
  <c r="A43" i="21"/>
  <c r="J58" i="21"/>
  <c r="J61" i="21" s="1"/>
  <c r="E19" i="21"/>
  <c r="E20" i="21" s="1"/>
  <c r="D58" i="29"/>
  <c r="D61" i="29" s="1"/>
  <c r="P23" i="26"/>
  <c r="P24" i="26" s="1"/>
  <c r="G21" i="27"/>
  <c r="G23" i="27" s="1"/>
  <c r="G24" i="27" s="1"/>
  <c r="O21" i="27"/>
  <c r="O23" i="27" s="1"/>
  <c r="O24" i="27" s="1"/>
  <c r="D58" i="30"/>
  <c r="D61" i="30" s="1"/>
  <c r="L58" i="30"/>
  <c r="L61" i="30" s="1"/>
  <c r="L64" i="30" s="1"/>
  <c r="R58" i="23"/>
  <c r="R61" i="23" s="1"/>
  <c r="H21" i="27"/>
  <c r="H23" i="27" s="1"/>
  <c r="H24" i="27" s="1"/>
  <c r="P21" i="27"/>
  <c r="J58" i="22"/>
  <c r="J61" i="22" s="1"/>
  <c r="J58" i="26"/>
  <c r="J61" i="26" s="1"/>
  <c r="R19" i="23"/>
  <c r="J58" i="27"/>
  <c r="J61" i="27" s="1"/>
  <c r="J64"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H58" i="21"/>
  <c r="H61" i="21" s="1"/>
  <c r="N59" i="23"/>
  <c r="R58" i="26"/>
  <c r="R61" i="26" s="1"/>
  <c r="R57" i="21"/>
  <c r="H58" i="22"/>
  <c r="H61" i="22" s="1"/>
  <c r="P58" i="22"/>
  <c r="P61" i="22" s="1"/>
  <c r="P64" i="22" s="1"/>
  <c r="F59" i="22"/>
  <c r="K58" i="29"/>
  <c r="K61" i="29" s="1"/>
  <c r="F19" i="23"/>
  <c r="I58" i="23"/>
  <c r="I61" i="23" s="1"/>
  <c r="I64" i="23" s="1"/>
  <c r="Q58" i="23"/>
  <c r="Q61" i="23" s="1"/>
  <c r="L58" i="29"/>
  <c r="L61" i="29" s="1"/>
  <c r="T58" i="29"/>
  <c r="T61" i="29" s="1"/>
  <c r="T64" i="29" s="1"/>
  <c r="Q23" i="30"/>
  <c r="Q24" i="30" s="1"/>
  <c r="U23" i="30"/>
  <c r="U24" i="30" s="1"/>
  <c r="J58" i="28"/>
  <c r="J61" i="28" s="1"/>
  <c r="J64" i="28" s="1"/>
  <c r="R58" i="22"/>
  <c r="R61" i="22" s="1"/>
  <c r="R64" i="22" s="1"/>
  <c r="J58" i="23"/>
  <c r="J61" i="23" s="1"/>
  <c r="J64" i="23" s="1"/>
  <c r="J58" i="24"/>
  <c r="J61" i="24" s="1"/>
  <c r="J64" i="24" s="1"/>
  <c r="R58" i="24"/>
  <c r="R61" i="24" s="1"/>
  <c r="F57" i="24"/>
  <c r="T58" i="30"/>
  <c r="T61" i="30" s="1"/>
  <c r="T64" i="30" s="1"/>
  <c r="C58" i="23"/>
  <c r="C61" i="23" s="1"/>
  <c r="C64" i="23" s="1"/>
  <c r="C65" i="23" s="1"/>
  <c r="K58" i="23"/>
  <c r="K61" i="23" s="1"/>
  <c r="S58" i="23"/>
  <c r="S61" i="23" s="1"/>
  <c r="F58" i="26"/>
  <c r="F61" i="26" s="1"/>
  <c r="D58" i="27"/>
  <c r="D61" i="27" s="1"/>
  <c r="D64" i="27" s="1"/>
  <c r="D65" i="27" s="1"/>
  <c r="L58" i="27"/>
  <c r="L61" i="27" s="1"/>
  <c r="T58" i="27"/>
  <c r="T61" i="27" s="1"/>
  <c r="T64" i="27" s="1"/>
  <c r="J58" i="30"/>
  <c r="J61" i="30" s="1"/>
  <c r="J64" i="30" s="1"/>
  <c r="R58" i="30"/>
  <c r="R61" i="30" s="1"/>
  <c r="R64" i="30" s="1"/>
  <c r="P57" i="30"/>
  <c r="J57" i="21"/>
  <c r="H59" i="21"/>
  <c r="Q23" i="22"/>
  <c r="Q24" i="22" s="1"/>
  <c r="R21" i="27"/>
  <c r="R23" i="27" s="1"/>
  <c r="R24" i="27" s="1"/>
  <c r="E58" i="27"/>
  <c r="E61" i="27" s="1"/>
  <c r="E64" i="27" s="1"/>
  <c r="E65"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H58" i="30"/>
  <c r="H61" i="30" s="1"/>
  <c r="H64" i="30" s="1"/>
  <c r="N59" i="30"/>
  <c r="K19" i="2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O24" i="24" s="1"/>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L58" i="28"/>
  <c r="L61" i="28" s="1"/>
  <c r="S58" i="29"/>
  <c r="S61" i="29" s="1"/>
  <c r="S64" i="29" s="1"/>
  <c r="P19" i="21"/>
  <c r="P23" i="22"/>
  <c r="P24" i="22" s="1"/>
  <c r="C58" i="22"/>
  <c r="C61" i="22" s="1"/>
  <c r="C64" i="22" s="1"/>
  <c r="K58" i="22"/>
  <c r="K61" i="22" s="1"/>
  <c r="K64" i="22" s="1"/>
  <c r="S58" i="22"/>
  <c r="S61" i="22" s="1"/>
  <c r="S64" i="22" s="1"/>
  <c r="F57" i="23"/>
  <c r="L23" i="24"/>
  <c r="L24" i="24" s="1"/>
  <c r="T23" i="24"/>
  <c r="T24" i="24" s="1"/>
  <c r="G58" i="24"/>
  <c r="G61" i="24" s="1"/>
  <c r="O58" i="24"/>
  <c r="O61" i="24" s="1"/>
  <c r="N59" i="24"/>
  <c r="C58" i="26"/>
  <c r="C61"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Q23" i="26"/>
  <c r="Q24" i="26" s="1"/>
  <c r="D58" i="26"/>
  <c r="D61" i="26" s="1"/>
  <c r="L58" i="26"/>
  <c r="L61" i="26" s="1"/>
  <c r="L64" i="26" s="1"/>
  <c r="T58" i="26"/>
  <c r="T61" i="26" s="1"/>
  <c r="F57" i="26"/>
  <c r="C58" i="27"/>
  <c r="C61" i="27" s="1"/>
  <c r="C64" i="27" s="1"/>
  <c r="C65" i="27" s="1"/>
  <c r="K58" i="27"/>
  <c r="K61" i="27" s="1"/>
  <c r="K64" i="27" s="1"/>
  <c r="S58" i="27"/>
  <c r="S61" i="27" s="1"/>
  <c r="S64" i="27" s="1"/>
  <c r="P57" i="27"/>
  <c r="N59" i="27"/>
  <c r="H58" i="28"/>
  <c r="H61" i="28" s="1"/>
  <c r="P58" i="28"/>
  <c r="P61" i="28" s="1"/>
  <c r="N57" i="28"/>
  <c r="D23" i="29"/>
  <c r="D24" i="29" s="1"/>
  <c r="L23" i="29"/>
  <c r="L24" i="29" s="1"/>
  <c r="T23" i="29"/>
  <c r="T24" i="29" s="1"/>
  <c r="G58" i="29"/>
  <c r="G61" i="29" s="1"/>
  <c r="O58" i="29"/>
  <c r="O61" i="29" s="1"/>
  <c r="P59" i="29"/>
  <c r="D64" i="30"/>
  <c r="I57" i="30"/>
  <c r="M19" i="21"/>
  <c r="G57" i="21"/>
  <c r="J19" i="22"/>
  <c r="E58" i="22"/>
  <c r="E61" i="22" s="1"/>
  <c r="E64" i="22" s="1"/>
  <c r="M58" i="22"/>
  <c r="M61" i="22" s="1"/>
  <c r="M64" i="22" s="1"/>
  <c r="U58" i="22"/>
  <c r="U61" i="22" s="1"/>
  <c r="A45" i="22"/>
  <c r="O57" i="22"/>
  <c r="H58" i="23"/>
  <c r="H61" i="23" s="1"/>
  <c r="H64" i="23" s="1"/>
  <c r="H65"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P24" i="28" s="1"/>
  <c r="H58" i="29"/>
  <c r="H61" i="29" s="1"/>
  <c r="P58" i="29"/>
  <c r="P61" i="29" s="1"/>
  <c r="E58" i="30"/>
  <c r="E61" i="30" s="1"/>
  <c r="E64" i="30" s="1"/>
  <c r="M58" i="30"/>
  <c r="M61" i="30" s="1"/>
  <c r="U58" i="30"/>
  <c r="U61" i="30" s="1"/>
  <c r="U64" i="30" s="1"/>
  <c r="U66" i="30" s="1"/>
  <c r="N57" i="30"/>
  <c r="F59" i="30"/>
  <c r="B58" i="30"/>
  <c r="B61" i="30" s="1"/>
  <c r="B64"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G23" i="30"/>
  <c r="G24" i="30" s="1"/>
  <c r="R19" i="30"/>
  <c r="F63" i="30"/>
  <c r="N63" i="30"/>
  <c r="K19" i="30"/>
  <c r="S19" i="30"/>
  <c r="S23" i="30"/>
  <c r="S24" i="30" s="1"/>
  <c r="A31" i="30"/>
  <c r="A33" i="30"/>
  <c r="A39" i="30"/>
  <c r="A41" i="30"/>
  <c r="A47" i="30"/>
  <c r="A49" i="30"/>
  <c r="G57" i="30"/>
  <c r="O57" i="30"/>
  <c r="G59" i="30"/>
  <c r="O59" i="30"/>
  <c r="G63" i="30"/>
  <c r="O63" i="30"/>
  <c r="P63" i="30"/>
  <c r="I63" i="30"/>
  <c r="Q63" i="30"/>
  <c r="T19" i="30"/>
  <c r="N19" i="30"/>
  <c r="V19" i="30"/>
  <c r="F23" i="30"/>
  <c r="F24" i="30" s="1"/>
  <c r="N23" i="30"/>
  <c r="N24" i="30" s="1"/>
  <c r="B63" i="30"/>
  <c r="J63" i="30"/>
  <c r="R63" i="30"/>
  <c r="M19" i="30"/>
  <c r="A32" i="30"/>
  <c r="A34" i="30"/>
  <c r="A40" i="30"/>
  <c r="A42" i="30"/>
  <c r="A48" i="30"/>
  <c r="A50" i="30"/>
  <c r="C63" i="30"/>
  <c r="K63" i="30"/>
  <c r="S63" i="30"/>
  <c r="P19" i="30"/>
  <c r="D63" i="30"/>
  <c r="L63" i="30"/>
  <c r="T63" i="30"/>
  <c r="H63" i="30"/>
  <c r="Q19" i="30"/>
  <c r="E63" i="30"/>
  <c r="M63" i="30"/>
  <c r="Q23" i="29"/>
  <c r="Q24" i="29" s="1"/>
  <c r="O23" i="29"/>
  <c r="O24" i="29" s="1"/>
  <c r="T19" i="29"/>
  <c r="P63" i="29"/>
  <c r="J19" i="29"/>
  <c r="R19" i="29"/>
  <c r="J23" i="29"/>
  <c r="J24" i="29" s="1"/>
  <c r="F57" i="29"/>
  <c r="N57" i="29"/>
  <c r="F59" i="29"/>
  <c r="N59" i="29"/>
  <c r="F63" i="29"/>
  <c r="N63" i="29"/>
  <c r="H63" i="29"/>
  <c r="K19" i="29"/>
  <c r="S19" i="29"/>
  <c r="K23" i="29"/>
  <c r="K24" i="29" s="1"/>
  <c r="S23" i="29"/>
  <c r="S24" i="29" s="1"/>
  <c r="A31" i="29"/>
  <c r="A33" i="29"/>
  <c r="A39" i="29"/>
  <c r="A41" i="29"/>
  <c r="A47" i="29"/>
  <c r="A49" i="29"/>
  <c r="G57" i="29"/>
  <c r="O57" i="29"/>
  <c r="G59" i="29"/>
  <c r="O59" i="29"/>
  <c r="G63" i="29"/>
  <c r="O63" i="29"/>
  <c r="E19" i="29"/>
  <c r="M19" i="29"/>
  <c r="U19" i="29"/>
  <c r="M23" i="29"/>
  <c r="M24" i="29" s="1"/>
  <c r="U23" i="29"/>
  <c r="U24" i="29" s="1"/>
  <c r="I57" i="29"/>
  <c r="Q57" i="29"/>
  <c r="I63" i="29"/>
  <c r="Q63" i="29"/>
  <c r="F19" i="29"/>
  <c r="N19" i="29"/>
  <c r="V19" i="29"/>
  <c r="N23" i="29"/>
  <c r="N24" i="29" s="1"/>
  <c r="B63" i="29"/>
  <c r="J63" i="29"/>
  <c r="R63" i="29"/>
  <c r="L19" i="29"/>
  <c r="O19" i="29"/>
  <c r="A32" i="29"/>
  <c r="A34" i="29"/>
  <c r="A40" i="29"/>
  <c r="A42" i="29"/>
  <c r="A48" i="29"/>
  <c r="A50" i="29"/>
  <c r="C63" i="29"/>
  <c r="K63" i="29"/>
  <c r="S63" i="29"/>
  <c r="P19" i="29"/>
  <c r="D63" i="29"/>
  <c r="L63" i="29"/>
  <c r="T63" i="29"/>
  <c r="E63" i="29"/>
  <c r="M63" i="29"/>
  <c r="K19" i="28"/>
  <c r="S19" i="28"/>
  <c r="K23" i="28"/>
  <c r="K24" i="28" s="1"/>
  <c r="A31" i="28"/>
  <c r="A33" i="28"/>
  <c r="A37" i="28"/>
  <c r="A39" i="28"/>
  <c r="A41" i="28"/>
  <c r="A45" i="28"/>
  <c r="A47" i="28"/>
  <c r="A49" i="28"/>
  <c r="G57" i="28"/>
  <c r="O57" i="28"/>
  <c r="G59" i="28"/>
  <c r="O59" i="28"/>
  <c r="G63" i="28"/>
  <c r="O63" i="28"/>
  <c r="D19" i="28"/>
  <c r="D20" i="28" s="1"/>
  <c r="L19" i="28"/>
  <c r="L23" i="28"/>
  <c r="L24" i="28" s="1"/>
  <c r="T23" i="28"/>
  <c r="T24" i="28" s="1"/>
  <c r="H59" i="28"/>
  <c r="P59" i="28"/>
  <c r="H63" i="28"/>
  <c r="P63" i="28"/>
  <c r="E19" i="28"/>
  <c r="E20" i="28" s="1"/>
  <c r="M19" i="28"/>
  <c r="U19" i="28"/>
  <c r="M23" i="28"/>
  <c r="M24" i="28" s="1"/>
  <c r="I57" i="28"/>
  <c r="Q57" i="28"/>
  <c r="I63" i="28"/>
  <c r="Q63" i="28"/>
  <c r="R19" i="28"/>
  <c r="V19" i="28"/>
  <c r="F23" i="28"/>
  <c r="F24" i="28" s="1"/>
  <c r="N23" i="28"/>
  <c r="N24" i="28" s="1"/>
  <c r="V23" i="28"/>
  <c r="V24" i="28" s="1"/>
  <c r="B63" i="28"/>
  <c r="J63" i="28"/>
  <c r="R63" i="28"/>
  <c r="A32" i="28"/>
  <c r="A34" i="28"/>
  <c r="A40" i="28"/>
  <c r="A42" i="28"/>
  <c r="A48" i="28"/>
  <c r="A50" i="28"/>
  <c r="C63" i="28"/>
  <c r="K63" i="28"/>
  <c r="S63" i="28"/>
  <c r="H19" i="28"/>
  <c r="H20" i="28" s="1"/>
  <c r="D63" i="28"/>
  <c r="L63" i="28"/>
  <c r="T63" i="28"/>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A32" i="27"/>
  <c r="A34" i="27"/>
  <c r="A40" i="27"/>
  <c r="A42" i="27"/>
  <c r="A48" i="27"/>
  <c r="A50" i="27"/>
  <c r="C63" i="27"/>
  <c r="K63" i="27"/>
  <c r="S63" i="27"/>
  <c r="L19" i="27"/>
  <c r="H19" i="27"/>
  <c r="D63" i="27"/>
  <c r="L63" i="27"/>
  <c r="T63" i="27"/>
  <c r="H63" i="27"/>
  <c r="Q19" i="27"/>
  <c r="E63" i="27"/>
  <c r="M63" i="27"/>
  <c r="U64" i="26"/>
  <c r="U66" i="26" s="1"/>
  <c r="O23" i="26"/>
  <c r="O24" i="26" s="1"/>
  <c r="J23" i="26"/>
  <c r="J24" i="26" s="1"/>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M23" i="26"/>
  <c r="M24" i="26" s="1"/>
  <c r="I57" i="26"/>
  <c r="Q57" i="26"/>
  <c r="I59" i="26"/>
  <c r="I64" i="26" s="1"/>
  <c r="Q59" i="26"/>
  <c r="Q64" i="26" s="1"/>
  <c r="I63" i="26"/>
  <c r="Q63" i="26"/>
  <c r="N19" i="26"/>
  <c r="N23" i="26"/>
  <c r="N24" i="26" s="1"/>
  <c r="V23" i="26"/>
  <c r="V24" i="26" s="1"/>
  <c r="B63" i="26"/>
  <c r="J63" i="26"/>
  <c r="R63" i="26"/>
  <c r="G19" i="26"/>
  <c r="G20" i="26" s="1"/>
  <c r="O19" i="26"/>
  <c r="A32" i="26"/>
  <c r="A34" i="26"/>
  <c r="A40" i="26"/>
  <c r="A42" i="26"/>
  <c r="A48" i="26"/>
  <c r="A50" i="26"/>
  <c r="C63" i="26"/>
  <c r="K63" i="26"/>
  <c r="S63" i="26"/>
  <c r="P19" i="26"/>
  <c r="D63" i="26"/>
  <c r="L63" i="26"/>
  <c r="J23" i="24"/>
  <c r="J24" i="24" s="1"/>
  <c r="P23" i="24"/>
  <c r="P24" i="24" s="1"/>
  <c r="K19" i="24"/>
  <c r="S19" i="24"/>
  <c r="K23" i="24"/>
  <c r="K24" i="24" s="1"/>
  <c r="A31" i="24"/>
  <c r="A33" i="24"/>
  <c r="A37" i="24"/>
  <c r="A39" i="24"/>
  <c r="A41" i="24"/>
  <c r="A45" i="24"/>
  <c r="A47" i="24"/>
  <c r="A49" i="24"/>
  <c r="G57" i="24"/>
  <c r="O57" i="24"/>
  <c r="G59" i="24"/>
  <c r="O59" i="24"/>
  <c r="G63" i="24"/>
  <c r="O63" i="24"/>
  <c r="H59" i="24"/>
  <c r="P59" i="24"/>
  <c r="H63" i="24"/>
  <c r="P63" i="24"/>
  <c r="U19" i="24"/>
  <c r="U23" i="24"/>
  <c r="U24" i="24" s="1"/>
  <c r="I57" i="24"/>
  <c r="Q57" i="24"/>
  <c r="I63" i="24"/>
  <c r="Q63" i="24"/>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S23" i="23"/>
  <c r="S24" i="23" s="1"/>
  <c r="A31" i="23"/>
  <c r="A33" i="23"/>
  <c r="A37" i="23"/>
  <c r="A39" i="23"/>
  <c r="A41" i="23"/>
  <c r="A45" i="23"/>
  <c r="A47" i="23"/>
  <c r="A49" i="23"/>
  <c r="G57" i="23"/>
  <c r="O57" i="23"/>
  <c r="G59" i="23"/>
  <c r="O59" i="23"/>
  <c r="L19" i="23"/>
  <c r="T19" i="23"/>
  <c r="D23" i="23"/>
  <c r="D24" i="23" s="1"/>
  <c r="L23" i="23"/>
  <c r="L24" i="23" s="1"/>
  <c r="T23" i="23"/>
  <c r="T24" i="23" s="1"/>
  <c r="M19" i="23"/>
  <c r="E23" i="23"/>
  <c r="E24" i="23" s="1"/>
  <c r="M23" i="23"/>
  <c r="M24" i="23" s="1"/>
  <c r="I57" i="23"/>
  <c r="Q57" i="23"/>
  <c r="F23" i="23"/>
  <c r="F24" i="23" s="1"/>
  <c r="N23" i="23"/>
  <c r="N24" i="23" s="1"/>
  <c r="O19" i="23"/>
  <c r="A32" i="23"/>
  <c r="A34" i="23"/>
  <c r="A40" i="23"/>
  <c r="A42" i="23"/>
  <c r="A48" i="23"/>
  <c r="A50" i="23"/>
  <c r="I19" i="23"/>
  <c r="Q19" i="23"/>
  <c r="U63" i="22"/>
  <c r="M63" i="22"/>
  <c r="E63" i="22"/>
  <c r="E65" i="22" s="1"/>
  <c r="F63" i="22"/>
  <c r="T63" i="22"/>
  <c r="L63" i="22"/>
  <c r="D63" i="22"/>
  <c r="S63" i="22"/>
  <c r="K63" i="22"/>
  <c r="C63" i="22"/>
  <c r="N63" i="22"/>
  <c r="R63" i="22"/>
  <c r="J63" i="22"/>
  <c r="B63" i="22"/>
  <c r="Q63" i="22"/>
  <c r="I63" i="22"/>
  <c r="P63" i="22"/>
  <c r="H63" i="22"/>
  <c r="O63" i="22"/>
  <c r="G63" i="22"/>
  <c r="S19" i="22"/>
  <c r="L19" i="22"/>
  <c r="T19" i="22"/>
  <c r="L23" i="22"/>
  <c r="L24" i="22" s="1"/>
  <c r="T23" i="22"/>
  <c r="T24" i="22" s="1"/>
  <c r="K23" i="22"/>
  <c r="K24" i="22" s="1"/>
  <c r="A31" i="22"/>
  <c r="A33" i="22"/>
  <c r="A41" i="22"/>
  <c r="A47" i="22"/>
  <c r="M19" i="22"/>
  <c r="E23" i="22"/>
  <c r="E24" i="22" s="1"/>
  <c r="U23" i="22"/>
  <c r="U24" i="22" s="1"/>
  <c r="I57" i="22"/>
  <c r="Q57" i="22"/>
  <c r="K19" i="22"/>
  <c r="A39" i="22"/>
  <c r="A49" i="22"/>
  <c r="N19" i="22"/>
  <c r="V19" i="22"/>
  <c r="V23" i="22"/>
  <c r="V24" i="22" s="1"/>
  <c r="A32" i="22"/>
  <c r="A34" i="22"/>
  <c r="A40" i="22"/>
  <c r="A42" i="22"/>
  <c r="A48" i="22"/>
  <c r="A50" i="22"/>
  <c r="P19" i="22"/>
  <c r="P64" i="21"/>
  <c r="L23" i="21"/>
  <c r="L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2" l="1"/>
  <c r="C24" i="22" s="1"/>
  <c r="C19" i="29"/>
  <c r="C20" i="29" s="1"/>
  <c r="C65" i="22"/>
  <c r="H65" i="26"/>
  <c r="H64" i="22"/>
  <c r="H65" i="22" s="1"/>
  <c r="H65" i="30"/>
  <c r="G64" i="30"/>
  <c r="G65" i="30" s="1"/>
  <c r="F64" i="26"/>
  <c r="F66" i="26" s="1"/>
  <c r="E65" i="24"/>
  <c r="E65" i="30"/>
  <c r="D65" i="21"/>
  <c r="D65" i="30"/>
  <c r="D65" i="28"/>
  <c r="D64" i="24"/>
  <c r="D65" i="24" s="1"/>
  <c r="C64" i="29"/>
  <c r="C65" i="29" s="1"/>
  <c r="C65" i="30"/>
  <c r="C65" i="21"/>
  <c r="C65" i="28"/>
  <c r="C64" i="26"/>
  <c r="C65" i="26" s="1"/>
  <c r="B65" i="24"/>
  <c r="B65" i="30"/>
  <c r="L64" i="22"/>
  <c r="D64" i="22"/>
  <c r="D65" i="22" s="1"/>
  <c r="Q64" i="22"/>
  <c r="U64" i="22"/>
  <c r="U66" i="22" s="1"/>
  <c r="S64" i="23"/>
  <c r="M64" i="23"/>
  <c r="M66" i="23" s="1"/>
  <c r="R64" i="23"/>
  <c r="R66" i="23" s="1"/>
  <c r="M64" i="29"/>
  <c r="D64" i="29"/>
  <c r="D65" i="29" s="1"/>
  <c r="O64" i="24"/>
  <c r="O66" i="24" s="1"/>
  <c r="I64" i="24"/>
  <c r="M64" i="24"/>
  <c r="S64" i="24"/>
  <c r="T64" i="26"/>
  <c r="T66" i="26" s="1"/>
  <c r="E64" i="26"/>
  <c r="E66" i="26" s="1"/>
  <c r="M64" i="28"/>
  <c r="S64" i="28"/>
  <c r="P64" i="27"/>
  <c r="G64" i="21"/>
  <c r="G66" i="21" s="1"/>
  <c r="S64" i="21"/>
  <c r="S66" i="21" s="1"/>
  <c r="E64" i="21"/>
  <c r="E66" i="21" s="1"/>
  <c r="F64" i="21"/>
  <c r="F66" i="21" s="1"/>
  <c r="N64" i="28"/>
  <c r="N66" i="28" s="1"/>
  <c r="J64" i="21"/>
  <c r="J66" i="21" s="1"/>
  <c r="F64" i="24"/>
  <c r="F66" i="24" s="1"/>
  <c r="F64" i="28"/>
  <c r="D64" i="26"/>
  <c r="D66" i="26" s="1"/>
  <c r="H64" i="29"/>
  <c r="S64" i="30"/>
  <c r="S66" i="30" s="1"/>
  <c r="Q64" i="23"/>
  <c r="Q66" i="23" s="1"/>
  <c r="F64" i="30"/>
  <c r="F66" i="30" s="1"/>
  <c r="K64" i="23"/>
  <c r="K66" i="23" s="1"/>
  <c r="R64" i="26"/>
  <c r="E64" i="24"/>
  <c r="E66" i="24" s="1"/>
  <c r="J64" i="22"/>
  <c r="J66" i="22" s="1"/>
  <c r="H64" i="21"/>
  <c r="H65" i="21" s="1"/>
  <c r="H64" i="28"/>
  <c r="H66" i="28" s="1"/>
  <c r="G64" i="28"/>
  <c r="G66" i="28" s="1"/>
  <c r="P64" i="26"/>
  <c r="E64" i="28"/>
  <c r="E66" i="28" s="1"/>
  <c r="N64" i="23"/>
  <c r="J64" i="26"/>
  <c r="B64" i="23"/>
  <c r="B66" i="23" s="1"/>
  <c r="M64" i="27"/>
  <c r="M66" i="27" s="1"/>
  <c r="H64" i="27"/>
  <c r="G64" i="22"/>
  <c r="G66" i="22" s="1"/>
  <c r="L64" i="29"/>
  <c r="G64" i="24"/>
  <c r="G66" i="24" s="1"/>
  <c r="H64" i="24"/>
  <c r="H66" i="24" s="1"/>
  <c r="D64" i="23"/>
  <c r="D65" i="23" s="1"/>
  <c r="K64" i="24"/>
  <c r="P64" i="24"/>
  <c r="U64" i="29"/>
  <c r="U66" i="29" s="1"/>
  <c r="O66" i="21"/>
  <c r="M64" i="30"/>
  <c r="M66" i="30" s="1"/>
  <c r="K64" i="26"/>
  <c r="K66" i="26" s="1"/>
  <c r="C64" i="28"/>
  <c r="C66" i="28" s="1"/>
  <c r="C64" i="24"/>
  <c r="C66" i="24" s="1"/>
  <c r="L64" i="27"/>
  <c r="L66" i="27" s="1"/>
  <c r="R64" i="24"/>
  <c r="R66" i="24" s="1"/>
  <c r="K64" i="29"/>
  <c r="K66" i="29" s="1"/>
  <c r="J64" i="29"/>
  <c r="J66" i="29" s="1"/>
  <c r="E64" i="29"/>
  <c r="M64" i="21"/>
  <c r="P64" i="28"/>
  <c r="P66" i="28" s="1"/>
  <c r="I64" i="21"/>
  <c r="I66" i="21" s="1"/>
  <c r="U64" i="28"/>
  <c r="U66" i="28" s="1"/>
  <c r="U64" i="24"/>
  <c r="U66" i="24" s="1"/>
  <c r="F64" i="23"/>
  <c r="U64" i="27"/>
  <c r="U66" i="27" s="1"/>
  <c r="C19" i="22"/>
  <c r="C20" i="22" s="1"/>
  <c r="S66" i="27"/>
  <c r="D66" i="30"/>
  <c r="Q66" i="30"/>
  <c r="N66" i="22"/>
  <c r="B64" i="22"/>
  <c r="B66" i="22" s="1"/>
  <c r="B64" i="29"/>
  <c r="B66" i="29" s="1"/>
  <c r="B64" i="28"/>
  <c r="B66" i="28" s="1"/>
  <c r="B64" i="27"/>
  <c r="B66" i="27" s="1"/>
  <c r="B64" i="26"/>
  <c r="B66" i="26" s="1"/>
  <c r="B64" i="21"/>
  <c r="B66" i="21" s="1"/>
  <c r="T66" i="29"/>
  <c r="P66" i="22"/>
  <c r="O64" i="27"/>
  <c r="O66" i="27" s="1"/>
  <c r="O64" i="28"/>
  <c r="O66" i="28" s="1"/>
  <c r="N64" i="27"/>
  <c r="N66" i="27" s="1"/>
  <c r="N64" i="30"/>
  <c r="N66" i="30" s="1"/>
  <c r="L66" i="30"/>
  <c r="J66" i="28"/>
  <c r="G64" i="26"/>
  <c r="G66" i="26" s="1"/>
  <c r="G64" i="29"/>
  <c r="F64" i="22"/>
  <c r="F66" i="22" s="1"/>
  <c r="O64" i="26"/>
  <c r="O66" i="26" s="1"/>
  <c r="R66" i="22"/>
  <c r="L66" i="22"/>
  <c r="T66" i="24"/>
  <c r="U66" i="23"/>
  <c r="P64" i="30"/>
  <c r="P66" i="30" s="1"/>
  <c r="C66" i="23"/>
  <c r="P66" i="23"/>
  <c r="E66" i="22"/>
  <c r="T66" i="23"/>
  <c r="Q66" i="21"/>
  <c r="P66" i="21"/>
  <c r="K66" i="27"/>
  <c r="G64" i="23"/>
  <c r="Q66" i="24"/>
  <c r="R66" i="27"/>
  <c r="C66" i="27"/>
  <c r="H66" i="23"/>
  <c r="J66" i="27"/>
  <c r="G64" i="27"/>
  <c r="J66" i="30"/>
  <c r="F64" i="27"/>
  <c r="T66" i="27"/>
  <c r="L66" i="29"/>
  <c r="Q66" i="22"/>
  <c r="J66" i="26"/>
  <c r="C66" i="22"/>
  <c r="T66" i="21"/>
  <c r="S66" i="23"/>
  <c r="H66" i="30"/>
  <c r="E66" i="30"/>
  <c r="S66" i="24"/>
  <c r="L66" i="21"/>
  <c r="D66" i="22"/>
  <c r="S66" i="26"/>
  <c r="L66" i="28"/>
  <c r="L66" i="26"/>
  <c r="T66" i="30"/>
  <c r="R66" i="28"/>
  <c r="N64" i="26"/>
  <c r="N66" i="26" s="1"/>
  <c r="O64" i="29"/>
  <c r="O66" i="29" s="1"/>
  <c r="P64" i="29"/>
  <c r="P66" i="29" s="1"/>
  <c r="S64" i="1"/>
  <c r="R66" i="26"/>
  <c r="D66" i="27"/>
  <c r="N64" i="29"/>
  <c r="N66" i="29" s="1"/>
  <c r="R66" i="30"/>
  <c r="L66" i="23"/>
  <c r="O66" i="22"/>
  <c r="R64" i="1"/>
  <c r="J66" i="23"/>
  <c r="Q64" i="1"/>
  <c r="U64" i="1"/>
  <c r="P64" i="1"/>
  <c r="E66" i="27"/>
  <c r="J66" i="24"/>
  <c r="Q66" i="29"/>
  <c r="F64" i="29"/>
  <c r="O64" i="23"/>
  <c r="O66" i="23" s="1"/>
  <c r="O64" i="30"/>
  <c r="O66" i="30" s="1"/>
  <c r="N64" i="24"/>
  <c r="N66" i="24" s="1"/>
  <c r="B66" i="30"/>
  <c r="B66" i="24"/>
  <c r="K66" i="30"/>
  <c r="C66" i="30"/>
  <c r="I66" i="30"/>
  <c r="R66" i="29"/>
  <c r="M66" i="29"/>
  <c r="I66" i="29"/>
  <c r="S66" i="29"/>
  <c r="T66" i="28"/>
  <c r="D66" i="28"/>
  <c r="M66" i="28"/>
  <c r="Q66" i="28"/>
  <c r="I66" i="28"/>
  <c r="S66" i="28"/>
  <c r="K66" i="28"/>
  <c r="Q66" i="27"/>
  <c r="I66" i="27"/>
  <c r="P66" i="27"/>
  <c r="Q66" i="26"/>
  <c r="P66" i="26"/>
  <c r="I66" i="26"/>
  <c r="H66" i="26"/>
  <c r="L66" i="24"/>
  <c r="I66" i="24"/>
  <c r="P66" i="24"/>
  <c r="D66" i="24"/>
  <c r="K66" i="24"/>
  <c r="M66" i="24"/>
  <c r="I66" i="23"/>
  <c r="N66" i="23"/>
  <c r="E66" i="23"/>
  <c r="I66" i="22"/>
  <c r="M66" i="22"/>
  <c r="S66" i="22"/>
  <c r="K66" i="22"/>
  <c r="T66" i="22"/>
  <c r="M66" i="21"/>
  <c r="K66" i="21"/>
  <c r="C66" i="21"/>
  <c r="D66" i="21"/>
  <c r="R66" i="21"/>
  <c r="N64" i="1"/>
  <c r="M64" i="1"/>
  <c r="T64" i="1"/>
  <c r="L64" i="1"/>
  <c r="J64" i="1"/>
  <c r="K64" i="1"/>
  <c r="O64" i="1"/>
  <c r="C64" i="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H65" i="1" l="1"/>
  <c r="G66" i="30"/>
  <c r="C66" i="29"/>
  <c r="C65" i="24"/>
  <c r="B65" i="21"/>
  <c r="H65" i="28"/>
  <c r="H66" i="21"/>
  <c r="H66" i="22"/>
  <c r="H66" i="27"/>
  <c r="H65" i="27"/>
  <c r="H65" i="24"/>
  <c r="H66" i="29"/>
  <c r="H65" i="29"/>
  <c r="G65" i="21"/>
  <c r="G66" i="23"/>
  <c r="G65" i="23"/>
  <c r="G66" i="27"/>
  <c r="G65" i="27"/>
  <c r="G65" i="28"/>
  <c r="G65" i="26"/>
  <c r="G65" i="1"/>
  <c r="G65" i="24"/>
  <c r="G66" i="29"/>
  <c r="G65" i="29"/>
  <c r="G65" i="22"/>
  <c r="F65" i="1"/>
  <c r="F65" i="30"/>
  <c r="F65" i="21"/>
  <c r="F66" i="27"/>
  <c r="F65" i="27"/>
  <c r="F66" i="28"/>
  <c r="F65" i="28"/>
  <c r="F66" i="23"/>
  <c r="F65" i="23"/>
  <c r="F65" i="26"/>
  <c r="F66" i="29"/>
  <c r="F65" i="29"/>
  <c r="F65" i="22"/>
  <c r="F65" i="24"/>
  <c r="E65" i="21"/>
  <c r="E65" i="28"/>
  <c r="E65" i="1"/>
  <c r="E66" i="29"/>
  <c r="E65" i="29"/>
  <c r="E65" i="26"/>
  <c r="D66" i="23"/>
  <c r="D65" i="1"/>
  <c r="D65" i="26"/>
  <c r="D66" i="29"/>
  <c r="C66" i="26"/>
  <c r="C65" i="1"/>
  <c r="B65" i="22"/>
  <c r="B65" i="27"/>
  <c r="B65" i="23"/>
  <c r="B65" i="1"/>
  <c r="B65" i="28"/>
  <c r="B65" i="29"/>
  <c r="B65" i="26"/>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<sst xmlns="http://schemas.openxmlformats.org/spreadsheetml/2006/main" count="2242" uniqueCount="172">
  <si>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</si>
  <si>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</si>
  <si>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</si>
  <si>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</si>
  <si>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</si>
  <si>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</si>
  <si>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</si>
  <si>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</si>
  <si>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</si>
  <si>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</si>
  <si>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</si>
  <si>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</si>
  <si>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</si>
  <si>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</si>
  <si>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</si>
  <si>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</si>
  <si>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</si>
  <si>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</si>
  <si>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</si>
  <si>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</si>
  <si>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</si>
  <si>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</si>
  <si>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</si>
  <si>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</si>
  <si>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</si>
  <si>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</si>
  <si>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</si>
  <si>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</si>
  <si>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</si>
  <si>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</si>
  <si>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</si>
  <si>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</si>
  <si>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</si>
  <si>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</si>
  <si>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</si>
  <si>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</si>
  <si>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</si>
  <si>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</si>
  <si>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</si>
  <si>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</si>
  <si>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</si>
  <si>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</si>
  <si>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</si>
  <si>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</si>
  <si>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</si>
  <si>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</si>
  <si>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</si>
  <si>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</si>
  <si>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</si>
  <si>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</si>
  <si>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</si>
  <si>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</si>
  <si>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</si>
  <si>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</si>
  <si>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</si>
  <si>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</si>
  <si>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</si>
  <si>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</si>
  <si>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</si>
  <si>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</si>
  <si>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</si>
  <si>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</si>
  <si>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</si>
  <si>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</si>
  <si>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</si>
  <si>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</si>
  <si>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</si>
  <si>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</si>
  <si>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</si>
  <si>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</si>
  <si>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</si>
  <si>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</si>
  <si>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</si>
  <si>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</si>
  <si>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</si>
  <si>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</si>
  <si>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</si>
  <si>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</si>
  <si>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</si>
  <si>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</si>
  <si>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</si>
  <si>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</si>
  <si>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</si>
  <si>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</si>
  <si>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</si>
  <si>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</si>
  <si>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</si>
  <si>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</si>
  <si>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</si>
  <si>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</si>
  <si>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</si>
  <si>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</si>
  <si>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</si>
  <si>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</si>
  <si>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</si>
  <si>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</si>
  <si>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</si>
  <si>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</si>
  <si>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</si>
  <si>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</si>
  <si>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</si>
  <si>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</si>
  <si>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</si>
  <si>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</si>
  <si>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</si>
  <si>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</si>
  <si>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</si>
  <si>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</si>
  <si>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</si>
  <si>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</si>
  <si>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</si>
  <si>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</si>
  <si>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</si>
  <si>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</si>
  <si>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</si>
  <si>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</si>
  <si>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</si>
  <si>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</si>
  <si>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</si>
  <si>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</si>
  <si>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</si>
  <si>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</si>
  <si>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</si>
  <si>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</si>
  <si>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</si>
  <si>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</si>
  <si>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</si>
  <si>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</si>
  <si>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</si>
  <si>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</si>
  <si>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</si>
  <si>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</si>
  <si>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</si>
  <si>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</si>
  <si>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</si>
  <si>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</si>
  <si>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</si>
  <si>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</si>
  <si>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</si>
  <si>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</si>
  <si>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</si>
  <si>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</si>
  <si>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</si>
  <si>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</si>
  <si>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</si>
  <si>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</si>
  <si>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</si>
  <si>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</si>
  <si>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</si>
  <si>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</si>
  <si>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</si>
  <si>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</si>
  <si>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</si>
  <si>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</si>
  <si>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</si>
  <si>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</si>
  <si>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</si>
  <si>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</si>
  <si>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</si>
  <si>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</si>
  <si>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46.9 ha</t>
  </si>
  <si>
    <t>PAN-019774</t>
  </si>
  <si>
    <t>EPR/GP3792SK</t>
  </si>
  <si>
    <t xml:space="preserve">Mr Richard Evans </t>
  </si>
  <si>
    <t>Tylebrithos, Cantref, Brecon, LD3 8LR</t>
  </si>
  <si>
    <t>Owen Clee</t>
  </si>
  <si>
    <t>19 09 02</t>
  </si>
  <si>
    <t>Potable water treatment
sludge</t>
  </si>
  <si>
    <t>Abercynrig 2</t>
  </si>
  <si>
    <t>Abercynrig 10</t>
  </si>
  <si>
    <t>Moderate</t>
  </si>
  <si>
    <t xml:space="preserve">Moderate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</si>
</sst>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B1" zoomScale="90" zoomScaleNormal="90" workbookViewId="0">
      <selection activeCell="M53" sqref="M5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8" t="s">
        <v>41</v>
      </c>
      <c r="B1" s="128"/>
      <c r="C1" s="122" t="s">
        <v>161</v>
      </c>
      <c r="D1" s="123"/>
      <c r="E1" s="92" t="s">
        <v>45</v>
      </c>
      <c r="F1" s="95" t="s">
        <v>160</v>
      </c>
      <c r="G1" s="124" t="s">
        <v>43</v>
      </c>
      <c r="H1" s="125"/>
      <c r="I1" s="95">
        <v>6.1</v>
      </c>
      <c r="J1" s="128" t="s">
        <v>153</v>
      </c>
      <c r="K1" s="128"/>
      <c r="L1" s="95">
        <v>230</v>
      </c>
      <c r="AB1" s="18"/>
      <c r="AC1" s="18"/>
      <c r="AD1" s="29" t="s">
        <v>126</v>
      </c>
      <c r="AE1" s="17"/>
      <c r="AF1" s="17"/>
      <c r="AG1" s="18"/>
      <c r="AH1" s="18"/>
      <c r="AI1" s="39" t="s">
        <v>79</v>
      </c>
      <c r="AJ1" s="40" t="s">
        <v>94</v>
      </c>
      <c r="AK1" s="41" t="s">
        <v>95</v>
      </c>
      <c r="AL1" s="42" t="s">
        <v>125</v>
      </c>
      <c r="AM1" s="42" t="s">
        <v>131</v>
      </c>
      <c r="AN1" s="42" t="s">
        <v>111</v>
      </c>
    </row>
    <row r="2" spans="1:40" ht="13" x14ac:dyDescent="0.3">
      <c r="A2" s="128" t="s">
        <v>87</v>
      </c>
      <c r="B2" s="128"/>
      <c r="C2" s="120" t="s">
        <v>162</v>
      </c>
      <c r="D2" s="121"/>
      <c r="E2" s="92" t="s">
        <v>109</v>
      </c>
      <c r="F2" s="95" t="s">
        <v>166</v>
      </c>
      <c r="G2" s="126" t="s">
        <v>110</v>
      </c>
      <c r="H2" s="127"/>
      <c r="I2" s="95"/>
      <c r="J2" s="128" t="s">
        <v>158</v>
      </c>
      <c r="K2" s="128"/>
      <c r="L2" s="95">
        <v>0.72</v>
      </c>
      <c r="AB2" s="29" t="s">
        <v>56</v>
      </c>
      <c r="AC2" s="17"/>
      <c r="AD2" s="29" t="s">
        <v>70</v>
      </c>
      <c r="AE2" s="17"/>
      <c r="AF2" s="17"/>
      <c r="AG2" s="43" t="s">
        <v>76</v>
      </c>
      <c r="AH2" s="18"/>
      <c r="AI2" s="44" t="s">
        <v>126</v>
      </c>
      <c r="AJ2" s="45">
        <v>0</v>
      </c>
      <c r="AK2" s="46">
        <v>0</v>
      </c>
      <c r="AL2" s="10">
        <v>0</v>
      </c>
      <c r="AM2" s="11">
        <v>0</v>
      </c>
      <c r="AN2" s="11">
        <v>0</v>
      </c>
    </row>
    <row r="3" spans="1:40" ht="13" x14ac:dyDescent="0.25">
      <c r="A3" s="124" t="s">
        <v>42</v>
      </c>
      <c r="B3" s="125"/>
      <c r="C3" s="120" t="s">
        <v>163</v>
      </c>
      <c r="D3" s="121"/>
      <c r="E3" s="92" t="s">
        <v>108</v>
      </c>
      <c r="F3" s="30" t="s">
        <v>78</v>
      </c>
      <c r="G3" s="128" t="s">
        <v>159</v>
      </c>
      <c r="H3" s="128"/>
      <c r="I3" s="95"/>
      <c r="J3" s="124" t="s">
        <v>154</v>
      </c>
      <c r="K3" s="125"/>
      <c r="L3" s="95">
        <f>(L1/(L2*10000))*100</f>
        <v>3.1944444444444442</v>
      </c>
      <c r="AB3" s="29" t="s">
        <v>57</v>
      </c>
      <c r="AC3" s="17"/>
      <c r="AD3" s="29" t="s">
        <v>71</v>
      </c>
      <c r="AE3" s="17"/>
      <c r="AF3" s="17"/>
      <c r="AG3" s="43" t="s">
        <v>77</v>
      </c>
      <c r="AH3" s="18"/>
      <c r="AI3" s="47" t="s">
        <v>113</v>
      </c>
      <c r="AJ3" s="48">
        <v>1.7</v>
      </c>
      <c r="AK3" s="49">
        <v>6</v>
      </c>
      <c r="AL3" s="50">
        <v>1</v>
      </c>
      <c r="AM3" s="11">
        <v>6.2</v>
      </c>
      <c r="AN3" s="11" t="s">
        <v>112</v>
      </c>
    </row>
    <row r="4" spans="1:40" ht="25" x14ac:dyDescent="0.25">
      <c r="A4" s="128" t="s">
        <v>0</v>
      </c>
      <c r="B4" s="128"/>
      <c r="C4" s="122" t="s">
        <v>164</v>
      </c>
      <c r="D4" s="123"/>
      <c r="E4" s="93" t="s">
        <v>1</v>
      </c>
      <c r="F4" s="118" t="s">
        <v>167</v>
      </c>
      <c r="G4" s="128"/>
      <c r="H4" s="128"/>
      <c r="I4" s="95"/>
      <c r="J4" s="124"/>
      <c r="K4" s="125"/>
      <c r="L4" s="95"/>
      <c r="AB4" s="29" t="s">
        <v>52</v>
      </c>
      <c r="AC4" s="17"/>
      <c r="AD4" s="51" t="s">
        <v>72</v>
      </c>
      <c r="AE4" s="17"/>
      <c r="AF4" s="17"/>
      <c r="AG4" s="43" t="s">
        <v>78</v>
      </c>
      <c r="AH4" s="18"/>
      <c r="AI4" s="52" t="s">
        <v>124</v>
      </c>
      <c r="AJ4" s="53">
        <v>7</v>
      </c>
      <c r="AK4" s="54">
        <v>10.5</v>
      </c>
      <c r="AL4" s="11">
        <v>2</v>
      </c>
      <c r="AM4" s="11">
        <v>6.7</v>
      </c>
      <c r="AN4" s="11" t="s">
        <v>135</v>
      </c>
    </row>
    <row r="5" spans="1:40" ht="13" x14ac:dyDescent="0.25">
      <c r="A5" s="128" t="s">
        <v>47</v>
      </c>
      <c r="B5" s="128"/>
      <c r="C5" s="129" t="s">
        <v>165</v>
      </c>
      <c r="D5" s="129"/>
      <c r="E5" s="93"/>
      <c r="F5" s="94"/>
      <c r="G5" s="128"/>
      <c r="H5" s="128"/>
      <c r="I5" s="95"/>
      <c r="J5" s="124"/>
      <c r="K5" s="125"/>
      <c r="L5" s="95"/>
      <c r="AB5" s="29" t="s">
        <v>53</v>
      </c>
      <c r="AC5" s="17"/>
      <c r="AD5" s="51" t="s">
        <v>73</v>
      </c>
      <c r="AE5" s="17"/>
      <c r="AF5" s="17"/>
      <c r="AG5" s="43" t="s">
        <v>104</v>
      </c>
      <c r="AH5" s="18"/>
      <c r="AI5" s="52" t="s">
        <v>123</v>
      </c>
      <c r="AJ5" s="53">
        <v>6.5</v>
      </c>
      <c r="AK5" s="54">
        <v>5.5</v>
      </c>
      <c r="AL5" s="11">
        <v>3</v>
      </c>
      <c r="AM5" s="11">
        <v>6.7</v>
      </c>
      <c r="AN5" s="11" t="s">
        <v>135</v>
      </c>
    </row>
    <row r="6" spans="1:40"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0"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row>
    <row r="8" spans="1:40" ht="13" x14ac:dyDescent="0.25">
      <c r="A8" s="128" t="s">
        <v>2</v>
      </c>
      <c r="B8" s="128"/>
      <c r="C8" s="15" t="s">
        <v>168</v>
      </c>
      <c r="D8" s="15" t="s">
        <v>169</v>
      </c>
      <c r="E8" s="15">
        <v>1</v>
      </c>
      <c r="F8" s="15">
        <v>2</v>
      </c>
      <c r="G8" s="15">
        <v>10</v>
      </c>
      <c r="H8" s="15">
        <v>11</v>
      </c>
      <c r="I8" s="15">
        <v>16</v>
      </c>
      <c r="J8" s="15"/>
      <c r="K8" s="15"/>
      <c r="L8" s="15"/>
      <c r="M8" s="15"/>
      <c r="N8" s="15"/>
      <c r="O8" s="15"/>
      <c r="P8" s="15"/>
      <c r="Q8" s="15"/>
      <c r="R8" s="15"/>
      <c r="S8" s="15"/>
      <c r="T8" s="15"/>
      <c r="U8" s="15"/>
      <c r="V8" s="15"/>
      <c r="AB8" s="60"/>
      <c r="AC8" s="60"/>
      <c r="AD8" s="18"/>
      <c r="AE8" s="17" t="s">
        <v>139</v>
      </c>
      <c r="AF8" s="17"/>
      <c r="AG8" s="18"/>
      <c r="AH8" s="18"/>
      <c r="AI8" s="52" t="s">
        <v>105</v>
      </c>
      <c r="AJ8" s="61">
        <v>1.4</v>
      </c>
      <c r="AK8" s="54">
        <v>4.4000000000000004</v>
      </c>
      <c r="AL8" s="11">
        <v>6</v>
      </c>
      <c r="AM8" s="11">
        <v>6.7</v>
      </c>
      <c r="AN8" s="11" t="s">
        <v>135</v>
      </c>
    </row>
    <row r="9" spans="1:40" ht="13" x14ac:dyDescent="0.25">
      <c r="A9" s="128" t="s">
        <v>3</v>
      </c>
      <c r="B9" s="128"/>
      <c r="C9" s="15" t="s">
        <v>170</v>
      </c>
      <c r="D9" s="15" t="s">
        <v>171</v>
      </c>
      <c r="E9" s="15">
        <v>1</v>
      </c>
      <c r="F9" s="15">
        <v>1</v>
      </c>
      <c r="G9" s="15" t="s">
        <v>170</v>
      </c>
      <c r="H9" s="15" t="s">
        <v>171</v>
      </c>
      <c r="I9" s="15" t="s">
        <v>171</v>
      </c>
      <c r="J9" s="15"/>
      <c r="K9" s="15"/>
      <c r="L9" s="15"/>
      <c r="M9" s="15"/>
      <c r="N9" s="15"/>
      <c r="O9" s="15"/>
      <c r="P9" s="15"/>
      <c r="Q9" s="15"/>
      <c r="R9" s="15"/>
      <c r="S9" s="15"/>
      <c r="T9" s="15"/>
      <c r="U9" s="15"/>
      <c r="V9" s="15"/>
      <c r="AB9" s="17"/>
      <c r="AC9" s="17"/>
      <c r="AD9" s="29" t="s">
        <v>137</v>
      </c>
      <c r="AE9" s="29">
        <v>4.5</v>
      </c>
      <c r="AF9" s="17"/>
      <c r="AG9" s="18"/>
      <c r="AH9" s="18"/>
      <c r="AI9" s="62" t="s">
        <v>103</v>
      </c>
      <c r="AJ9" s="63">
        <v>0.7</v>
      </c>
      <c r="AK9" s="64">
        <v>4</v>
      </c>
      <c r="AL9" s="28">
        <v>7</v>
      </c>
      <c r="AM9" s="11">
        <v>6.7</v>
      </c>
      <c r="AN9" s="11" t="s">
        <v>135</v>
      </c>
    </row>
    <row r="10" spans="1:40" ht="13" x14ac:dyDescent="0.25">
      <c r="A10" s="128" t="s">
        <v>4</v>
      </c>
      <c r="B10" s="128"/>
      <c r="C10" s="15">
        <v>6.2</v>
      </c>
      <c r="D10" s="15">
        <v>5.2</v>
      </c>
      <c r="E10" s="15">
        <v>5.5</v>
      </c>
      <c r="F10" s="15">
        <v>5</v>
      </c>
      <c r="G10" s="15">
        <v>5.5</v>
      </c>
      <c r="H10" s="15">
        <v>5.4</v>
      </c>
      <c r="I10" s="15">
        <v>5.5</v>
      </c>
      <c r="J10" s="15"/>
      <c r="K10" s="15"/>
      <c r="L10" s="15"/>
      <c r="M10" s="15"/>
      <c r="N10" s="15"/>
      <c r="O10" s="15"/>
      <c r="P10" s="15"/>
      <c r="Q10" s="15"/>
      <c r="R10" s="15"/>
      <c r="S10" s="15"/>
      <c r="T10" s="15"/>
      <c r="U10" s="15"/>
      <c r="V10" s="15"/>
      <c r="AB10" s="17"/>
      <c r="AC10" s="17"/>
      <c r="AD10" s="29" t="s">
        <v>140</v>
      </c>
      <c r="AE10" s="29">
        <v>5</v>
      </c>
      <c r="AF10" s="17"/>
      <c r="AG10" s="18"/>
      <c r="AH10" s="18"/>
      <c r="AI10" s="52" t="s">
        <v>97</v>
      </c>
      <c r="AJ10" s="53">
        <v>9</v>
      </c>
      <c r="AK10" s="54">
        <v>16.5</v>
      </c>
      <c r="AL10" s="11">
        <v>8</v>
      </c>
      <c r="AM10" s="11">
        <v>6.7</v>
      </c>
      <c r="AN10" s="11" t="s">
        <v>135</v>
      </c>
    </row>
    <row r="11" spans="1:40" ht="13" x14ac:dyDescent="0.25">
      <c r="A11" s="128" t="s">
        <v>5</v>
      </c>
      <c r="B11" s="128"/>
      <c r="C11" s="15">
        <v>3</v>
      </c>
      <c r="D11" s="15">
        <v>3</v>
      </c>
      <c r="E11" s="15">
        <v>3</v>
      </c>
      <c r="F11" s="15">
        <v>4</v>
      </c>
      <c r="G11" s="15">
        <v>2</v>
      </c>
      <c r="H11" s="15">
        <v>2</v>
      </c>
      <c r="I11" s="15">
        <v>3</v>
      </c>
      <c r="J11" s="15"/>
      <c r="K11" s="15"/>
      <c r="L11" s="15"/>
      <c r="M11" s="15"/>
      <c r="N11" s="15"/>
      <c r="O11" s="15"/>
      <c r="P11" s="15"/>
      <c r="Q11" s="15"/>
      <c r="R11" s="15"/>
      <c r="S11" s="15"/>
      <c r="T11" s="15"/>
      <c r="U11" s="15"/>
      <c r="V11" s="15"/>
      <c r="AB11" s="17"/>
      <c r="AC11" s="17"/>
      <c r="AD11" s="51" t="s">
        <v>141</v>
      </c>
      <c r="AE11" s="29">
        <v>6</v>
      </c>
      <c r="AF11" s="17"/>
      <c r="AG11" s="18"/>
      <c r="AH11" s="18"/>
      <c r="AI11" s="52" t="s">
        <v>122</v>
      </c>
      <c r="AJ11" s="53">
        <v>15</v>
      </c>
      <c r="AK11" s="54">
        <v>17.5</v>
      </c>
      <c r="AL11" s="11">
        <v>9</v>
      </c>
      <c r="AM11" s="11">
        <v>7</v>
      </c>
      <c r="AN11" s="11" t="s">
        <v>135</v>
      </c>
    </row>
    <row r="12" spans="1:40" ht="13" x14ac:dyDescent="0.25">
      <c r="A12" s="128" t="s">
        <v>6</v>
      </c>
      <c r="B12" s="128"/>
      <c r="C12" s="15">
        <v>2</v>
      </c>
      <c r="D12" s="15">
        <v>1</v>
      </c>
      <c r="E12" s="15">
        <v>2</v>
      </c>
      <c r="F12" s="15">
        <v>1</v>
      </c>
      <c r="G12" s="15">
        <v>1</v>
      </c>
      <c r="H12" s="15">
        <v>1</v>
      </c>
      <c r="I12" s="15">
        <v>1</v>
      </c>
      <c r="J12" s="15"/>
      <c r="K12" s="15"/>
      <c r="L12" s="15"/>
      <c r="M12" s="15"/>
      <c r="N12" s="15"/>
      <c r="O12" s="15"/>
      <c r="P12" s="15"/>
      <c r="Q12" s="15"/>
      <c r="R12" s="15"/>
      <c r="S12" s="15"/>
      <c r="T12" s="15"/>
      <c r="U12" s="15"/>
      <c r="V12" s="15"/>
      <c r="AB12" s="17"/>
      <c r="AC12" s="17"/>
      <c r="AD12" s="51" t="s">
        <v>142</v>
      </c>
      <c r="AE12" s="29">
        <v>7.5</v>
      </c>
      <c r="AF12" s="17"/>
      <c r="AG12" s="18"/>
      <c r="AH12" s="18"/>
      <c r="AI12" s="52" t="s">
        <v>121</v>
      </c>
      <c r="AJ12" s="53">
        <v>14</v>
      </c>
      <c r="AK12" s="54">
        <v>11</v>
      </c>
      <c r="AL12" s="11">
        <v>10</v>
      </c>
      <c r="AM12" s="11">
        <v>7</v>
      </c>
      <c r="AN12" s="11" t="s">
        <v>135</v>
      </c>
    </row>
    <row r="13" spans="1:40" ht="13" x14ac:dyDescent="0.25">
      <c r="A13" s="128" t="s">
        <v>7</v>
      </c>
      <c r="B13" s="128"/>
      <c r="C13" s="15">
        <v>3</v>
      </c>
      <c r="D13" s="15">
        <v>2</v>
      </c>
      <c r="E13" s="15">
        <v>3</v>
      </c>
      <c r="F13" s="15">
        <v>2</v>
      </c>
      <c r="G13" s="15">
        <v>2</v>
      </c>
      <c r="H13" s="15">
        <v>2</v>
      </c>
      <c r="I13" s="15">
        <v>3</v>
      </c>
      <c r="J13" s="15"/>
      <c r="K13" s="15"/>
      <c r="L13" s="15"/>
      <c r="M13" s="15"/>
      <c r="N13" s="15"/>
      <c r="O13" s="15"/>
      <c r="P13" s="15"/>
      <c r="Q13" s="15"/>
      <c r="R13" s="15"/>
      <c r="S13" s="15"/>
      <c r="T13" s="15"/>
      <c r="U13" s="15"/>
      <c r="V13" s="15"/>
      <c r="AB13" s="17"/>
      <c r="AC13" s="17"/>
      <c r="AD13" s="51" t="s">
        <v>143</v>
      </c>
      <c r="AE13" s="29">
        <v>12</v>
      </c>
      <c r="AF13" s="17"/>
      <c r="AG13" s="18"/>
      <c r="AH13" s="18"/>
      <c r="AI13" s="52" t="s">
        <v>120</v>
      </c>
      <c r="AJ13" s="53">
        <v>1.9</v>
      </c>
      <c r="AK13" s="54">
        <v>7.5</v>
      </c>
      <c r="AL13" s="11">
        <v>11</v>
      </c>
      <c r="AM13" s="11">
        <v>6.7</v>
      </c>
      <c r="AN13" s="11" t="s">
        <v>135</v>
      </c>
    </row>
    <row r="14" spans="1:40" ht="13" x14ac:dyDescent="0.25">
      <c r="A14" s="137" t="s">
        <v>8</v>
      </c>
      <c r="B14" s="137"/>
      <c r="C14" s="99" t="s">
        <v>113</v>
      </c>
      <c r="D14" s="99" t="s">
        <v>113</v>
      </c>
      <c r="E14" s="99" t="s">
        <v>96</v>
      </c>
      <c r="F14" s="99" t="s">
        <v>96</v>
      </c>
      <c r="G14" s="99" t="s">
        <v>113</v>
      </c>
      <c r="H14" s="99" t="s">
        <v>113</v>
      </c>
      <c r="I14" s="99" t="s">
        <v>113</v>
      </c>
      <c r="J14" s="99"/>
      <c r="K14" s="99"/>
      <c r="L14" s="99"/>
      <c r="M14" s="99"/>
      <c r="N14" s="99"/>
      <c r="O14" s="99"/>
      <c r="P14" s="99"/>
      <c r="Q14" s="99"/>
      <c r="R14" s="99"/>
      <c r="S14" s="99"/>
      <c r="T14" s="99"/>
      <c r="U14" s="99"/>
      <c r="V14" s="99"/>
      <c r="AD14" s="29" t="s">
        <v>138</v>
      </c>
      <c r="AE14" s="29">
        <v>6</v>
      </c>
      <c r="AI14" s="52" t="s">
        <v>119</v>
      </c>
      <c r="AJ14" s="53">
        <v>0.8</v>
      </c>
      <c r="AK14" s="54">
        <v>1.7</v>
      </c>
      <c r="AL14" s="11">
        <v>12</v>
      </c>
      <c r="AM14" s="11">
        <v>6.7</v>
      </c>
      <c r="AN14" s="11" t="s">
        <v>135</v>
      </c>
    </row>
    <row r="15" spans="1:40" ht="13" x14ac:dyDescent="0.25">
      <c r="A15" s="136" t="s">
        <v>9</v>
      </c>
      <c r="B15" s="136"/>
      <c r="C15" s="15">
        <v>38</v>
      </c>
      <c r="D15" s="15">
        <v>38</v>
      </c>
      <c r="E15" s="15">
        <v>6.5</v>
      </c>
      <c r="F15" s="15">
        <v>6.5</v>
      </c>
      <c r="G15" s="15">
        <v>38</v>
      </c>
      <c r="H15" s="15">
        <v>38</v>
      </c>
      <c r="I15" s="15">
        <v>38</v>
      </c>
      <c r="J15" s="15"/>
      <c r="K15" s="15"/>
      <c r="L15" s="15"/>
      <c r="M15" s="15"/>
      <c r="N15" s="15"/>
      <c r="O15" s="15"/>
      <c r="P15" s="15"/>
      <c r="Q15" s="15"/>
      <c r="R15" s="15"/>
      <c r="S15" s="15"/>
      <c r="T15" s="15"/>
      <c r="U15" s="15"/>
      <c r="V15" s="15"/>
      <c r="AD15" s="29" t="s">
        <v>144</v>
      </c>
      <c r="AE15" s="29">
        <v>7</v>
      </c>
      <c r="AI15" s="52" t="s">
        <v>101</v>
      </c>
      <c r="AJ15" s="61">
        <v>1.8</v>
      </c>
      <c r="AK15" s="54">
        <v>5.4</v>
      </c>
      <c r="AL15" s="11">
        <v>13</v>
      </c>
      <c r="AM15" s="11">
        <v>6.7</v>
      </c>
      <c r="AN15" s="11" t="s">
        <v>135</v>
      </c>
    </row>
    <row r="16" spans="1:40" ht="13.5" thickBot="1" x14ac:dyDescent="0.3">
      <c r="A16" s="138" t="s">
        <v>44</v>
      </c>
      <c r="B16" s="138"/>
      <c r="C16" s="100" t="s">
        <v>72</v>
      </c>
      <c r="D16" s="100" t="s">
        <v>72</v>
      </c>
      <c r="E16" s="100" t="s">
        <v>72</v>
      </c>
      <c r="F16" s="100" t="s">
        <v>72</v>
      </c>
      <c r="G16" s="100" t="s">
        <v>72</v>
      </c>
      <c r="H16" s="100" t="s">
        <v>72</v>
      </c>
      <c r="I16" s="100" t="s">
        <v>72</v>
      </c>
      <c r="J16" s="100"/>
      <c r="K16" s="100"/>
      <c r="L16" s="100"/>
      <c r="M16" s="100"/>
      <c r="N16" s="100"/>
      <c r="O16" s="100"/>
      <c r="P16" s="100"/>
      <c r="Q16" s="100"/>
      <c r="R16" s="100"/>
      <c r="S16" s="100"/>
      <c r="T16" s="100"/>
      <c r="U16" s="100"/>
      <c r="V16" s="100"/>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64.599999999999994</v>
      </c>
      <c r="D17" s="27">
        <f t="shared" ref="D17:V17" si="0">(VLOOKUP(D$14,$AI2:$AK26,2,FALSE))*D$15</f>
        <v>64.599999999999994</v>
      </c>
      <c r="E17" s="27">
        <f t="shared" si="0"/>
        <v>55.25</v>
      </c>
      <c r="F17" s="27">
        <f t="shared" si="0"/>
        <v>55.25</v>
      </c>
      <c r="G17" s="27">
        <f t="shared" si="0"/>
        <v>64.599999999999994</v>
      </c>
      <c r="H17" s="27">
        <f t="shared" si="0"/>
        <v>64.599999999999994</v>
      </c>
      <c r="I17" s="27">
        <f t="shared" si="0"/>
        <v>64.599999999999994</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16.392105000000001</v>
      </c>
      <c r="D18" s="16">
        <f>$D32</f>
        <v>16.392105000000001</v>
      </c>
      <c r="E18" s="16">
        <f>$D33</f>
        <v>16.392105000000001</v>
      </c>
      <c r="F18" s="16">
        <f>$D34</f>
        <v>16.392105000000001</v>
      </c>
      <c r="G18" s="16">
        <f>$D35</f>
        <v>16.392105000000001</v>
      </c>
      <c r="H18" s="16">
        <f>$D36</f>
        <v>16.392105000000001</v>
      </c>
      <c r="I18" s="16">
        <f>$D37</f>
        <v>16.392105000000001</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-48.207894999999994</v>
      </c>
      <c r="D19" s="16">
        <f t="shared" ref="D19:V19" si="1">D18-D17</f>
        <v>-48.207894999999994</v>
      </c>
      <c r="E19" s="16">
        <f t="shared" si="1"/>
        <v>-38.857894999999999</v>
      </c>
      <c r="F19" s="16">
        <f t="shared" si="1"/>
        <v>-38.857894999999999</v>
      </c>
      <c r="G19" s="16">
        <f t="shared" si="1"/>
        <v>-48.207894999999994</v>
      </c>
      <c r="H19" s="16">
        <f t="shared" si="1"/>
        <v>-48.207894999999994</v>
      </c>
      <c r="I19" s="16">
        <f t="shared" si="1"/>
        <v>-48.207894999999994</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228</v>
      </c>
      <c r="D21" s="27">
        <f t="shared" ref="D21:V21" si="2">(VLOOKUP(D$14,$AI2:$AK26,3,FALSE))*D$15</f>
        <v>228</v>
      </c>
      <c r="E21" s="27">
        <f t="shared" si="2"/>
        <v>68.25</v>
      </c>
      <c r="F21" s="27">
        <f t="shared" si="2"/>
        <v>68.25</v>
      </c>
      <c r="G21" s="27">
        <f t="shared" si="2"/>
        <v>228</v>
      </c>
      <c r="H21" s="27">
        <f t="shared" si="2"/>
        <v>228</v>
      </c>
      <c r="I21" s="27">
        <f t="shared" si="2"/>
        <v>228</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0.69453187500000002</v>
      </c>
      <c r="D22" s="16">
        <f>$E32</f>
        <v>0.69453187500000002</v>
      </c>
      <c r="E22" s="16">
        <f>$E33</f>
        <v>0.69453187500000002</v>
      </c>
      <c r="F22" s="16">
        <f>$E34</f>
        <v>0.69453187500000002</v>
      </c>
      <c r="G22" s="16">
        <f>$E35</f>
        <v>0.69453187500000002</v>
      </c>
      <c r="H22" s="16">
        <f>$E36</f>
        <v>0.69453187500000002</v>
      </c>
      <c r="I22" s="16">
        <f>$E37</f>
        <v>0.69453187500000002</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-227.305468125</v>
      </c>
      <c r="D23" s="16">
        <f t="shared" ref="D23:V23" si="3">D22-D21</f>
        <v>-227.305468125</v>
      </c>
      <c r="E23" s="16">
        <f t="shared" si="3"/>
        <v>-67.555468125000004</v>
      </c>
      <c r="F23" s="16">
        <f t="shared" si="3"/>
        <v>-67.555468125000004</v>
      </c>
      <c r="G23" s="16">
        <f t="shared" si="3"/>
        <v>-227.305468125</v>
      </c>
      <c r="H23" s="16">
        <f t="shared" si="3"/>
        <v>-227.305468125</v>
      </c>
      <c r="I23" s="16">
        <f t="shared" si="3"/>
        <v>-227.305468125</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2.65</v>
      </c>
      <c r="C28" s="15">
        <v>0.72</v>
      </c>
      <c r="D28" s="15">
        <v>0.108</v>
      </c>
      <c r="E28" s="15">
        <v>8.6999999999999994E-3</v>
      </c>
      <c r="F28" s="15">
        <v>509</v>
      </c>
      <c r="G28" s="15">
        <v>7.8</v>
      </c>
      <c r="H28" s="15">
        <v>130</v>
      </c>
      <c r="I28" s="15">
        <v>12.5</v>
      </c>
      <c r="J28" s="15">
        <v>0.71</v>
      </c>
      <c r="K28" s="15">
        <v>0.76</v>
      </c>
      <c r="L28" s="15">
        <v>16.600000000000001</v>
      </c>
      <c r="M28" s="15">
        <v>11.1</v>
      </c>
      <c r="N28" s="15">
        <v>2190</v>
      </c>
      <c r="O28" s="15">
        <v>438000</v>
      </c>
      <c r="P28" s="15"/>
      <c r="Q28" s="15">
        <v>2770</v>
      </c>
      <c r="R28" s="15"/>
      <c r="S28" s="15">
        <v>14.4</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Abercynrig 2</v>
      </c>
      <c r="B31" s="15">
        <v>250</v>
      </c>
      <c r="C31" s="76">
        <f>IF(C$27="%w/w SAR",((C$28*10)*$B31),IF(C$27="%w/w DM",(((C$28*10)*($B$28/100))*$B31),IF(C$27="kg/t SAR",(C$28*$B31),IF(C$27="kg/t DM",((C$28*($B$28/100))*$B31),IF(C$27="mg/kg SAR",((C$28*0.001)*$B31),IF(C$27="mg/kg DM",(((C$28*0.001)*($B$28/100))*$B31),0))))))</f>
        <v>47.699999999999996</v>
      </c>
      <c r="D31" s="76">
        <f>(IF(D$27="%w/w SAR",((D$28*10)*$B31),IF(D$27="%w/w DM",(((D$28*10)*($B$28/100))*$B31),IF(D$27="kg/t SAR",(D$28*$B31),IF(D$27="kg/t DM",((D$28*($B$28/100))*$B31),IF(D$27="mg/kg SAR",((D$28*0.001)*$B31),IF(D$27="mg/kg DM",(((D$28*0.001)*($B$28/100))*$B31),"0")))))))*2.291</f>
        <v>16.392105000000001</v>
      </c>
      <c r="E31" s="76">
        <f>(IF(E$27="%w/w SAR",((E$28*10)*$B31),IF(E$27="%w/w DM",(((E$28*10)*($B$28/100))*$B31),IF(E$27="kg/t SAR",(E$28*$B31),IF(E$27="kg/t DM",((E$28*($B$28/100))*$B31),IF(E$27="mg/kg SAR",((E$28*0.001)*$B31),IF(E$27="mg/kg DM",(((E$28*0.001)*($B$28/100))*$B31),"0")))))))*1.205</f>
        <v>0.69453187500000002</v>
      </c>
      <c r="F31" s="76">
        <f>(IF(F$27="%w/w SAR",((F$28*10)*$B31),IF(F$27="%w/w DM",(((F$28*10)*($B$28/100))*$B31),IF(F$27="kg/t SAR",(F$28*$B31),IF(F$27="kg/t DM",((F$28*($B$28/100))*$B31),IF(F$27="mg/kg SAR",((F$28*0.001)*$B31),IF(F$27="mg/kg DM",(((F$28*0.001)*($B$28/100))*$B31),"0")))))))*1.658</f>
        <v>5.5909832499999998</v>
      </c>
      <c r="G31" s="76">
        <f t="shared" ref="G31:P31" si="5">IF(G$27="%w/w SAR",((G$28*10)*$B31),IF(G$27="%w/w DM",(((G$28*10)*($B$28/100))*$B31),IF(G$27="kg/t SAR",(G$28*$B31),IF(G$27="kg/t DM",((G$28*($B$28/100))*$B31),IF(G$27="mg/kg SAR",((G$28*0.001)*$B31),IF(G$27="mg/kg DM",(((G$28*0.001)*($B$28/100))*$B31),0))))))</f>
        <v>5.1674999999999999E-2</v>
      </c>
      <c r="H31" s="76">
        <f t="shared" si="5"/>
        <v>0.86125000000000007</v>
      </c>
      <c r="I31" s="76">
        <f t="shared" si="5"/>
        <v>8.2812499999999997E-2</v>
      </c>
      <c r="J31" s="76">
        <f t="shared" si="5"/>
        <v>4.7037499999999996E-3</v>
      </c>
      <c r="K31" s="76">
        <f t="shared" si="5"/>
        <v>5.0350000000000004E-3</v>
      </c>
      <c r="L31" s="76">
        <f t="shared" si="5"/>
        <v>0.109975</v>
      </c>
      <c r="M31" s="76">
        <f t="shared" si="5"/>
        <v>7.3537500000000006E-2</v>
      </c>
      <c r="N31" s="76">
        <f t="shared" si="5"/>
        <v>14.508749999999999</v>
      </c>
      <c r="O31" s="76">
        <f t="shared" si="5"/>
        <v>2901.75</v>
      </c>
      <c r="P31" s="76">
        <f t="shared" si="5"/>
        <v>0</v>
      </c>
      <c r="Q31" s="76">
        <f>(IF(Q$27="%w/w SAR",((Q$28*10)*$B31),IF(Q$27="%w/w DM",(((Q$28*10)*($B$28/100))*$B31),IF(Q$27="kg/t SAR",(Q$28*$B31),IF(Q$27="kg/t DM",((Q$28*($B$28/100))*$B31),IF(Q$27="mg/kg SAR",((Q$28*0.001)*$B31),IF(Q$27="mg/kg DM",(((Q$28*0.001)*($B$28/100))*$B31),0)))))))*2.5</f>
        <v>45.878124999999997</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9.5399999999999999E-2</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Abercynrig 10</v>
      </c>
      <c r="B32" s="15">
        <v>250</v>
      </c>
      <c r="C32" s="76">
        <f t="shared" ref="C32:C50" si="6">IF(C$27="%w/w SAR",((C$28*10)*$B32),IF(C$27="%w/w DM",(((C$28*10)*($B$28/100))*$B32),IF(C$27="kg/t SAR",(C$28*$B32),IF(C$27="kg/t DM",((C$28*($B$28/100))*$B32),IF(C$27="mg/kg SAR",((C$28*0.001)*$B32),IF(C$27="mg/kg DM",(((C$28*0.001)*($B$28/100))*$B32),0))))))</f>
        <v>47.699999999999996</v>
      </c>
      <c r="D32" s="76">
        <f t="shared" ref="D32:D50" si="7">(IF(D$27="%w/w SAR",((D$28*10)*$B32),IF(D$27="%w/w DM",(((D$28*10)*($B$28/100))*$B32),IF(D$27="kg/t SAR",(D$28*$B32),IF(D$27="kg/t DM",((D$28*($B$28/100))*$B32),IF(D$27="mg/kg SAR",((D$28*0.001)*$B32),IF(D$27="mg/kg DM",(((D$28*0.001)*($B$28/100))*$B32),"0")))))))*2.291</f>
        <v>16.392105000000001</v>
      </c>
      <c r="E32" s="76">
        <f t="shared" ref="E32:E50" si="8">(IF(E$27="%w/w SAR",((E$28*10)*$B32),IF(E$27="%w/w DM",(((E$28*10)*($B$28/100))*$B32),IF(E$27="kg/t SAR",(E$28*$B32),IF(E$27="kg/t DM",((E$28*($B$28/100))*$B32),IF(E$27="mg/kg SAR",((E$28*0.001)*$B32),IF(E$27="mg/kg DM",(((E$28*0.001)*($B$28/100))*$B32),"0")))))))*1.205</f>
        <v>0.69453187500000002</v>
      </c>
      <c r="F32" s="76">
        <f t="shared" ref="F32:F50" si="9">(IF(F$27="%w/w SAR",((F$28*10)*$B32),IF(F$27="%w/w DM",(((F$28*10)*($B$28/100))*$B32),IF(F$27="kg/t SAR",(F$28*$B32),IF(F$27="kg/t DM",((F$28*($B$28/100))*$B32),IF(F$27="mg/kg SAR",((F$28*0.001)*$B32),IF(F$27="mg/kg DM",(((F$28*0.001)*($B$28/100))*$B32),"0")))))))*1.658</f>
        <v>5.5909832499999998</v>
      </c>
      <c r="G32" s="76">
        <f t="shared" ref="G32:P50" si="10">IF(G$27="%w/w SAR",((G$28*10)*$B32),IF(G$27="%w/w DM",(((G$28*10)*($B$28/100))*$B32),IF(G$27="kg/t SAR",(G$28*$B32),IF(G$27="kg/t DM",((G$28*($B$28/100))*$B32),IF(G$27="mg/kg SAR",((G$28*0.001)*$B32),IF(G$27="mg/kg DM",(((G$28*0.001)*($B$28/100))*$B32),0))))))</f>
        <v>5.1674999999999999E-2</v>
      </c>
      <c r="H32" s="76">
        <f t="shared" si="10"/>
        <v>0.86125000000000007</v>
      </c>
      <c r="I32" s="76">
        <f t="shared" si="10"/>
        <v>8.2812499999999997E-2</v>
      </c>
      <c r="J32" s="76">
        <f t="shared" si="10"/>
        <v>4.7037499999999996E-3</v>
      </c>
      <c r="K32" s="76">
        <f t="shared" si="10"/>
        <v>5.0350000000000004E-3</v>
      </c>
      <c r="L32" s="76">
        <f t="shared" si="10"/>
        <v>0.109975</v>
      </c>
      <c r="M32" s="76">
        <f t="shared" si="10"/>
        <v>7.3537500000000006E-2</v>
      </c>
      <c r="N32" s="76">
        <f t="shared" si="10"/>
        <v>14.508749999999999</v>
      </c>
      <c r="O32" s="76">
        <f t="shared" si="10"/>
        <v>2901.75</v>
      </c>
      <c r="P32" s="76">
        <f t="shared" si="10"/>
        <v>0</v>
      </c>
      <c r="Q32" s="76">
        <f t="shared" ref="Q32:Q50" si="11">(IF(Q$27="%w/w SAR",((Q$28*10)*$B32),IF(Q$27="%w/w DM",(((Q$28*10)*($B$28/100))*$B32),IF(Q$27="kg/t SAR",(Q$28*$B32),IF(Q$27="kg/t DM",((Q$28*($B$28/100))*$B32),IF(Q$27="mg/kg SAR",((Q$28*0.001)*$B32),IF(Q$27="mg/kg DM",(((Q$28*0.001)*($B$28/100))*$B32),0)))))))*2.5</f>
        <v>45.878124999999997</v>
      </c>
      <c r="R32" s="76">
        <f t="shared" ref="R32:U50" si="12">IF(R$27="%w/w SAR",((R$28*10)*$B32),IF(R$27="%w/w DM",(((R$28*10)*($B$28/100))*$B32),IF(R$27="kg/t SAR",(R$28*$B32),IF(R$27="kg/t DM",((R$28*($B$28/100))*$B32),IF(R$27="mg/kg SAR",((R$28*0.001)*$B32),IF(R$27="mg/kg DM",(((R$28*0.001)*($B$28/100))*$B32),0))))))</f>
        <v>0</v>
      </c>
      <c r="S32" s="76">
        <f t="shared" si="12"/>
        <v>9.5399999999999999E-2</v>
      </c>
      <c r="T32" s="76">
        <f t="shared" si="12"/>
        <v>0</v>
      </c>
      <c r="U32" s="76">
        <f t="shared" si="12"/>
        <v>0</v>
      </c>
      <c r="AB32" s="58"/>
      <c r="AC32" s="58"/>
      <c r="AD32" s="58"/>
      <c r="AE32" s="58"/>
      <c r="AF32" s="58"/>
      <c r="AG32" s="58"/>
      <c r="AH32" s="58"/>
      <c r="AI32" s="58"/>
    </row>
    <row r="33" spans="1:35" s="71" customFormat="1" ht="13" x14ac:dyDescent="0.35">
      <c r="A33" s="13">
        <f>E8</f>
        <v>1</v>
      </c>
      <c r="B33" s="15">
        <v>250</v>
      </c>
      <c r="C33" s="76">
        <f t="shared" si="6"/>
        <v>47.699999999999996</v>
      </c>
      <c r="D33" s="76">
        <f t="shared" si="7"/>
        <v>16.392105000000001</v>
      </c>
      <c r="E33" s="76">
        <f t="shared" si="8"/>
        <v>0.69453187500000002</v>
      </c>
      <c r="F33" s="76">
        <f t="shared" si="9"/>
        <v>5.5909832499999998</v>
      </c>
      <c r="G33" s="76">
        <f t="shared" si="10"/>
        <v>5.1674999999999999E-2</v>
      </c>
      <c r="H33" s="76">
        <f t="shared" si="10"/>
        <v>0.86125000000000007</v>
      </c>
      <c r="I33" s="76">
        <f t="shared" si="10"/>
        <v>8.2812499999999997E-2</v>
      </c>
      <c r="J33" s="76">
        <f t="shared" si="10"/>
        <v>4.7037499999999996E-3</v>
      </c>
      <c r="K33" s="76">
        <f t="shared" si="10"/>
        <v>5.0350000000000004E-3</v>
      </c>
      <c r="L33" s="76">
        <f t="shared" si="10"/>
        <v>0.109975</v>
      </c>
      <c r="M33" s="76">
        <f t="shared" si="10"/>
        <v>7.3537500000000006E-2</v>
      </c>
      <c r="N33" s="76">
        <f t="shared" si="10"/>
        <v>14.508749999999999</v>
      </c>
      <c r="O33" s="76">
        <f t="shared" si="10"/>
        <v>2901.75</v>
      </c>
      <c r="P33" s="76">
        <f t="shared" si="10"/>
        <v>0</v>
      </c>
      <c r="Q33" s="76">
        <f t="shared" si="11"/>
        <v>45.878124999999997</v>
      </c>
      <c r="R33" s="76">
        <f t="shared" si="12"/>
        <v>0</v>
      </c>
      <c r="S33" s="76">
        <f t="shared" si="12"/>
        <v>9.5399999999999999E-2</v>
      </c>
      <c r="T33" s="76">
        <f t="shared" si="12"/>
        <v>0</v>
      </c>
      <c r="U33" s="76">
        <f t="shared" si="12"/>
        <v>0</v>
      </c>
      <c r="AB33" s="58"/>
      <c r="AC33" s="58"/>
      <c r="AD33" s="58"/>
      <c r="AE33" s="58"/>
      <c r="AF33" s="58"/>
      <c r="AG33" s="58"/>
      <c r="AH33" s="58"/>
      <c r="AI33" s="58"/>
    </row>
    <row r="34" spans="1:35" s="71" customFormat="1" ht="13" x14ac:dyDescent="0.35">
      <c r="A34" s="13">
        <f>F8</f>
        <v>2</v>
      </c>
      <c r="B34" s="15">
        <v>250</v>
      </c>
      <c r="C34" s="76">
        <f t="shared" si="6"/>
        <v>47.699999999999996</v>
      </c>
      <c r="D34" s="76">
        <f t="shared" si="7"/>
        <v>16.392105000000001</v>
      </c>
      <c r="E34" s="76">
        <f t="shared" si="8"/>
        <v>0.69453187500000002</v>
      </c>
      <c r="F34" s="76">
        <f t="shared" si="9"/>
        <v>5.5909832499999998</v>
      </c>
      <c r="G34" s="76">
        <f t="shared" si="10"/>
        <v>5.1674999999999999E-2</v>
      </c>
      <c r="H34" s="76">
        <f t="shared" si="10"/>
        <v>0.86125000000000007</v>
      </c>
      <c r="I34" s="76">
        <f t="shared" si="10"/>
        <v>8.2812499999999997E-2</v>
      </c>
      <c r="J34" s="76">
        <f t="shared" si="10"/>
        <v>4.7037499999999996E-3</v>
      </c>
      <c r="K34" s="76">
        <f t="shared" si="10"/>
        <v>5.0350000000000004E-3</v>
      </c>
      <c r="L34" s="76">
        <f t="shared" si="10"/>
        <v>0.109975</v>
      </c>
      <c r="M34" s="76">
        <f t="shared" si="10"/>
        <v>7.3537500000000006E-2</v>
      </c>
      <c r="N34" s="76">
        <f t="shared" si="10"/>
        <v>14.508749999999999</v>
      </c>
      <c r="O34" s="76">
        <f t="shared" si="10"/>
        <v>2901.75</v>
      </c>
      <c r="P34" s="76">
        <f t="shared" si="10"/>
        <v>0</v>
      </c>
      <c r="Q34" s="76">
        <f t="shared" si="11"/>
        <v>45.878124999999997</v>
      </c>
      <c r="R34" s="76">
        <f t="shared" si="12"/>
        <v>0</v>
      </c>
      <c r="S34" s="76">
        <f t="shared" si="12"/>
        <v>9.5399999999999999E-2</v>
      </c>
      <c r="T34" s="76">
        <f t="shared" si="12"/>
        <v>0</v>
      </c>
      <c r="U34" s="76">
        <f t="shared" si="12"/>
        <v>0</v>
      </c>
      <c r="AB34" s="58"/>
      <c r="AC34" s="58"/>
      <c r="AD34" s="58"/>
      <c r="AE34" s="58"/>
      <c r="AF34" s="58"/>
      <c r="AG34" s="58"/>
      <c r="AH34" s="58"/>
      <c r="AI34" s="58"/>
    </row>
    <row r="35" spans="1:35" s="71" customFormat="1" ht="13" x14ac:dyDescent="0.35">
      <c r="A35" s="13">
        <f>G8</f>
        <v>10</v>
      </c>
      <c r="B35" s="15">
        <v>250</v>
      </c>
      <c r="C35" s="76">
        <f t="shared" si="6"/>
        <v>47.699999999999996</v>
      </c>
      <c r="D35" s="76">
        <f t="shared" si="7"/>
        <v>16.392105000000001</v>
      </c>
      <c r="E35" s="76">
        <f t="shared" si="8"/>
        <v>0.69453187500000002</v>
      </c>
      <c r="F35" s="76">
        <f t="shared" si="9"/>
        <v>5.5909832499999998</v>
      </c>
      <c r="G35" s="76">
        <f t="shared" si="10"/>
        <v>5.1674999999999999E-2</v>
      </c>
      <c r="H35" s="76">
        <f t="shared" si="10"/>
        <v>0.86125000000000007</v>
      </c>
      <c r="I35" s="76">
        <f t="shared" si="10"/>
        <v>8.2812499999999997E-2</v>
      </c>
      <c r="J35" s="76">
        <f t="shared" si="10"/>
        <v>4.7037499999999996E-3</v>
      </c>
      <c r="K35" s="76">
        <f t="shared" si="10"/>
        <v>5.0350000000000004E-3</v>
      </c>
      <c r="L35" s="76">
        <f t="shared" si="10"/>
        <v>0.109975</v>
      </c>
      <c r="M35" s="76">
        <f t="shared" si="10"/>
        <v>7.3537500000000006E-2</v>
      </c>
      <c r="N35" s="76">
        <f t="shared" si="10"/>
        <v>14.508749999999999</v>
      </c>
      <c r="O35" s="76">
        <f t="shared" si="10"/>
        <v>2901.75</v>
      </c>
      <c r="P35" s="76">
        <f t="shared" si="10"/>
        <v>0</v>
      </c>
      <c r="Q35" s="76">
        <f t="shared" si="11"/>
        <v>45.878124999999997</v>
      </c>
      <c r="R35" s="76">
        <f t="shared" si="12"/>
        <v>0</v>
      </c>
      <c r="S35" s="76">
        <f t="shared" si="12"/>
        <v>9.5399999999999999E-2</v>
      </c>
      <c r="T35" s="76">
        <f t="shared" si="12"/>
        <v>0</v>
      </c>
      <c r="U35" s="76">
        <f t="shared" si="12"/>
        <v>0</v>
      </c>
      <c r="AB35" s="58"/>
      <c r="AC35" s="58"/>
      <c r="AD35" s="58"/>
      <c r="AE35" s="58"/>
      <c r="AF35" s="58"/>
      <c r="AG35" s="58"/>
      <c r="AH35" s="58"/>
      <c r="AI35" s="58"/>
    </row>
    <row r="36" spans="1:35" s="71" customFormat="1" ht="13" x14ac:dyDescent="0.35">
      <c r="A36" s="13">
        <f>H8</f>
        <v>11</v>
      </c>
      <c r="B36" s="15">
        <v>250</v>
      </c>
      <c r="C36" s="76">
        <f t="shared" si="6"/>
        <v>47.699999999999996</v>
      </c>
      <c r="D36" s="76">
        <f t="shared" si="7"/>
        <v>16.392105000000001</v>
      </c>
      <c r="E36" s="76">
        <f t="shared" si="8"/>
        <v>0.69453187500000002</v>
      </c>
      <c r="F36" s="76">
        <f t="shared" si="9"/>
        <v>5.5909832499999998</v>
      </c>
      <c r="G36" s="76">
        <f t="shared" si="10"/>
        <v>5.1674999999999999E-2</v>
      </c>
      <c r="H36" s="76">
        <f t="shared" si="10"/>
        <v>0.86125000000000007</v>
      </c>
      <c r="I36" s="76">
        <f t="shared" si="10"/>
        <v>8.2812499999999997E-2</v>
      </c>
      <c r="J36" s="76">
        <f t="shared" si="10"/>
        <v>4.7037499999999996E-3</v>
      </c>
      <c r="K36" s="76">
        <f t="shared" si="10"/>
        <v>5.0350000000000004E-3</v>
      </c>
      <c r="L36" s="76">
        <f t="shared" si="10"/>
        <v>0.109975</v>
      </c>
      <c r="M36" s="76">
        <f t="shared" si="10"/>
        <v>7.3537500000000006E-2</v>
      </c>
      <c r="N36" s="76">
        <f t="shared" si="10"/>
        <v>14.508749999999999</v>
      </c>
      <c r="O36" s="76">
        <f t="shared" si="10"/>
        <v>2901.75</v>
      </c>
      <c r="P36" s="76">
        <f t="shared" si="10"/>
        <v>0</v>
      </c>
      <c r="Q36" s="76">
        <f t="shared" si="11"/>
        <v>45.878124999999997</v>
      </c>
      <c r="R36" s="76">
        <f t="shared" si="12"/>
        <v>0</v>
      </c>
      <c r="S36" s="76">
        <f t="shared" si="12"/>
        <v>9.5399999999999999E-2</v>
      </c>
      <c r="T36" s="76">
        <f t="shared" si="12"/>
        <v>0</v>
      </c>
      <c r="U36" s="76">
        <f t="shared" si="12"/>
        <v>0</v>
      </c>
      <c r="AB36" s="58"/>
      <c r="AC36" s="58"/>
      <c r="AD36" s="58"/>
      <c r="AE36" s="58"/>
      <c r="AF36" s="58"/>
      <c r="AG36" s="58"/>
      <c r="AH36" s="58"/>
      <c r="AI36" s="58"/>
    </row>
    <row r="37" spans="1:35" s="71" customFormat="1" ht="13" x14ac:dyDescent="0.35">
      <c r="A37" s="13">
        <f>I8</f>
        <v>16</v>
      </c>
      <c r="B37" s="15">
        <v>250</v>
      </c>
      <c r="C37" s="76">
        <f t="shared" si="6"/>
        <v>47.699999999999996</v>
      </c>
      <c r="D37" s="76">
        <f t="shared" si="7"/>
        <v>16.392105000000001</v>
      </c>
      <c r="E37" s="76">
        <f t="shared" si="8"/>
        <v>0.69453187500000002</v>
      </c>
      <c r="F37" s="76">
        <f t="shared" si="9"/>
        <v>5.5909832499999998</v>
      </c>
      <c r="G37" s="76">
        <f t="shared" si="10"/>
        <v>5.1674999999999999E-2</v>
      </c>
      <c r="H37" s="76">
        <f t="shared" si="10"/>
        <v>0.86125000000000007</v>
      </c>
      <c r="I37" s="76">
        <f t="shared" si="10"/>
        <v>8.2812499999999997E-2</v>
      </c>
      <c r="J37" s="76">
        <f t="shared" si="10"/>
        <v>4.7037499999999996E-3</v>
      </c>
      <c r="K37" s="76">
        <f t="shared" si="10"/>
        <v>5.0350000000000004E-3</v>
      </c>
      <c r="L37" s="76">
        <f t="shared" si="10"/>
        <v>0.109975</v>
      </c>
      <c r="M37" s="76">
        <f t="shared" si="10"/>
        <v>7.3537500000000006E-2</v>
      </c>
      <c r="N37" s="76">
        <f t="shared" si="10"/>
        <v>14.508749999999999</v>
      </c>
      <c r="O37" s="76">
        <f t="shared" si="10"/>
        <v>2901.75</v>
      </c>
      <c r="P37" s="76">
        <f t="shared" si="10"/>
        <v>0</v>
      </c>
      <c r="Q37" s="76">
        <f t="shared" si="11"/>
        <v>45.878124999999997</v>
      </c>
      <c r="R37" s="76">
        <f t="shared" si="12"/>
        <v>0</v>
      </c>
      <c r="S37" s="76">
        <f t="shared" si="12"/>
        <v>9.5399999999999999E-2</v>
      </c>
      <c r="T37" s="76">
        <f t="shared" si="12"/>
        <v>0</v>
      </c>
      <c r="U37" s="76">
        <f t="shared" si="12"/>
        <v>0</v>
      </c>
      <c r="AB37" s="58"/>
      <c r="AC37" s="58"/>
      <c r="AD37" s="58"/>
      <c r="AE37" s="58"/>
      <c r="AF37" s="58"/>
      <c r="AG37" s="58"/>
      <c r="AH37" s="58"/>
      <c r="AI37" s="58"/>
    </row>
    <row r="38" spans="1:35" s="71" customFormat="1" ht="13" x14ac:dyDescent="0.35">
      <c r="A38" s="13">
        <f>J8</f>
        <v>0</v>
      </c>
      <c r="B38" s="15"/>
      <c r="C38" s="76">
        <f t="shared" si="6"/>
        <v>0</v>
      </c>
      <c r="D38" s="76">
        <f t="shared" si="7"/>
        <v>0</v>
      </c>
      <c r="E38" s="76">
        <f t="shared" si="8"/>
        <v>0</v>
      </c>
      <c r="F38" s="76">
        <f t="shared" si="9"/>
        <v>0</v>
      </c>
      <c r="G38" s="76">
        <f t="shared" si="10"/>
        <v>0</v>
      </c>
      <c r="H38" s="76">
        <f t="shared" si="10"/>
        <v>0</v>
      </c>
      <c r="I38" s="76">
        <f t="shared" si="10"/>
        <v>0</v>
      </c>
      <c r="J38" s="76">
        <f t="shared" si="10"/>
        <v>0</v>
      </c>
      <c r="K38" s="76">
        <f t="shared" si="10"/>
        <v>0</v>
      </c>
      <c r="L38" s="76">
        <f t="shared" si="10"/>
        <v>0</v>
      </c>
      <c r="M38" s="76">
        <f t="shared" si="10"/>
        <v>0</v>
      </c>
      <c r="N38" s="76">
        <f t="shared" si="10"/>
        <v>0</v>
      </c>
      <c r="O38" s="76">
        <f t="shared" si="10"/>
        <v>0</v>
      </c>
      <c r="P38" s="76">
        <f t="shared" si="10"/>
        <v>0</v>
      </c>
      <c r="Q38" s="76">
        <f t="shared" si="11"/>
        <v>0</v>
      </c>
      <c r="R38" s="76">
        <f t="shared" si="12"/>
        <v>0</v>
      </c>
      <c r="S38" s="76">
        <f t="shared" si="12"/>
        <v>0</v>
      </c>
      <c r="T38" s="76">
        <f t="shared" si="12"/>
        <v>0</v>
      </c>
      <c r="U38" s="76">
        <f t="shared" si="12"/>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10"/>
        <v>0</v>
      </c>
      <c r="H39" s="76">
        <f t="shared" si="10"/>
        <v>0</v>
      </c>
      <c r="I39" s="76">
        <f t="shared" si="10"/>
        <v>0</v>
      </c>
      <c r="J39" s="76">
        <f t="shared" si="10"/>
        <v>0</v>
      </c>
      <c r="K39" s="76">
        <f t="shared" si="10"/>
        <v>0</v>
      </c>
      <c r="L39" s="76">
        <f t="shared" si="10"/>
        <v>0</v>
      </c>
      <c r="M39" s="76">
        <f t="shared" si="10"/>
        <v>0</v>
      </c>
      <c r="N39" s="76">
        <f t="shared" si="10"/>
        <v>0</v>
      </c>
      <c r="O39" s="76">
        <f t="shared" si="10"/>
        <v>0</v>
      </c>
      <c r="P39" s="76">
        <f t="shared" si="10"/>
        <v>0</v>
      </c>
      <c r="Q39" s="76">
        <f t="shared" si="11"/>
        <v>0</v>
      </c>
      <c r="R39" s="76">
        <f t="shared" si="12"/>
        <v>0</v>
      </c>
      <c r="S39" s="76">
        <f t="shared" si="12"/>
        <v>0</v>
      </c>
      <c r="T39" s="76">
        <f t="shared" si="12"/>
        <v>0</v>
      </c>
      <c r="U39" s="76">
        <f t="shared" si="12"/>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10"/>
        <v>0</v>
      </c>
      <c r="H40" s="76">
        <f t="shared" si="10"/>
        <v>0</v>
      </c>
      <c r="I40" s="76">
        <f t="shared" si="10"/>
        <v>0</v>
      </c>
      <c r="J40" s="76">
        <f t="shared" si="10"/>
        <v>0</v>
      </c>
      <c r="K40" s="76">
        <f t="shared" si="10"/>
        <v>0</v>
      </c>
      <c r="L40" s="76">
        <f t="shared" si="10"/>
        <v>0</v>
      </c>
      <c r="M40" s="76">
        <f t="shared" si="10"/>
        <v>0</v>
      </c>
      <c r="N40" s="76">
        <f t="shared" si="10"/>
        <v>0</v>
      </c>
      <c r="O40" s="76">
        <f t="shared" si="10"/>
        <v>0</v>
      </c>
      <c r="P40" s="76">
        <f t="shared" si="10"/>
        <v>0</v>
      </c>
      <c r="Q40" s="76">
        <f t="shared" si="11"/>
        <v>0</v>
      </c>
      <c r="R40" s="76">
        <f t="shared" si="12"/>
        <v>0</v>
      </c>
      <c r="S40" s="76">
        <f t="shared" si="12"/>
        <v>0</v>
      </c>
      <c r="T40" s="76">
        <f t="shared" si="12"/>
        <v>0</v>
      </c>
      <c r="U40" s="76">
        <f t="shared" si="12"/>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10"/>
        <v>0</v>
      </c>
      <c r="H41" s="76">
        <f t="shared" si="10"/>
        <v>0</v>
      </c>
      <c r="I41" s="76">
        <f t="shared" si="10"/>
        <v>0</v>
      </c>
      <c r="J41" s="76">
        <f t="shared" si="10"/>
        <v>0</v>
      </c>
      <c r="K41" s="76">
        <f t="shared" si="10"/>
        <v>0</v>
      </c>
      <c r="L41" s="76">
        <f t="shared" si="10"/>
        <v>0</v>
      </c>
      <c r="M41" s="76">
        <f t="shared" si="10"/>
        <v>0</v>
      </c>
      <c r="N41" s="76">
        <f t="shared" si="10"/>
        <v>0</v>
      </c>
      <c r="O41" s="76">
        <f t="shared" si="10"/>
        <v>0</v>
      </c>
      <c r="P41" s="76">
        <f t="shared" si="10"/>
        <v>0</v>
      </c>
      <c r="Q41" s="76">
        <f t="shared" si="11"/>
        <v>0</v>
      </c>
      <c r="R41" s="76">
        <f t="shared" si="12"/>
        <v>0</v>
      </c>
      <c r="S41" s="76">
        <f t="shared" si="12"/>
        <v>0</v>
      </c>
      <c r="T41" s="76">
        <f t="shared" si="12"/>
        <v>0</v>
      </c>
      <c r="U41" s="76">
        <f t="shared" si="12"/>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10"/>
        <v>0</v>
      </c>
      <c r="H42" s="76">
        <f t="shared" si="10"/>
        <v>0</v>
      </c>
      <c r="I42" s="76">
        <f t="shared" si="10"/>
        <v>0</v>
      </c>
      <c r="J42" s="76">
        <f t="shared" si="10"/>
        <v>0</v>
      </c>
      <c r="K42" s="76">
        <f t="shared" si="10"/>
        <v>0</v>
      </c>
      <c r="L42" s="76">
        <f t="shared" si="10"/>
        <v>0</v>
      </c>
      <c r="M42" s="76">
        <f t="shared" si="10"/>
        <v>0</v>
      </c>
      <c r="N42" s="76">
        <f t="shared" si="10"/>
        <v>0</v>
      </c>
      <c r="O42" s="76">
        <f t="shared" si="10"/>
        <v>0</v>
      </c>
      <c r="P42" s="76">
        <f t="shared" si="10"/>
        <v>0</v>
      </c>
      <c r="Q42" s="76">
        <f t="shared" si="11"/>
        <v>0</v>
      </c>
      <c r="R42" s="76">
        <f t="shared" si="12"/>
        <v>0</v>
      </c>
      <c r="S42" s="76">
        <f t="shared" si="12"/>
        <v>0</v>
      </c>
      <c r="T42" s="76">
        <f t="shared" si="12"/>
        <v>0</v>
      </c>
      <c r="U42" s="76">
        <f t="shared" si="12"/>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10"/>
        <v>0</v>
      </c>
      <c r="H43" s="76">
        <f t="shared" si="10"/>
        <v>0</v>
      </c>
      <c r="I43" s="76">
        <f t="shared" si="10"/>
        <v>0</v>
      </c>
      <c r="J43" s="76">
        <f t="shared" si="10"/>
        <v>0</v>
      </c>
      <c r="K43" s="76">
        <f t="shared" si="10"/>
        <v>0</v>
      </c>
      <c r="L43" s="76">
        <f t="shared" si="10"/>
        <v>0</v>
      </c>
      <c r="M43" s="76">
        <f t="shared" si="10"/>
        <v>0</v>
      </c>
      <c r="N43" s="76">
        <f t="shared" si="10"/>
        <v>0</v>
      </c>
      <c r="O43" s="76">
        <f t="shared" si="10"/>
        <v>0</v>
      </c>
      <c r="P43" s="76">
        <f t="shared" si="10"/>
        <v>0</v>
      </c>
      <c r="Q43" s="76">
        <f t="shared" si="11"/>
        <v>0</v>
      </c>
      <c r="R43" s="76">
        <f t="shared" si="12"/>
        <v>0</v>
      </c>
      <c r="S43" s="76">
        <f t="shared" si="12"/>
        <v>0</v>
      </c>
      <c r="T43" s="76">
        <f t="shared" si="12"/>
        <v>0</v>
      </c>
      <c r="U43" s="76">
        <f t="shared" si="12"/>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10"/>
        <v>0</v>
      </c>
      <c r="H44" s="76">
        <f t="shared" si="10"/>
        <v>0</v>
      </c>
      <c r="I44" s="76">
        <f t="shared" si="10"/>
        <v>0</v>
      </c>
      <c r="J44" s="76">
        <f t="shared" si="10"/>
        <v>0</v>
      </c>
      <c r="K44" s="76">
        <f t="shared" si="10"/>
        <v>0</v>
      </c>
      <c r="L44" s="76">
        <f t="shared" si="10"/>
        <v>0</v>
      </c>
      <c r="M44" s="76">
        <f t="shared" si="10"/>
        <v>0</v>
      </c>
      <c r="N44" s="76">
        <f t="shared" si="10"/>
        <v>0</v>
      </c>
      <c r="O44" s="76">
        <f t="shared" si="10"/>
        <v>0</v>
      </c>
      <c r="P44" s="76">
        <f t="shared" si="10"/>
        <v>0</v>
      </c>
      <c r="Q44" s="76">
        <f t="shared" si="11"/>
        <v>0</v>
      </c>
      <c r="R44" s="76">
        <f t="shared" si="12"/>
        <v>0</v>
      </c>
      <c r="S44" s="76">
        <f t="shared" si="12"/>
        <v>0</v>
      </c>
      <c r="T44" s="76">
        <f t="shared" si="12"/>
        <v>0</v>
      </c>
      <c r="U44" s="76">
        <f t="shared" si="12"/>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10"/>
        <v>0</v>
      </c>
      <c r="H45" s="76">
        <f t="shared" si="10"/>
        <v>0</v>
      </c>
      <c r="I45" s="76">
        <f t="shared" si="10"/>
        <v>0</v>
      </c>
      <c r="J45" s="76">
        <f t="shared" si="10"/>
        <v>0</v>
      </c>
      <c r="K45" s="76">
        <f t="shared" si="10"/>
        <v>0</v>
      </c>
      <c r="L45" s="76">
        <f t="shared" si="10"/>
        <v>0</v>
      </c>
      <c r="M45" s="76">
        <f t="shared" si="10"/>
        <v>0</v>
      </c>
      <c r="N45" s="76">
        <f t="shared" si="10"/>
        <v>0</v>
      </c>
      <c r="O45" s="76">
        <f t="shared" si="10"/>
        <v>0</v>
      </c>
      <c r="P45" s="76">
        <f t="shared" si="10"/>
        <v>0</v>
      </c>
      <c r="Q45" s="76">
        <f t="shared" si="11"/>
        <v>0</v>
      </c>
      <c r="R45" s="76">
        <f t="shared" si="12"/>
        <v>0</v>
      </c>
      <c r="S45" s="76">
        <f t="shared" si="12"/>
        <v>0</v>
      </c>
      <c r="T45" s="76">
        <f t="shared" si="12"/>
        <v>0</v>
      </c>
      <c r="U45" s="76">
        <f t="shared" si="12"/>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10"/>
        <v>0</v>
      </c>
      <c r="H46" s="76">
        <f t="shared" si="10"/>
        <v>0</v>
      </c>
      <c r="I46" s="76">
        <f t="shared" si="10"/>
        <v>0</v>
      </c>
      <c r="J46" s="76">
        <f t="shared" si="10"/>
        <v>0</v>
      </c>
      <c r="K46" s="76">
        <f t="shared" si="10"/>
        <v>0</v>
      </c>
      <c r="L46" s="76">
        <f t="shared" si="10"/>
        <v>0</v>
      </c>
      <c r="M46" s="76">
        <f t="shared" si="10"/>
        <v>0</v>
      </c>
      <c r="N46" s="76">
        <f t="shared" si="10"/>
        <v>0</v>
      </c>
      <c r="O46" s="76">
        <f t="shared" si="10"/>
        <v>0</v>
      </c>
      <c r="P46" s="76">
        <f t="shared" si="10"/>
        <v>0</v>
      </c>
      <c r="Q46" s="76">
        <f t="shared" si="11"/>
        <v>0</v>
      </c>
      <c r="R46" s="76">
        <f t="shared" si="12"/>
        <v>0</v>
      </c>
      <c r="S46" s="76">
        <f t="shared" si="12"/>
        <v>0</v>
      </c>
      <c r="T46" s="76">
        <f t="shared" si="12"/>
        <v>0</v>
      </c>
      <c r="U46" s="76">
        <f t="shared" si="12"/>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si="10"/>
        <v>0</v>
      </c>
      <c r="H47" s="76">
        <f t="shared" si="10"/>
        <v>0</v>
      </c>
      <c r="I47" s="76">
        <f t="shared" si="10"/>
        <v>0</v>
      </c>
      <c r="J47" s="76">
        <f t="shared" si="10"/>
        <v>0</v>
      </c>
      <c r="K47" s="76">
        <f t="shared" si="10"/>
        <v>0</v>
      </c>
      <c r="L47" s="76">
        <f t="shared" si="10"/>
        <v>0</v>
      </c>
      <c r="M47" s="76">
        <f t="shared" si="10"/>
        <v>0</v>
      </c>
      <c r="N47" s="76">
        <f t="shared" si="10"/>
        <v>0</v>
      </c>
      <c r="O47" s="76">
        <f t="shared" si="10"/>
        <v>0</v>
      </c>
      <c r="P47" s="76">
        <f t="shared" si="10"/>
        <v>0</v>
      </c>
      <c r="Q47" s="76">
        <f t="shared" si="11"/>
        <v>0</v>
      </c>
      <c r="R47" s="76">
        <f t="shared" si="12"/>
        <v>0</v>
      </c>
      <c r="S47" s="76">
        <f t="shared" si="12"/>
        <v>0</v>
      </c>
      <c r="T47" s="76">
        <f t="shared" si="12"/>
        <v>0</v>
      </c>
      <c r="U47" s="76">
        <f t="shared" si="12"/>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0"/>
        <v>0</v>
      </c>
      <c r="H48" s="76">
        <f t="shared" si="10"/>
        <v>0</v>
      </c>
      <c r="I48" s="76">
        <f t="shared" si="10"/>
        <v>0</v>
      </c>
      <c r="J48" s="76">
        <f t="shared" si="10"/>
        <v>0</v>
      </c>
      <c r="K48" s="76">
        <f t="shared" si="10"/>
        <v>0</v>
      </c>
      <c r="L48" s="76">
        <f t="shared" si="10"/>
        <v>0</v>
      </c>
      <c r="M48" s="76">
        <f t="shared" si="10"/>
        <v>0</v>
      </c>
      <c r="N48" s="76">
        <f t="shared" si="10"/>
        <v>0</v>
      </c>
      <c r="O48" s="76">
        <f t="shared" si="10"/>
        <v>0</v>
      </c>
      <c r="P48" s="76">
        <f t="shared" si="10"/>
        <v>0</v>
      </c>
      <c r="Q48" s="76">
        <f t="shared" si="11"/>
        <v>0</v>
      </c>
      <c r="R48" s="76">
        <f t="shared" si="12"/>
        <v>0</v>
      </c>
      <c r="S48" s="76">
        <f t="shared" si="12"/>
        <v>0</v>
      </c>
      <c r="T48" s="76">
        <f t="shared" si="12"/>
        <v>0</v>
      </c>
      <c r="U48" s="76">
        <f t="shared" si="12"/>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0"/>
        <v>0</v>
      </c>
      <c r="H49" s="76">
        <f t="shared" si="10"/>
        <v>0</v>
      </c>
      <c r="I49" s="76">
        <f t="shared" si="10"/>
        <v>0</v>
      </c>
      <c r="J49" s="76">
        <f t="shared" si="10"/>
        <v>0</v>
      </c>
      <c r="K49" s="76">
        <f t="shared" si="10"/>
        <v>0</v>
      </c>
      <c r="L49" s="76">
        <f t="shared" si="10"/>
        <v>0</v>
      </c>
      <c r="M49" s="76">
        <f t="shared" si="10"/>
        <v>0</v>
      </c>
      <c r="N49" s="76">
        <f t="shared" si="10"/>
        <v>0</v>
      </c>
      <c r="O49" s="76">
        <f t="shared" si="10"/>
        <v>0</v>
      </c>
      <c r="P49" s="76">
        <f t="shared" si="10"/>
        <v>0</v>
      </c>
      <c r="Q49" s="76">
        <f t="shared" si="11"/>
        <v>0</v>
      </c>
      <c r="R49" s="76">
        <f t="shared" si="12"/>
        <v>0</v>
      </c>
      <c r="S49" s="76">
        <f t="shared" si="12"/>
        <v>0</v>
      </c>
      <c r="T49" s="76">
        <f t="shared" si="12"/>
        <v>0</v>
      </c>
      <c r="U49" s="76">
        <f t="shared" si="12"/>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0"/>
        <v>0</v>
      </c>
      <c r="H50" s="97">
        <f t="shared" si="10"/>
        <v>0</v>
      </c>
      <c r="I50" s="97">
        <f t="shared" si="10"/>
        <v>0</v>
      </c>
      <c r="J50" s="97">
        <f t="shared" si="10"/>
        <v>0</v>
      </c>
      <c r="K50" s="97">
        <f t="shared" si="10"/>
        <v>0</v>
      </c>
      <c r="L50" s="97">
        <f t="shared" si="10"/>
        <v>0</v>
      </c>
      <c r="M50" s="97">
        <f t="shared" si="10"/>
        <v>0</v>
      </c>
      <c r="N50" s="97">
        <f t="shared" si="10"/>
        <v>0</v>
      </c>
      <c r="O50" s="97">
        <f t="shared" si="10"/>
        <v>0</v>
      </c>
      <c r="P50" s="97">
        <f t="shared" si="10"/>
        <v>0</v>
      </c>
      <c r="Q50" s="97">
        <f t="shared" si="11"/>
        <v>0</v>
      </c>
      <c r="R50" s="97">
        <f t="shared" si="12"/>
        <v>0</v>
      </c>
      <c r="S50" s="97">
        <f t="shared" si="12"/>
        <v>0</v>
      </c>
      <c r="T50" s="97">
        <f t="shared" si="12"/>
        <v>0</v>
      </c>
      <c r="U50" s="97">
        <f t="shared" si="12"/>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Abercynrig 2</v>
      </c>
      <c r="C57" s="8" t="str">
        <f t="shared" ref="C57:U57" si="13">D8</f>
        <v>Abercynrig 10</v>
      </c>
      <c r="D57" s="8">
        <f t="shared" si="13"/>
        <v>1</v>
      </c>
      <c r="E57" s="8">
        <f t="shared" si="13"/>
        <v>2</v>
      </c>
      <c r="F57" s="8">
        <f t="shared" si="13"/>
        <v>10</v>
      </c>
      <c r="G57" s="8">
        <f t="shared" si="13"/>
        <v>11</v>
      </c>
      <c r="H57" s="8">
        <f t="shared" si="13"/>
        <v>16</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"&amp;(VLOOKUP(C14,Table24[],6,FALSE))</f>
        <v>Medium/Clay I Grass</v>
      </c>
      <c r="C58" s="13" t="str">
        <f>D16&amp;" I "&amp;(VLOOKUP(D14,Table24[],6,FALSE))</f>
        <v>Medium/Clay I Grass</v>
      </c>
      <c r="D58" s="13" t="str">
        <f>E16&amp;" I "&amp;(VLOOKUP(E14,Table24[],6,FALSE))</f>
        <v>Medium/Clay I Arable</v>
      </c>
      <c r="E58" s="13" t="str">
        <f>F16&amp;" I "&amp;(VLOOKUP(F14,Table24[],6,FALSE))</f>
        <v>Medium/Clay I Arable</v>
      </c>
      <c r="F58" s="13" t="str">
        <f>G16&amp;" I "&amp;(VLOOKUP(G14,Table24[],6,FALSE))</f>
        <v>Medium/Clay I Grass</v>
      </c>
      <c r="G58" s="13" t="str">
        <f>H16&amp;" I "&amp;(VLOOKUP(H14,Table24[],6,FALSE))</f>
        <v>Medium/Clay I Grass</v>
      </c>
      <c r="H58" s="13" t="str">
        <f>I16&amp;" I "&amp;(VLOOKUP(I14,Table24[],6,FALSE))</f>
        <v>Medium/Clay I Grass</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0" t="s">
        <v>132</v>
      </c>
      <c r="B59" s="75">
        <f>VLOOKUP(C$14,Table24[],5,FALSE)</f>
        <v>6.2</v>
      </c>
      <c r="C59" s="75">
        <f>VLOOKUP(D$14,Table24[],5,FALSE)</f>
        <v>6.2</v>
      </c>
      <c r="D59" s="75">
        <f>VLOOKUP(E$14,Table24[],5,FALSE)</f>
        <v>6.7</v>
      </c>
      <c r="E59" s="75">
        <f>VLOOKUP(F$14,Table24[],5,FALSE)</f>
        <v>6.7</v>
      </c>
      <c r="F59" s="75">
        <f>VLOOKUP(G$14,Table24[],5,FALSE)</f>
        <v>6.2</v>
      </c>
      <c r="G59" s="75">
        <f>VLOOKUP(H$14,Table24[],5,FALSE)</f>
        <v>6.2</v>
      </c>
      <c r="H59" s="75">
        <f>VLOOKUP(I$14,Table24[],5,FALSE)</f>
        <v>6.2</v>
      </c>
      <c r="I59" s="75" t="e">
        <f>VLOOKUP(J$14,Table24[],5,FALSE)</f>
        <v>#N/A</v>
      </c>
      <c r="J59" s="75" t="e">
        <f>VLOOKUP(K$14,Table24[],5,FALSE)</f>
        <v>#N/A</v>
      </c>
      <c r="K59" s="75" t="e">
        <f>VLOOKUP(L$14,Table24[],5,FALSE)</f>
        <v>#N/A</v>
      </c>
      <c r="L59" s="75" t="e">
        <f>VLOOKUP(M$14,Table24[],5,FALSE)</f>
        <v>#N/A</v>
      </c>
      <c r="M59" s="75" t="e">
        <f>VLOOKUP(N$14,Table24[],5,FALSE)</f>
        <v>#N/A</v>
      </c>
      <c r="N59" s="75" t="e">
        <f>VLOOKUP(O$14,Table24[],5,FALSE)</f>
        <v>#N/A</v>
      </c>
      <c r="O59" s="75" t="e">
        <f>VLOOKUP(P$14,Table24[],5,FALSE)</f>
        <v>#N/A</v>
      </c>
      <c r="P59" s="75" t="e">
        <f>VLOOKUP(Q$14,Table24[],5,FALSE)</f>
        <v>#N/A</v>
      </c>
      <c r="Q59" s="75" t="e">
        <f>VLOOKUP(R$14,Table24[],5,FALSE)</f>
        <v>#N/A</v>
      </c>
      <c r="R59" s="75" t="e">
        <f>VLOOKUP(S$14,Table24[],5,FALSE)</f>
        <v>#N/A</v>
      </c>
      <c r="S59" s="75" t="e">
        <f>VLOOKUP(T$14,Table24[],5,FALSE)</f>
        <v>#N/A</v>
      </c>
      <c r="T59" s="75" t="e">
        <f>VLOOKUP(U$14,Table24[],5,FALSE)</f>
        <v>#N/A</v>
      </c>
      <c r="U59" s="75" t="e">
        <f>VLOOKUP(V$14,Table24[],5,FALSE)</f>
        <v>#N/A</v>
      </c>
    </row>
    <row r="60" spans="1:35" s="19" customFormat="1" ht="13" x14ac:dyDescent="0.3">
      <c r="A60" s="110" t="s">
        <v>4</v>
      </c>
      <c r="B60" s="75">
        <f>C10</f>
        <v>6.2</v>
      </c>
      <c r="C60" s="75">
        <f t="shared" ref="C60:U60" si="14">D10</f>
        <v>5.2</v>
      </c>
      <c r="D60" s="75">
        <f t="shared" si="14"/>
        <v>5.5</v>
      </c>
      <c r="E60" s="75">
        <f t="shared" si="14"/>
        <v>5</v>
      </c>
      <c r="F60" s="75">
        <f t="shared" si="14"/>
        <v>5.5</v>
      </c>
      <c r="G60" s="75">
        <f t="shared" si="14"/>
        <v>5.4</v>
      </c>
      <c r="H60" s="75">
        <f t="shared" si="14"/>
        <v>5.5</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8</v>
      </c>
      <c r="E61" s="75">
        <f t="shared" si="15"/>
        <v>8</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v>
      </c>
      <c r="C64" s="76">
        <f t="shared" ref="C64:U64" si="17">(C59-C60)*C61</f>
        <v>6</v>
      </c>
      <c r="D64" s="76">
        <f t="shared" si="17"/>
        <v>9.6000000000000014</v>
      </c>
      <c r="E64" s="76">
        <f t="shared" si="17"/>
        <v>13.600000000000001</v>
      </c>
      <c r="F64" s="76">
        <f t="shared" si="17"/>
        <v>4.2000000000000011</v>
      </c>
      <c r="G64" s="76">
        <f t="shared" si="17"/>
        <v>4.7999999999999989</v>
      </c>
      <c r="H64" s="76">
        <f t="shared" si="17"/>
        <v>4.2000000000000011</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v>
      </c>
      <c r="C65" s="76">
        <f t="shared" ref="C65:U65" si="18">C63-C64</f>
        <v>-6</v>
      </c>
      <c r="D65" s="76">
        <f t="shared" si="18"/>
        <v>-9.6000000000000014</v>
      </c>
      <c r="E65" s="76">
        <f t="shared" si="18"/>
        <v>-13.600000000000001</v>
      </c>
      <c r="F65" s="76">
        <f t="shared" si="18"/>
        <v>-4.2000000000000011</v>
      </c>
      <c r="G65" s="76">
        <f t="shared" si="18"/>
        <v>-4.7999999999999989</v>
      </c>
      <c r="H65" s="76">
        <f t="shared" si="18"/>
        <v>-4.2000000000000011</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13" zoomScale="90" zoomScaleNormal="90" workbookViewId="0">
      <selection activeCell="R29" sqref="R2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Bryngwyn!C1:D1</f>
        <v>PAN-019774</v>
      </c>
      <c r="D1" s="142"/>
      <c r="E1" s="92" t="s">
        <v>45</v>
      </c>
      <c r="F1" s="38" t="str">
        <f>Bryngwyn!F1</f>
        <v>46.9 ha</v>
      </c>
      <c r="G1" s="124" t="s">
        <v>43</v>
      </c>
      <c r="H1" s="125"/>
      <c r="I1" s="117">
        <v>6.2</v>
      </c>
      <c r="J1" s="128" t="s">
        <v>153</v>
      </c>
      <c r="K1" s="128"/>
      <c r="L1" s="96">
        <v>275</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Bryngwyn!C2:D2</f>
        <v>EPR/GP3792SK</v>
      </c>
      <c r="D2" s="144"/>
      <c r="E2" s="92" t="s">
        <v>109</v>
      </c>
      <c r="F2" s="95" t="s">
        <v>166</v>
      </c>
      <c r="G2" s="126" t="s">
        <v>110</v>
      </c>
      <c r="H2" s="127"/>
      <c r="I2" s="117"/>
      <c r="J2" s="128" t="s">
        <v>158</v>
      </c>
      <c r="K2" s="128"/>
      <c r="L2" s="96">
        <v>1.58</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Bryngwyn!C3:D3</f>
        <v xml:space="preserve">Mr Richard Evans </v>
      </c>
      <c r="D3" s="144"/>
      <c r="E3" s="92" t="s">
        <v>108</v>
      </c>
      <c r="F3" s="30" t="s">
        <v>78</v>
      </c>
      <c r="G3" s="128" t="s">
        <v>159</v>
      </c>
      <c r="H3" s="128"/>
      <c r="I3" s="117"/>
      <c r="J3" s="124" t="s">
        <v>154</v>
      </c>
      <c r="K3" s="125"/>
      <c r="L3" s="96">
        <f>(L1/(L2*10000))*100</f>
        <v>1.740506329113924</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1" t="str">
        <f>Bryngwyn!C4:D4</f>
        <v>Tylebrithos, Cantref, Brecon, LD3 8LR</v>
      </c>
      <c r="D4" s="142"/>
      <c r="E4" s="93" t="s">
        <v>1</v>
      </c>
      <c r="F4" s="119" t="s">
        <v>167</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Bryngwyn!C5:D5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t="str">
        <f>Bryngwyn!C8</f>
        <v>Abercynrig 2</v>
      </c>
      <c r="D8" s="59" t="str">
        <f>Bryngwyn!D8</f>
        <v>Abercynrig 10</v>
      </c>
      <c r="E8" s="59">
        <f>Bryngwyn!E8</f>
        <v>1</v>
      </c>
      <c r="F8" s="59">
        <f>Bryngwyn!F8</f>
        <v>2</v>
      </c>
      <c r="G8" s="59">
        <f>Bryngwyn!G8</f>
        <v>10</v>
      </c>
      <c r="H8" s="59">
        <f>Bryngwyn!H8</f>
        <v>11</v>
      </c>
      <c r="I8" s="59">
        <f>Bryngwyn!I8</f>
        <v>16</v>
      </c>
      <c r="J8" s="59">
        <f>Bryngwyn!J8</f>
        <v>0</v>
      </c>
      <c r="K8" s="59">
        <f>Bryngwyn!K8</f>
        <v>0</v>
      </c>
      <c r="L8" s="59">
        <f>Bryngwyn!L8</f>
        <v>0</v>
      </c>
      <c r="M8" s="59">
        <f>Bryngwyn!M8</f>
        <v>0</v>
      </c>
      <c r="N8" s="59">
        <f>Bryngwyn!N8</f>
        <v>0</v>
      </c>
      <c r="O8" s="59">
        <f>Bryngwyn!O8</f>
        <v>0</v>
      </c>
      <c r="P8" s="59">
        <f>Bryngwyn!P8</f>
        <v>0</v>
      </c>
      <c r="Q8" s="59">
        <f>Bryngwyn!Q8</f>
        <v>0</v>
      </c>
      <c r="R8" s="59">
        <f>Bryngwyn!R8</f>
        <v>0</v>
      </c>
      <c r="S8" s="59">
        <f>Bryngwyn!S8</f>
        <v>0</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Bryngwyn!C9</f>
        <v>Moderate</v>
      </c>
      <c r="D9" s="59" t="str">
        <f>Bryngwyn!D9</f>
        <v xml:space="preserve">Moderate </v>
      </c>
      <c r="E9" s="59">
        <f>Bryngwyn!E9</f>
        <v>1</v>
      </c>
      <c r="F9" s="59">
        <f>Bryngwyn!F9</f>
        <v>1</v>
      </c>
      <c r="G9" s="59" t="str">
        <f>Bryngwyn!G9</f>
        <v>Moderate</v>
      </c>
      <c r="H9" s="59" t="str">
        <f>Bryngwyn!H9</f>
        <v xml:space="preserve">Moderate </v>
      </c>
      <c r="I9" s="59" t="str">
        <f>Bryngwyn!I9</f>
        <v xml:space="preserve">Moderate </v>
      </c>
      <c r="J9" s="59">
        <f>Bryngwyn!J9</f>
        <v>0</v>
      </c>
      <c r="K9" s="59">
        <f>Bryngwyn!K9</f>
        <v>0</v>
      </c>
      <c r="L9" s="59">
        <f>Bryngwyn!L9</f>
        <v>0</v>
      </c>
      <c r="M9" s="59">
        <f>Bryngwyn!M9</f>
        <v>0</v>
      </c>
      <c r="N9" s="59">
        <f>Bryngwyn!N9</f>
        <v>0</v>
      </c>
      <c r="O9" s="59">
        <f>Bryngwyn!O9</f>
        <v>0</v>
      </c>
      <c r="P9" s="59">
        <f>Bryngwyn!P9</f>
        <v>0</v>
      </c>
      <c r="Q9" s="59">
        <f>Bryngwyn!Q9</f>
        <v>0</v>
      </c>
      <c r="R9" s="59">
        <f>Bryngwyn!R9</f>
        <v>0</v>
      </c>
      <c r="S9" s="59">
        <f>Bryngwyn!S9</f>
        <v>0</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Bryngwyn!C10</f>
        <v>6.2</v>
      </c>
      <c r="D10" s="59">
        <f>Bryngwyn!D10</f>
        <v>5.2</v>
      </c>
      <c r="E10" s="59">
        <f>Bryngwyn!E10</f>
        <v>5.5</v>
      </c>
      <c r="F10" s="59">
        <f>Bryngwyn!F10</f>
        <v>5</v>
      </c>
      <c r="G10" s="59">
        <f>Bryngwyn!G10</f>
        <v>5.5</v>
      </c>
      <c r="H10" s="59">
        <f>Bryngwyn!H10</f>
        <v>5.4</v>
      </c>
      <c r="I10" s="59">
        <f>Bryngwyn!I10</f>
        <v>5.5</v>
      </c>
      <c r="J10" s="59">
        <f>Bryngwyn!J10</f>
        <v>0</v>
      </c>
      <c r="K10" s="59">
        <f>Bryngwyn!K10</f>
        <v>0</v>
      </c>
      <c r="L10" s="59">
        <f>Bryngwyn!L10</f>
        <v>0</v>
      </c>
      <c r="M10" s="59">
        <f>Bryngwyn!M10</f>
        <v>0</v>
      </c>
      <c r="N10" s="59">
        <f>Bryngwyn!N10</f>
        <v>0</v>
      </c>
      <c r="O10" s="59">
        <f>Bryngwyn!O10</f>
        <v>0</v>
      </c>
      <c r="P10" s="59">
        <f>Bryngwyn!P10</f>
        <v>0</v>
      </c>
      <c r="Q10" s="59">
        <f>Bryngwyn!Q10</f>
        <v>0</v>
      </c>
      <c r="R10" s="59">
        <f>Bryngwyn!R10</f>
        <v>0</v>
      </c>
      <c r="S10" s="59">
        <f>Bryngwyn!S10</f>
        <v>0</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Bryngwyn!C11</f>
        <v>3</v>
      </c>
      <c r="D11" s="59">
        <f>Bryngwyn!D11</f>
        <v>3</v>
      </c>
      <c r="E11" s="59">
        <f>Bryngwyn!E11</f>
        <v>3</v>
      </c>
      <c r="F11" s="59">
        <f>Bryngwyn!F11</f>
        <v>4</v>
      </c>
      <c r="G11" s="59">
        <f>Bryngwyn!G11</f>
        <v>2</v>
      </c>
      <c r="H11" s="59">
        <f>Bryngwyn!H11</f>
        <v>2</v>
      </c>
      <c r="I11" s="59">
        <f>Bryngwyn!I11</f>
        <v>3</v>
      </c>
      <c r="J11" s="59">
        <f>Bryngwyn!J11</f>
        <v>0</v>
      </c>
      <c r="K11" s="59">
        <f>Bryngwyn!K11</f>
        <v>0</v>
      </c>
      <c r="L11" s="59">
        <f>Bryngwyn!L11</f>
        <v>0</v>
      </c>
      <c r="M11" s="59">
        <f>Bryngwyn!M11</f>
        <v>0</v>
      </c>
      <c r="N11" s="59">
        <f>Bryngwyn!N11</f>
        <v>0</v>
      </c>
      <c r="O11" s="59">
        <f>Bryngwyn!O11</f>
        <v>0</v>
      </c>
      <c r="P11" s="59">
        <f>Bryngwyn!P11</f>
        <v>0</v>
      </c>
      <c r="Q11" s="59">
        <f>Bryngwyn!Q11</f>
        <v>0</v>
      </c>
      <c r="R11" s="59">
        <f>Bryngwyn!R11</f>
        <v>0</v>
      </c>
      <c r="S11" s="59">
        <f>Bryngwyn!S11</f>
        <v>0</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Bryngwyn!C12</f>
        <v>2</v>
      </c>
      <c r="D12" s="59">
        <f>Bryngwyn!D12</f>
        <v>1</v>
      </c>
      <c r="E12" s="59">
        <f>Bryngwyn!E12</f>
        <v>2</v>
      </c>
      <c r="F12" s="59">
        <f>Bryngwyn!F12</f>
        <v>1</v>
      </c>
      <c r="G12" s="59">
        <f>Bryngwyn!G12</f>
        <v>1</v>
      </c>
      <c r="H12" s="59">
        <f>Bryngwyn!H12</f>
        <v>1</v>
      </c>
      <c r="I12" s="59">
        <f>Bryngwyn!I12</f>
        <v>1</v>
      </c>
      <c r="J12" s="59">
        <f>Bryngwyn!J12</f>
        <v>0</v>
      </c>
      <c r="K12" s="59">
        <f>Bryngwyn!K12</f>
        <v>0</v>
      </c>
      <c r="L12" s="59">
        <f>Bryngwyn!L12</f>
        <v>0</v>
      </c>
      <c r="M12" s="59">
        <f>Bryngwyn!M12</f>
        <v>0</v>
      </c>
      <c r="N12" s="59">
        <f>Bryngwyn!N12</f>
        <v>0</v>
      </c>
      <c r="O12" s="59">
        <f>Bryngwyn!O12</f>
        <v>0</v>
      </c>
      <c r="P12" s="59">
        <f>Bryngwyn!P12</f>
        <v>0</v>
      </c>
      <c r="Q12" s="59">
        <f>Bryngwyn!Q12</f>
        <v>0</v>
      </c>
      <c r="R12" s="59">
        <f>Bryngwyn!R12</f>
        <v>0</v>
      </c>
      <c r="S12" s="59">
        <f>Bryngwyn!S12</f>
        <v>0</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Bryngwyn!C13</f>
        <v>3</v>
      </c>
      <c r="D13" s="59">
        <f>Bryngwyn!D13</f>
        <v>2</v>
      </c>
      <c r="E13" s="59">
        <f>Bryngwyn!E13</f>
        <v>3</v>
      </c>
      <c r="F13" s="59">
        <f>Bryngwyn!F13</f>
        <v>2</v>
      </c>
      <c r="G13" s="59">
        <f>Bryngwyn!G13</f>
        <v>2</v>
      </c>
      <c r="H13" s="59">
        <f>Bryngwyn!H13</f>
        <v>2</v>
      </c>
      <c r="I13" s="59">
        <f>Bryngwyn!I13</f>
        <v>3</v>
      </c>
      <c r="J13" s="59">
        <f>Bryngwyn!J13</f>
        <v>0</v>
      </c>
      <c r="K13" s="59">
        <f>Bryngwyn!K13</f>
        <v>0</v>
      </c>
      <c r="L13" s="59">
        <f>Bryngwyn!L13</f>
        <v>0</v>
      </c>
      <c r="M13" s="59">
        <f>Bryngwyn!M13</f>
        <v>0</v>
      </c>
      <c r="N13" s="59">
        <f>Bryngwyn!N13</f>
        <v>0</v>
      </c>
      <c r="O13" s="59">
        <f>Bryngwyn!O13</f>
        <v>0</v>
      </c>
      <c r="P13" s="59">
        <f>Bryngwyn!P13</f>
        <v>0</v>
      </c>
      <c r="Q13" s="59">
        <f>Bryngwyn!Q13</f>
        <v>0</v>
      </c>
      <c r="R13" s="59">
        <f>Bryngwyn!R13</f>
        <v>0</v>
      </c>
      <c r="S13" s="59">
        <f>Bryngwyn!S13</f>
        <v>0</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Bryngwyn!C14</f>
        <v xml:space="preserve">Grass Silage (25% DM) </v>
      </c>
      <c r="D14" s="101" t="str">
        <f>Bryngwyn!D14</f>
        <v xml:space="preserve">Grass Silage (25% DM) </v>
      </c>
      <c r="E14" s="101" t="str">
        <f>Bryngwyn!E14</f>
        <v>Winter barley/triticale/rye</v>
      </c>
      <c r="F14" s="101" t="str">
        <f>Bryngwyn!F14</f>
        <v>Winter barley/triticale/rye</v>
      </c>
      <c r="G14" s="101" t="str">
        <f>Bryngwyn!G14</f>
        <v xml:space="preserve">Grass Silage (25% DM) </v>
      </c>
      <c r="H14" s="101" t="str">
        <f>Bryngwyn!H14</f>
        <v xml:space="preserve">Grass Silage (25% DM) </v>
      </c>
      <c r="I14" s="101" t="str">
        <f>Bryngwyn!I14</f>
        <v xml:space="preserve">Grass Silage (25% DM) </v>
      </c>
      <c r="J14" s="101">
        <f>Bryngwyn!J14</f>
        <v>0</v>
      </c>
      <c r="K14" s="101">
        <f>Bryngwyn!K14</f>
        <v>0</v>
      </c>
      <c r="L14" s="101">
        <f>Bryngwyn!L14</f>
        <v>0</v>
      </c>
      <c r="M14" s="101">
        <f>Bryngwyn!M14</f>
        <v>0</v>
      </c>
      <c r="N14" s="101">
        <f>Bryngwyn!N14</f>
        <v>0</v>
      </c>
      <c r="O14" s="101">
        <f>Bryngwyn!O14</f>
        <v>0</v>
      </c>
      <c r="P14" s="101">
        <f>Bryngwyn!P14</f>
        <v>0</v>
      </c>
      <c r="Q14" s="101">
        <f>Bryngwyn!Q14</f>
        <v>0</v>
      </c>
      <c r="R14" s="101">
        <f>Bryngwyn!R14</f>
        <v>0</v>
      </c>
      <c r="S14" s="101">
        <f>Bryngwyn!S14</f>
        <v>0</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6" t="s">
        <v>9</v>
      </c>
      <c r="B15" s="136"/>
      <c r="C15" s="59">
        <f>Bryngwyn!C15</f>
        <v>38</v>
      </c>
      <c r="D15" s="59">
        <f>Bryngwyn!D15</f>
        <v>38</v>
      </c>
      <c r="E15" s="59">
        <f>Bryngwyn!E15</f>
        <v>6.5</v>
      </c>
      <c r="F15" s="59">
        <f>Bryngwyn!F15</f>
        <v>6.5</v>
      </c>
      <c r="G15" s="59">
        <f>Bryngwyn!G15</f>
        <v>38</v>
      </c>
      <c r="H15" s="59">
        <f>Bryngwyn!H15</f>
        <v>38</v>
      </c>
      <c r="I15" s="59">
        <f>Bryngwyn!I15</f>
        <v>38</v>
      </c>
      <c r="J15" s="59">
        <f>Bryngwyn!J15</f>
        <v>0</v>
      </c>
      <c r="K15" s="59">
        <f>Bryngwyn!K15</f>
        <v>0</v>
      </c>
      <c r="L15" s="59">
        <f>Bryngwyn!L15</f>
        <v>0</v>
      </c>
      <c r="M15" s="59">
        <f>Bryngwyn!M15</f>
        <v>0</v>
      </c>
      <c r="N15" s="59">
        <f>Bryngwyn!N15</f>
        <v>0</v>
      </c>
      <c r="O15" s="59">
        <f>Bryngwyn!O15</f>
        <v>0</v>
      </c>
      <c r="P15" s="59">
        <f>Bryngwyn!P15</f>
        <v>0</v>
      </c>
      <c r="Q15" s="59">
        <f>Bryngwyn!Q15</f>
        <v>0</v>
      </c>
      <c r="R15" s="59">
        <f>Bryngwyn!R15</f>
        <v>0</v>
      </c>
      <c r="S15" s="59">
        <f>Bryngwyn!S15</f>
        <v>0</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f>Bryngwyn!J16</f>
        <v>0</v>
      </c>
      <c r="K16" s="102">
        <f>Bryngwyn!K16</f>
        <v>0</v>
      </c>
      <c r="L16" s="102">
        <f>Bryngwyn!L16</f>
        <v>0</v>
      </c>
      <c r="M16" s="102">
        <f>Bryngwyn!M16</f>
        <v>0</v>
      </c>
      <c r="N16" s="102">
        <f>Bryngwyn!N16</f>
        <v>0</v>
      </c>
      <c r="O16" s="102">
        <f>Bryngwyn!O16</f>
        <v>0</v>
      </c>
      <c r="P16" s="102">
        <f>Bryngwyn!P16</f>
        <v>0</v>
      </c>
      <c r="Q16" s="102">
        <f>Bryngwyn!Q16</f>
        <v>0</v>
      </c>
      <c r="R16" s="102">
        <f>Bryngwyn!R16</f>
        <v>0</v>
      </c>
      <c r="S16" s="102">
        <f>Bryngwyn!S16</f>
        <v>0</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64.599999999999994</v>
      </c>
      <c r="D17" s="27">
        <f t="shared" ref="D17:V17" si="0">(VLOOKUP(D$14,$AI2:$AK26,2,FALSE))*D$15</f>
        <v>64.599999999999994</v>
      </c>
      <c r="E17" s="27">
        <f t="shared" si="0"/>
        <v>55.25</v>
      </c>
      <c r="F17" s="27">
        <f t="shared" si="0"/>
        <v>55.25</v>
      </c>
      <c r="G17" s="27">
        <f t="shared" si="0"/>
        <v>64.599999999999994</v>
      </c>
      <c r="H17" s="27">
        <f t="shared" si="0"/>
        <v>64.599999999999994</v>
      </c>
      <c r="I17" s="27">
        <f t="shared" si="0"/>
        <v>64.599999999999994</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12.524324250000003</v>
      </c>
      <c r="D18" s="16">
        <f>$D32</f>
        <v>12.524324250000003</v>
      </c>
      <c r="E18" s="16">
        <f>$D33</f>
        <v>12.524324250000003</v>
      </c>
      <c r="F18" s="16">
        <f>$D34</f>
        <v>12.524324250000003</v>
      </c>
      <c r="G18" s="16">
        <f>$D35</f>
        <v>12.524324250000003</v>
      </c>
      <c r="H18" s="16">
        <f>$D36</f>
        <v>12.524324250000003</v>
      </c>
      <c r="I18" s="16">
        <f>$D37</f>
        <v>12.524324250000003</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-52.075675749999988</v>
      </c>
      <c r="D19" s="16">
        <f t="shared" ref="D19:V19" si="1">D18-D17</f>
        <v>-52.075675749999988</v>
      </c>
      <c r="E19" s="16">
        <f t="shared" si="1"/>
        <v>-42.725675749999994</v>
      </c>
      <c r="F19" s="16">
        <f t="shared" si="1"/>
        <v>-42.725675749999994</v>
      </c>
      <c r="G19" s="16">
        <f t="shared" si="1"/>
        <v>-52.075675749999988</v>
      </c>
      <c r="H19" s="16">
        <f t="shared" si="1"/>
        <v>-52.075675749999988</v>
      </c>
      <c r="I19" s="16">
        <f t="shared" si="1"/>
        <v>-52.075675749999988</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228</v>
      </c>
      <c r="D21" s="27">
        <f t="shared" ref="D21:V21" si="2">(VLOOKUP(D$14,$AI2:$AK26,3,FALSE))*D$15</f>
        <v>228</v>
      </c>
      <c r="E21" s="27">
        <f t="shared" si="2"/>
        <v>68.25</v>
      </c>
      <c r="F21" s="27">
        <f t="shared" si="2"/>
        <v>68.25</v>
      </c>
      <c r="G21" s="27">
        <f t="shared" si="2"/>
        <v>228</v>
      </c>
      <c r="H21" s="27">
        <f t="shared" si="2"/>
        <v>228</v>
      </c>
      <c r="I21" s="27">
        <f t="shared" si="2"/>
        <v>228</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0.92959725000000004</v>
      </c>
      <c r="D22" s="16">
        <f>$E32</f>
        <v>0.92959725000000004</v>
      </c>
      <c r="E22" s="16">
        <f>$E33</f>
        <v>0.92959725000000004</v>
      </c>
      <c r="F22" s="16">
        <f>$E34</f>
        <v>0.92959725000000004</v>
      </c>
      <c r="G22" s="16">
        <f>$E35</f>
        <v>0.92959725000000004</v>
      </c>
      <c r="H22" s="16">
        <f>$E36</f>
        <v>0.92959725000000004</v>
      </c>
      <c r="I22" s="16">
        <f>$E37</f>
        <v>0.92959725000000004</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-227.07040275</v>
      </c>
      <c r="D23" s="16">
        <f t="shared" ref="D23:V23" si="3">D22-D21</f>
        <v>-227.07040275</v>
      </c>
      <c r="E23" s="16">
        <f t="shared" si="3"/>
        <v>-67.32040275</v>
      </c>
      <c r="F23" s="16">
        <f t="shared" si="3"/>
        <v>-67.32040275</v>
      </c>
      <c r="G23" s="16">
        <f t="shared" si="3"/>
        <v>-227.07040275</v>
      </c>
      <c r="H23" s="16">
        <f t="shared" si="3"/>
        <v>-227.07040275</v>
      </c>
      <c r="I23" s="16">
        <f t="shared" si="3"/>
        <v>-227.07040275</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2.2200000000000002</v>
      </c>
      <c r="C28" s="15">
        <v>1.58</v>
      </c>
      <c r="D28" s="15">
        <v>9.8500000000000004E-2</v>
      </c>
      <c r="E28" s="15">
        <v>1.3899999999999999E-2</v>
      </c>
      <c r="F28" s="15">
        <v>514</v>
      </c>
      <c r="G28" s="15">
        <v>7.8</v>
      </c>
      <c r="H28" s="15">
        <v>12.3</v>
      </c>
      <c r="I28" s="15">
        <v>6.2</v>
      </c>
      <c r="J28" s="15">
        <v>0.35</v>
      </c>
      <c r="K28" s="15">
        <v>0.91</v>
      </c>
      <c r="L28" s="15">
        <v>7.8</v>
      </c>
      <c r="M28" s="15">
        <v>4.3</v>
      </c>
      <c r="N28" s="15">
        <v>2160</v>
      </c>
      <c r="O28" s="15">
        <v>6.2</v>
      </c>
      <c r="P28" s="15"/>
      <c r="Q28" s="15">
        <v>2190</v>
      </c>
      <c r="R28" s="15"/>
      <c r="S28" s="15">
        <v>67.5</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Abercynrig 2</v>
      </c>
      <c r="B31" s="15">
        <v>250</v>
      </c>
      <c r="C31" s="76">
        <f>IF(C$27="%w/w SAR",((C$28*10)*$B31),IF(C$27="%w/w DM",(((C$28*10)*($B$28/100))*$B31),IF(C$27="kg/t SAR",(C$28*$B31),IF(C$27="kg/t DM",((C$28*($B$28/100))*$B31),IF(C$27="mg/kg SAR",((C$28*0.001)*$B31),IF(C$27="mg/kg DM",(((C$28*0.001)*($B$28/100))*$B31),0))))))</f>
        <v>87.69</v>
      </c>
      <c r="D31" s="76">
        <f>(IF(D$27="%w/w SAR",((D$28*10)*$B31),IF(D$27="%w/w DM",(((D$28*10)*($B$28/100))*$B31),IF(D$27="kg/t SAR",(D$28*$B31),IF(D$27="kg/t DM",((D$28*($B$28/100))*$B31),IF(D$27="mg/kg SAR",((D$28*0.001)*$B31),IF(D$27="mg/kg DM",(((D$28*0.001)*($B$28/100))*$B31),"0")))))))*2.291</f>
        <v>12.524324250000003</v>
      </c>
      <c r="E31" s="76">
        <f>(IF(E$27="%w/w SAR",((E$28*10)*$B31),IF(E$27="%w/w DM",(((E$28*10)*($B$28/100))*$B31),IF(E$27="kg/t SAR",(E$28*$B31),IF(E$27="kg/t DM",((E$28*($B$28/100))*$B31),IF(E$27="mg/kg SAR",((E$28*0.001)*$B31),IF(E$27="mg/kg DM",(((E$28*0.001)*($B$28/100))*$B31),"0")))))))*1.205</f>
        <v>0.92959725000000004</v>
      </c>
      <c r="F31" s="76">
        <f>(IF(F$27="%w/w SAR",((F$28*10)*$B31),IF(F$27="%w/w DM",(((F$28*10)*($B$28/100))*$B31),IF(F$27="kg/t SAR",(F$28*$B31),IF(F$27="kg/t DM",((F$28*($B$28/100))*$B31),IF(F$27="mg/kg SAR",((F$28*0.001)*$B31),IF(F$27="mg/kg DM",(((F$28*0.001)*($B$28/100))*$B31),"0")))))))*1.658</f>
        <v>4.7297766000000001</v>
      </c>
      <c r="G31" s="76">
        <f t="shared" ref="G31:P46" si="5">IF(G$27="%w/w SAR",((G$28*10)*$B31),IF(G$27="%w/w DM",(((G$28*10)*($B$28/100))*$B31),IF(G$27="kg/t SAR",(G$28*$B31),IF(G$27="kg/t DM",((G$28*($B$28/100))*$B31),IF(G$27="mg/kg SAR",((G$28*0.001)*$B31),IF(G$27="mg/kg DM",(((G$28*0.001)*($B$28/100))*$B31),0))))))</f>
        <v>4.3290000000000002E-2</v>
      </c>
      <c r="H31" s="76">
        <f t="shared" si="5"/>
        <v>6.8264999999999992E-2</v>
      </c>
      <c r="I31" s="76">
        <f t="shared" si="5"/>
        <v>3.4410000000000003E-2</v>
      </c>
      <c r="J31" s="76">
        <f t="shared" si="5"/>
        <v>1.9425E-3</v>
      </c>
      <c r="K31" s="76">
        <f t="shared" si="5"/>
        <v>5.0505000000000003E-3</v>
      </c>
      <c r="L31" s="76">
        <f t="shared" si="5"/>
        <v>4.3290000000000002E-2</v>
      </c>
      <c r="M31" s="76">
        <f t="shared" si="5"/>
        <v>2.3865000000000004E-2</v>
      </c>
      <c r="N31" s="76">
        <f t="shared" si="5"/>
        <v>11.988000000000001</v>
      </c>
      <c r="O31" s="76">
        <f t="shared" si="5"/>
        <v>3.4410000000000003E-2</v>
      </c>
      <c r="P31" s="76">
        <f t="shared" si="5"/>
        <v>0</v>
      </c>
      <c r="Q31" s="76">
        <f>(IF(Q$27="%w/w SAR",((Q$28*10)*$B31),IF(Q$27="%w/w DM",(((Q$28*10)*($B$28/100))*$B31),IF(Q$27="kg/t SAR",(Q$28*$B31),IF(Q$27="kg/t DM",((Q$28*($B$28/100))*$B31),IF(Q$27="mg/kg SAR",((Q$28*0.001)*$B31),IF(Q$27="mg/kg DM",(((Q$28*0.001)*($B$28/100))*$B31),0)))))))*2.5</f>
        <v>30.38625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0.37462500000000004</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Abercynrig 10</v>
      </c>
      <c r="B32" s="15">
        <v>250</v>
      </c>
      <c r="C32" s="76">
        <f t="shared" ref="C32:C50" si="6">IF(C$27="%w/w SAR",((C$28*10)*$B32),IF(C$27="%w/w DM",(((C$28*10)*($B$28/100))*$B32),IF(C$27="kg/t SAR",(C$28*$B32),IF(C$27="kg/t DM",((C$28*($B$28/100))*$B32),IF(C$27="mg/kg SAR",((C$28*0.001)*$B32),IF(C$27="mg/kg DM",(((C$28*0.001)*($B$28/100))*$B32),0))))))</f>
        <v>87.69</v>
      </c>
      <c r="D32" s="76">
        <f t="shared" ref="D32:D50" si="7">(IF(D$27="%w/w SAR",((D$28*10)*$B32),IF(D$27="%w/w DM",(((D$28*10)*($B$28/100))*$B32),IF(D$27="kg/t SAR",(D$28*$B32),IF(D$27="kg/t DM",((D$28*($B$28/100))*$B32),IF(D$27="mg/kg SAR",((D$28*0.001)*$B32),IF(D$27="mg/kg DM",(((D$28*0.001)*($B$28/100))*$B32),"0")))))))*2.291</f>
        <v>12.524324250000003</v>
      </c>
      <c r="E32" s="76">
        <f t="shared" ref="E32:E50" si="8">(IF(E$27="%w/w SAR",((E$28*10)*$B32),IF(E$27="%w/w DM",(((E$28*10)*($B$28/100))*$B32),IF(E$27="kg/t SAR",(E$28*$B32),IF(E$27="kg/t DM",((E$28*($B$28/100))*$B32),IF(E$27="mg/kg SAR",((E$28*0.001)*$B32),IF(E$27="mg/kg DM",(((E$28*0.001)*($B$28/100))*$B32),"0")))))))*1.205</f>
        <v>0.92959725000000004</v>
      </c>
      <c r="F32" s="76">
        <f t="shared" ref="F32:F50" si="9">(IF(F$27="%w/w SAR",((F$28*10)*$B32),IF(F$27="%w/w DM",(((F$28*10)*($B$28/100))*$B32),IF(F$27="kg/t SAR",(F$28*$B32),IF(F$27="kg/t DM",((F$28*($B$28/100))*$B32),IF(F$27="mg/kg SAR",((F$28*0.001)*$B32),IF(F$27="mg/kg DM",(((F$28*0.001)*($B$28/100))*$B32),"0")))))))*1.658</f>
        <v>4.7297766000000001</v>
      </c>
      <c r="G32" s="76">
        <f t="shared" si="5"/>
        <v>4.3290000000000002E-2</v>
      </c>
      <c r="H32" s="76">
        <f t="shared" si="5"/>
        <v>6.8264999999999992E-2</v>
      </c>
      <c r="I32" s="76">
        <f t="shared" si="5"/>
        <v>3.4410000000000003E-2</v>
      </c>
      <c r="J32" s="76">
        <f t="shared" si="5"/>
        <v>1.9425E-3</v>
      </c>
      <c r="K32" s="76">
        <f t="shared" si="5"/>
        <v>5.0505000000000003E-3</v>
      </c>
      <c r="L32" s="76">
        <f t="shared" si="5"/>
        <v>4.3290000000000002E-2</v>
      </c>
      <c r="M32" s="76">
        <f t="shared" si="5"/>
        <v>2.3865000000000004E-2</v>
      </c>
      <c r="N32" s="76">
        <f t="shared" si="5"/>
        <v>11.988000000000001</v>
      </c>
      <c r="O32" s="76">
        <f t="shared" si="5"/>
        <v>3.4410000000000003E-2</v>
      </c>
      <c r="P32" s="76">
        <f t="shared" si="5"/>
        <v>0</v>
      </c>
      <c r="Q32" s="76">
        <f t="shared" ref="Q32:Q50" si="10">(IF(Q$27="%w/w SAR",((Q$28*10)*$B32),IF(Q$27="%w/w DM",(((Q$28*10)*($B$28/100))*$B32),IF(Q$27="kg/t SAR",(Q$28*$B32),IF(Q$27="kg/t DM",((Q$28*($B$28/100))*$B32),IF(Q$27="mg/kg SAR",((Q$28*0.001)*$B32),IF(Q$27="mg/kg DM",(((Q$28*0.001)*($B$28/100))*$B32),0)))))))*2.5</f>
        <v>30.38625</v>
      </c>
      <c r="R32" s="76">
        <f t="shared" ref="R32:U50" si="11">IF(R$27="%w/w SAR",((R$28*10)*$B32),IF(R$27="%w/w DM",(((R$28*10)*($B$28/100))*$B32),IF(R$27="kg/t SAR",(R$28*$B32),IF(R$27="kg/t DM",((R$28*($B$28/100))*$B32),IF(R$27="mg/kg SAR",((R$28*0.001)*$B32),IF(R$27="mg/kg DM",(((R$28*0.001)*($B$28/100))*$B32),0))))))</f>
        <v>0</v>
      </c>
      <c r="S32" s="76">
        <f t="shared" si="11"/>
        <v>0.37462500000000004</v>
      </c>
      <c r="T32" s="76">
        <f t="shared" si="11"/>
        <v>0</v>
      </c>
      <c r="U32" s="76">
        <f t="shared" si="11"/>
        <v>0</v>
      </c>
      <c r="AB32" s="58"/>
      <c r="AC32" s="58"/>
      <c r="AD32" s="58"/>
      <c r="AE32" s="58"/>
      <c r="AF32" s="58"/>
      <c r="AG32" s="58"/>
      <c r="AH32" s="58"/>
      <c r="AI32" s="58"/>
    </row>
    <row r="33" spans="1:35" s="71" customFormat="1" ht="13" x14ac:dyDescent="0.35">
      <c r="A33" s="13">
        <f>E8</f>
        <v>1</v>
      </c>
      <c r="B33" s="15">
        <v>250</v>
      </c>
      <c r="C33" s="76">
        <f t="shared" si="6"/>
        <v>87.69</v>
      </c>
      <c r="D33" s="76">
        <f t="shared" si="7"/>
        <v>12.524324250000003</v>
      </c>
      <c r="E33" s="76">
        <f t="shared" si="8"/>
        <v>0.92959725000000004</v>
      </c>
      <c r="F33" s="76">
        <f t="shared" si="9"/>
        <v>4.7297766000000001</v>
      </c>
      <c r="G33" s="76">
        <f t="shared" si="5"/>
        <v>4.3290000000000002E-2</v>
      </c>
      <c r="H33" s="76">
        <f t="shared" si="5"/>
        <v>6.8264999999999992E-2</v>
      </c>
      <c r="I33" s="76">
        <f t="shared" si="5"/>
        <v>3.4410000000000003E-2</v>
      </c>
      <c r="J33" s="76">
        <f t="shared" si="5"/>
        <v>1.9425E-3</v>
      </c>
      <c r="K33" s="76">
        <f t="shared" si="5"/>
        <v>5.0505000000000003E-3</v>
      </c>
      <c r="L33" s="76">
        <f t="shared" si="5"/>
        <v>4.3290000000000002E-2</v>
      </c>
      <c r="M33" s="76">
        <f t="shared" si="5"/>
        <v>2.3865000000000004E-2</v>
      </c>
      <c r="N33" s="76">
        <f t="shared" si="5"/>
        <v>11.988000000000001</v>
      </c>
      <c r="O33" s="76">
        <f t="shared" si="5"/>
        <v>3.4410000000000003E-2</v>
      </c>
      <c r="P33" s="76">
        <f t="shared" si="5"/>
        <v>0</v>
      </c>
      <c r="Q33" s="76">
        <f t="shared" si="10"/>
        <v>30.38625</v>
      </c>
      <c r="R33" s="76">
        <f t="shared" si="11"/>
        <v>0</v>
      </c>
      <c r="S33" s="76">
        <f t="shared" si="11"/>
        <v>0.37462500000000004</v>
      </c>
      <c r="T33" s="76">
        <f t="shared" si="11"/>
        <v>0</v>
      </c>
      <c r="U33" s="76">
        <f t="shared" si="11"/>
        <v>0</v>
      </c>
      <c r="AB33" s="58"/>
      <c r="AC33" s="58"/>
      <c r="AD33" s="58"/>
      <c r="AE33" s="58"/>
      <c r="AF33" s="58"/>
      <c r="AG33" s="58"/>
      <c r="AH33" s="58"/>
      <c r="AI33" s="58"/>
    </row>
    <row r="34" spans="1:35" s="71" customFormat="1" ht="13" x14ac:dyDescent="0.35">
      <c r="A34" s="13">
        <f>F8</f>
        <v>2</v>
      </c>
      <c r="B34" s="15">
        <v>250</v>
      </c>
      <c r="C34" s="76">
        <f t="shared" si="6"/>
        <v>87.69</v>
      </c>
      <c r="D34" s="76">
        <f t="shared" si="7"/>
        <v>12.524324250000003</v>
      </c>
      <c r="E34" s="76">
        <f t="shared" si="8"/>
        <v>0.92959725000000004</v>
      </c>
      <c r="F34" s="76">
        <f t="shared" si="9"/>
        <v>4.7297766000000001</v>
      </c>
      <c r="G34" s="76">
        <f t="shared" si="5"/>
        <v>4.3290000000000002E-2</v>
      </c>
      <c r="H34" s="76">
        <f t="shared" si="5"/>
        <v>6.8264999999999992E-2</v>
      </c>
      <c r="I34" s="76">
        <f t="shared" si="5"/>
        <v>3.4410000000000003E-2</v>
      </c>
      <c r="J34" s="76">
        <f t="shared" si="5"/>
        <v>1.9425E-3</v>
      </c>
      <c r="K34" s="76">
        <f t="shared" si="5"/>
        <v>5.0505000000000003E-3</v>
      </c>
      <c r="L34" s="76">
        <f t="shared" si="5"/>
        <v>4.3290000000000002E-2</v>
      </c>
      <c r="M34" s="76">
        <f t="shared" si="5"/>
        <v>2.3865000000000004E-2</v>
      </c>
      <c r="N34" s="76">
        <f t="shared" si="5"/>
        <v>11.988000000000001</v>
      </c>
      <c r="O34" s="76">
        <f t="shared" si="5"/>
        <v>3.4410000000000003E-2</v>
      </c>
      <c r="P34" s="76">
        <f t="shared" si="5"/>
        <v>0</v>
      </c>
      <c r="Q34" s="76">
        <f t="shared" si="10"/>
        <v>30.38625</v>
      </c>
      <c r="R34" s="76">
        <f t="shared" si="11"/>
        <v>0</v>
      </c>
      <c r="S34" s="76">
        <f t="shared" si="11"/>
        <v>0.37462500000000004</v>
      </c>
      <c r="T34" s="76">
        <f t="shared" si="11"/>
        <v>0</v>
      </c>
      <c r="U34" s="76">
        <f t="shared" si="11"/>
        <v>0</v>
      </c>
      <c r="AB34" s="58"/>
      <c r="AC34" s="58"/>
      <c r="AD34" s="58"/>
      <c r="AE34" s="58"/>
      <c r="AF34" s="58"/>
      <c r="AG34" s="58"/>
      <c r="AH34" s="58"/>
      <c r="AI34" s="58"/>
    </row>
    <row r="35" spans="1:35" s="71" customFormat="1" ht="13" x14ac:dyDescent="0.35">
      <c r="A35" s="13">
        <f>G8</f>
        <v>10</v>
      </c>
      <c r="B35" s="15">
        <v>250</v>
      </c>
      <c r="C35" s="76">
        <f t="shared" si="6"/>
        <v>87.69</v>
      </c>
      <c r="D35" s="76">
        <f t="shared" si="7"/>
        <v>12.524324250000003</v>
      </c>
      <c r="E35" s="76">
        <f t="shared" si="8"/>
        <v>0.92959725000000004</v>
      </c>
      <c r="F35" s="76">
        <f t="shared" si="9"/>
        <v>4.7297766000000001</v>
      </c>
      <c r="G35" s="76">
        <f t="shared" si="5"/>
        <v>4.3290000000000002E-2</v>
      </c>
      <c r="H35" s="76">
        <f t="shared" si="5"/>
        <v>6.8264999999999992E-2</v>
      </c>
      <c r="I35" s="76">
        <f t="shared" si="5"/>
        <v>3.4410000000000003E-2</v>
      </c>
      <c r="J35" s="76">
        <f t="shared" si="5"/>
        <v>1.9425E-3</v>
      </c>
      <c r="K35" s="76">
        <f t="shared" si="5"/>
        <v>5.0505000000000003E-3</v>
      </c>
      <c r="L35" s="76">
        <f t="shared" si="5"/>
        <v>4.3290000000000002E-2</v>
      </c>
      <c r="M35" s="76">
        <f t="shared" si="5"/>
        <v>2.3865000000000004E-2</v>
      </c>
      <c r="N35" s="76">
        <f t="shared" si="5"/>
        <v>11.988000000000001</v>
      </c>
      <c r="O35" s="76">
        <f t="shared" si="5"/>
        <v>3.4410000000000003E-2</v>
      </c>
      <c r="P35" s="76">
        <f t="shared" si="5"/>
        <v>0</v>
      </c>
      <c r="Q35" s="76">
        <f t="shared" si="10"/>
        <v>30.38625</v>
      </c>
      <c r="R35" s="76">
        <f t="shared" si="11"/>
        <v>0</v>
      </c>
      <c r="S35" s="76">
        <f t="shared" si="11"/>
        <v>0.37462500000000004</v>
      </c>
      <c r="T35" s="76">
        <f t="shared" si="11"/>
        <v>0</v>
      </c>
      <c r="U35" s="76">
        <f t="shared" si="11"/>
        <v>0</v>
      </c>
      <c r="AB35" s="58"/>
      <c r="AC35" s="58"/>
      <c r="AD35" s="58"/>
      <c r="AE35" s="58"/>
      <c r="AF35" s="58"/>
      <c r="AG35" s="58"/>
      <c r="AH35" s="58"/>
      <c r="AI35" s="58"/>
    </row>
    <row r="36" spans="1:35" s="71" customFormat="1" ht="13" x14ac:dyDescent="0.35">
      <c r="A36" s="13">
        <f>H8</f>
        <v>11</v>
      </c>
      <c r="B36" s="15">
        <v>250</v>
      </c>
      <c r="C36" s="76">
        <f t="shared" si="6"/>
        <v>87.69</v>
      </c>
      <c r="D36" s="76">
        <f t="shared" si="7"/>
        <v>12.524324250000003</v>
      </c>
      <c r="E36" s="76">
        <f t="shared" si="8"/>
        <v>0.92959725000000004</v>
      </c>
      <c r="F36" s="76">
        <f t="shared" si="9"/>
        <v>4.7297766000000001</v>
      </c>
      <c r="G36" s="76">
        <f t="shared" si="5"/>
        <v>4.3290000000000002E-2</v>
      </c>
      <c r="H36" s="76">
        <f t="shared" si="5"/>
        <v>6.8264999999999992E-2</v>
      </c>
      <c r="I36" s="76">
        <f t="shared" si="5"/>
        <v>3.4410000000000003E-2</v>
      </c>
      <c r="J36" s="76">
        <f t="shared" si="5"/>
        <v>1.9425E-3</v>
      </c>
      <c r="K36" s="76">
        <f t="shared" si="5"/>
        <v>5.0505000000000003E-3</v>
      </c>
      <c r="L36" s="76">
        <f t="shared" si="5"/>
        <v>4.3290000000000002E-2</v>
      </c>
      <c r="M36" s="76">
        <f t="shared" si="5"/>
        <v>2.3865000000000004E-2</v>
      </c>
      <c r="N36" s="76">
        <f t="shared" si="5"/>
        <v>11.988000000000001</v>
      </c>
      <c r="O36" s="76">
        <f t="shared" si="5"/>
        <v>3.4410000000000003E-2</v>
      </c>
      <c r="P36" s="76">
        <f t="shared" si="5"/>
        <v>0</v>
      </c>
      <c r="Q36" s="76">
        <f t="shared" si="10"/>
        <v>30.38625</v>
      </c>
      <c r="R36" s="76">
        <f t="shared" si="11"/>
        <v>0</v>
      </c>
      <c r="S36" s="76">
        <f t="shared" si="11"/>
        <v>0.37462500000000004</v>
      </c>
      <c r="T36" s="76">
        <f t="shared" si="11"/>
        <v>0</v>
      </c>
      <c r="U36" s="76">
        <f t="shared" si="11"/>
        <v>0</v>
      </c>
      <c r="AB36" s="58"/>
      <c r="AC36" s="58"/>
      <c r="AD36" s="58"/>
      <c r="AE36" s="58"/>
      <c r="AF36" s="58"/>
      <c r="AG36" s="58"/>
      <c r="AH36" s="58"/>
      <c r="AI36" s="58"/>
    </row>
    <row r="37" spans="1:35" s="71" customFormat="1" ht="13" x14ac:dyDescent="0.35">
      <c r="A37" s="13">
        <f>I8</f>
        <v>16</v>
      </c>
      <c r="B37" s="15">
        <v>250</v>
      </c>
      <c r="C37" s="76">
        <f t="shared" si="6"/>
        <v>87.69</v>
      </c>
      <c r="D37" s="76">
        <f t="shared" si="7"/>
        <v>12.524324250000003</v>
      </c>
      <c r="E37" s="76">
        <f t="shared" si="8"/>
        <v>0.92959725000000004</v>
      </c>
      <c r="F37" s="76">
        <f t="shared" si="9"/>
        <v>4.7297766000000001</v>
      </c>
      <c r="G37" s="76">
        <f t="shared" si="5"/>
        <v>4.3290000000000002E-2</v>
      </c>
      <c r="H37" s="76">
        <f t="shared" si="5"/>
        <v>6.8264999999999992E-2</v>
      </c>
      <c r="I37" s="76">
        <f t="shared" si="5"/>
        <v>3.4410000000000003E-2</v>
      </c>
      <c r="J37" s="76">
        <f t="shared" si="5"/>
        <v>1.9425E-3</v>
      </c>
      <c r="K37" s="76">
        <f t="shared" si="5"/>
        <v>5.0505000000000003E-3</v>
      </c>
      <c r="L37" s="76">
        <f t="shared" si="5"/>
        <v>4.3290000000000002E-2</v>
      </c>
      <c r="M37" s="76">
        <f t="shared" si="5"/>
        <v>2.3865000000000004E-2</v>
      </c>
      <c r="N37" s="76">
        <f t="shared" si="5"/>
        <v>11.988000000000001</v>
      </c>
      <c r="O37" s="76">
        <f t="shared" si="5"/>
        <v>3.4410000000000003E-2</v>
      </c>
      <c r="P37" s="76">
        <f t="shared" si="5"/>
        <v>0</v>
      </c>
      <c r="Q37" s="76">
        <f t="shared" si="10"/>
        <v>30.38625</v>
      </c>
      <c r="R37" s="76">
        <f t="shared" si="11"/>
        <v>0</v>
      </c>
      <c r="S37" s="76">
        <f t="shared" si="11"/>
        <v>0.37462500000000004</v>
      </c>
      <c r="T37" s="76">
        <f t="shared" si="11"/>
        <v>0</v>
      </c>
      <c r="U37" s="76">
        <f t="shared" si="11"/>
        <v>0</v>
      </c>
      <c r="AB37" s="58"/>
      <c r="AC37" s="58"/>
      <c r="AD37" s="58"/>
      <c r="AE37" s="58"/>
      <c r="AF37" s="58"/>
      <c r="AG37" s="58"/>
      <c r="AH37" s="58"/>
      <c r="AI37" s="58"/>
    </row>
    <row r="38" spans="1:35" s="71" customFormat="1" ht="13" x14ac:dyDescent="0.35">
      <c r="A38" s="13">
        <f>J8</f>
        <v>0</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Abercynrig 2</v>
      </c>
      <c r="C57" s="8" t="str">
        <f t="shared" ref="C57:U57" si="13">D8</f>
        <v>Abercynrig 10</v>
      </c>
      <c r="D57" s="8">
        <f t="shared" si="13"/>
        <v>1</v>
      </c>
      <c r="E57" s="8">
        <f t="shared" si="13"/>
        <v>2</v>
      </c>
      <c r="F57" s="8">
        <f t="shared" si="13"/>
        <v>10</v>
      </c>
      <c r="G57" s="8">
        <f t="shared" si="13"/>
        <v>11</v>
      </c>
      <c r="H57" s="8">
        <f t="shared" si="13"/>
        <v>16</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"&amp;(VLOOKUP(C14,Table245[],6,FALSE))</f>
        <v>Medium/Clay I Grass</v>
      </c>
      <c r="C58" s="13" t="str">
        <f>D16&amp;" I "&amp;(VLOOKUP(D14,Table245[],6,FALSE))</f>
        <v>Medium/Clay I Grass</v>
      </c>
      <c r="D58" s="13" t="str">
        <f>E16&amp;" I "&amp;(VLOOKUP(E14,Table245[],6,FALSE))</f>
        <v>Medium/Clay I Arable</v>
      </c>
      <c r="E58" s="13" t="str">
        <f>F16&amp;" I "&amp;(VLOOKUP(F14,Table245[],6,FALSE))</f>
        <v>Medium/Clay I Arable</v>
      </c>
      <c r="F58" s="13" t="str">
        <f>G16&amp;" I "&amp;(VLOOKUP(G14,Table245[],6,FALSE))</f>
        <v>Medium/Clay I Grass</v>
      </c>
      <c r="G58" s="13" t="str">
        <f>H16&amp;" I "&amp;(VLOOKUP(H14,Table245[],6,FALSE))</f>
        <v>Medium/Clay I Grass</v>
      </c>
      <c r="H58" s="13" t="str">
        <f>I16&amp;" I "&amp;(VLOOKUP(I14,Table245[],6,FALSE))</f>
        <v>Medium/Clay I Grass</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0" t="s">
        <v>132</v>
      </c>
      <c r="B59" s="75">
        <f>VLOOKUP(C$14,Table245[],5,FALSE)</f>
        <v>6.2</v>
      </c>
      <c r="C59" s="75">
        <f>VLOOKUP(D$14,Table245[],5,FALSE)</f>
        <v>6.2</v>
      </c>
      <c r="D59" s="75">
        <f>VLOOKUP(E$14,Table245[],5,FALSE)</f>
        <v>6.7</v>
      </c>
      <c r="E59" s="75">
        <f>VLOOKUP(F$14,Table245[],5,FALSE)</f>
        <v>6.7</v>
      </c>
      <c r="F59" s="75">
        <f>VLOOKUP(G$14,Table245[],5,FALSE)</f>
        <v>6.2</v>
      </c>
      <c r="G59" s="75">
        <f>VLOOKUP(H$14,Table245[],5,FALSE)</f>
        <v>6.2</v>
      </c>
      <c r="H59" s="75">
        <f>VLOOKUP(I$14,Table245[],5,FALSE)</f>
        <v>6.2</v>
      </c>
      <c r="I59" s="75" t="e">
        <f>VLOOKUP(J$14,Table245[],5,FALSE)</f>
        <v>#N/A</v>
      </c>
      <c r="J59" s="75" t="e">
        <f>VLOOKUP(K$14,Table245[],5,FALSE)</f>
        <v>#N/A</v>
      </c>
      <c r="K59" s="75" t="e">
        <f>VLOOKUP(L$14,Table245[],5,FALSE)</f>
        <v>#N/A</v>
      </c>
      <c r="L59" s="75" t="e">
        <f>VLOOKUP(M$14,Table245[],5,FALSE)</f>
        <v>#N/A</v>
      </c>
      <c r="M59" s="75" t="e">
        <f>VLOOKUP(N$14,Table245[],5,FALSE)</f>
        <v>#N/A</v>
      </c>
      <c r="N59" s="75" t="e">
        <f>VLOOKUP(O$14,Table245[],5,FALSE)</f>
        <v>#N/A</v>
      </c>
      <c r="O59" s="75" t="e">
        <f>VLOOKUP(P$14,Table245[],5,FALSE)</f>
        <v>#N/A</v>
      </c>
      <c r="P59" s="75" t="e">
        <f>VLOOKUP(Q$14,Table245[],5,FALSE)</f>
        <v>#N/A</v>
      </c>
      <c r="Q59" s="75" t="e">
        <f>VLOOKUP(R$14,Table245[],5,FALSE)</f>
        <v>#N/A</v>
      </c>
      <c r="R59" s="75" t="e">
        <f>VLOOKUP(S$14,Table245[],5,FALSE)</f>
        <v>#N/A</v>
      </c>
      <c r="S59" s="75" t="e">
        <f>VLOOKUP(T$14,Table245[],5,FALSE)</f>
        <v>#N/A</v>
      </c>
      <c r="T59" s="75" t="e">
        <f>VLOOKUP(U$14,Table245[],5,FALSE)</f>
        <v>#N/A</v>
      </c>
      <c r="U59" s="75" t="e">
        <f>VLOOKUP(V$14,Table245[],5,FALSE)</f>
        <v>#N/A</v>
      </c>
    </row>
    <row r="60" spans="1:35" s="19" customFormat="1" ht="13" x14ac:dyDescent="0.3">
      <c r="A60" s="110" t="s">
        <v>4</v>
      </c>
      <c r="B60" s="75">
        <f>C10</f>
        <v>6.2</v>
      </c>
      <c r="C60" s="75">
        <f t="shared" ref="C60:U60" si="14">D10</f>
        <v>5.2</v>
      </c>
      <c r="D60" s="75">
        <f t="shared" si="14"/>
        <v>5.5</v>
      </c>
      <c r="E60" s="75">
        <f t="shared" si="14"/>
        <v>5</v>
      </c>
      <c r="F60" s="75">
        <f t="shared" si="14"/>
        <v>5.5</v>
      </c>
      <c r="G60" s="75">
        <f t="shared" si="14"/>
        <v>5.4</v>
      </c>
      <c r="H60" s="75">
        <f t="shared" si="14"/>
        <v>5.5</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8</v>
      </c>
      <c r="E61" s="75">
        <f t="shared" si="15"/>
        <v>8</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v>
      </c>
      <c r="C64" s="76">
        <f t="shared" ref="C64:U64" si="17">(C59-C60)*C61</f>
        <v>6</v>
      </c>
      <c r="D64" s="76">
        <f t="shared" si="17"/>
        <v>9.6000000000000014</v>
      </c>
      <c r="E64" s="76">
        <f t="shared" si="17"/>
        <v>13.600000000000001</v>
      </c>
      <c r="F64" s="76">
        <f t="shared" si="17"/>
        <v>4.2000000000000011</v>
      </c>
      <c r="G64" s="76">
        <f t="shared" si="17"/>
        <v>4.7999999999999989</v>
      </c>
      <c r="H64" s="76">
        <f t="shared" si="17"/>
        <v>4.2000000000000011</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v>
      </c>
      <c r="C65" s="76">
        <f t="shared" ref="C65:U65" si="18">C63-C64</f>
        <v>-6</v>
      </c>
      <c r="D65" s="76">
        <f t="shared" si="18"/>
        <v>-9.6000000000000014</v>
      </c>
      <c r="E65" s="76">
        <f t="shared" si="18"/>
        <v>-13.600000000000001</v>
      </c>
      <c r="F65" s="76">
        <f t="shared" si="18"/>
        <v>-4.2000000000000011</v>
      </c>
      <c r="G65" s="76">
        <f t="shared" si="18"/>
        <v>-4.7999999999999989</v>
      </c>
      <c r="H65" s="76">
        <f t="shared" si="18"/>
        <v>-4.2000000000000011</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13" zoomScale="90" zoomScaleNormal="90" workbookViewId="0">
      <selection activeCell="E27" sqref="E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Bryngwyn!C1:D1</f>
        <v>PAN-019774</v>
      </c>
      <c r="D1" s="142"/>
      <c r="E1" s="92" t="s">
        <v>45</v>
      </c>
      <c r="F1" s="38" t="str">
        <f>Bryngwyn!F1</f>
        <v>46.9 ha</v>
      </c>
      <c r="G1" s="124" t="s">
        <v>43</v>
      </c>
      <c r="H1" s="125"/>
      <c r="I1" s="117">
        <v>6.5</v>
      </c>
      <c r="J1" s="128" t="s">
        <v>153</v>
      </c>
      <c r="K1" s="128"/>
      <c r="L1" s="96">
        <v>303</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Bryngwyn!C2:D2</f>
        <v>EPR/GP3792SK</v>
      </c>
      <c r="D2" s="144"/>
      <c r="E2" s="92" t="s">
        <v>109</v>
      </c>
      <c r="F2" s="95" t="s">
        <v>166</v>
      </c>
      <c r="G2" s="126" t="s">
        <v>110</v>
      </c>
      <c r="H2" s="127"/>
      <c r="I2" s="117"/>
      <c r="J2" s="128" t="s">
        <v>158</v>
      </c>
      <c r="K2" s="128"/>
      <c r="L2" s="96">
        <v>1.1599999999999999</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Bryngwyn!C3:D3</f>
        <v xml:space="preserve">Mr Richard Evans </v>
      </c>
      <c r="D3" s="144"/>
      <c r="E3" s="92" t="s">
        <v>108</v>
      </c>
      <c r="F3" s="30" t="s">
        <v>78</v>
      </c>
      <c r="G3" s="128" t="s">
        <v>159</v>
      </c>
      <c r="H3" s="128"/>
      <c r="I3" s="117"/>
      <c r="J3" s="124" t="s">
        <v>154</v>
      </c>
      <c r="K3" s="125"/>
      <c r="L3" s="96">
        <f>(L1/(L2*10000))*100</f>
        <v>2.6120689655172415</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1" t="str">
        <f>Bryngwyn!C4:D4</f>
        <v>Tylebrithos, Cantref, Brecon, LD3 8LR</v>
      </c>
      <c r="D4" s="142"/>
      <c r="E4" s="93" t="s">
        <v>1</v>
      </c>
      <c r="F4" s="119" t="s">
        <v>167</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Bryngwyn!C5:D5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t="str">
        <f>Bryngwyn!C8</f>
        <v>Abercynrig 2</v>
      </c>
      <c r="D8" s="59" t="str">
        <f>Bryngwyn!D8</f>
        <v>Abercynrig 10</v>
      </c>
      <c r="E8" s="59">
        <f>Bryngwyn!E8</f>
        <v>1</v>
      </c>
      <c r="F8" s="59">
        <f>Bryngwyn!F8</f>
        <v>2</v>
      </c>
      <c r="G8" s="59">
        <f>Bryngwyn!G8</f>
        <v>10</v>
      </c>
      <c r="H8" s="59">
        <f>Bryngwyn!H8</f>
        <v>11</v>
      </c>
      <c r="I8" s="59">
        <f>Bryngwyn!I8</f>
        <v>16</v>
      </c>
      <c r="J8" s="59">
        <f>Bryngwyn!J8</f>
        <v>0</v>
      </c>
      <c r="K8" s="59">
        <f>Bryngwyn!K8</f>
        <v>0</v>
      </c>
      <c r="L8" s="59">
        <f>Bryngwyn!L8</f>
        <v>0</v>
      </c>
      <c r="M8" s="59">
        <f>Bryngwyn!M8</f>
        <v>0</v>
      </c>
      <c r="N8" s="59">
        <f>Bryngwyn!N8</f>
        <v>0</v>
      </c>
      <c r="O8" s="59">
        <f>Bryngwyn!O8</f>
        <v>0</v>
      </c>
      <c r="P8" s="59">
        <f>Bryngwyn!P8</f>
        <v>0</v>
      </c>
      <c r="Q8" s="59">
        <f>Bryngwyn!Q8</f>
        <v>0</v>
      </c>
      <c r="R8" s="59">
        <f>Bryngwyn!R8</f>
        <v>0</v>
      </c>
      <c r="S8" s="59">
        <f>Bryngwyn!S8</f>
        <v>0</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Bryngwyn!C9</f>
        <v>Moderate</v>
      </c>
      <c r="D9" s="59" t="str">
        <f>Bryngwyn!D9</f>
        <v xml:space="preserve">Moderate </v>
      </c>
      <c r="E9" s="59">
        <f>Bryngwyn!E9</f>
        <v>1</v>
      </c>
      <c r="F9" s="59">
        <f>Bryngwyn!F9</f>
        <v>1</v>
      </c>
      <c r="G9" s="59" t="str">
        <f>Bryngwyn!G9</f>
        <v>Moderate</v>
      </c>
      <c r="H9" s="59" t="str">
        <f>Bryngwyn!H9</f>
        <v xml:space="preserve">Moderate </v>
      </c>
      <c r="I9" s="59" t="str">
        <f>Bryngwyn!I9</f>
        <v xml:space="preserve">Moderate </v>
      </c>
      <c r="J9" s="59">
        <f>Bryngwyn!J9</f>
        <v>0</v>
      </c>
      <c r="K9" s="59">
        <f>Bryngwyn!K9</f>
        <v>0</v>
      </c>
      <c r="L9" s="59">
        <f>Bryngwyn!L9</f>
        <v>0</v>
      </c>
      <c r="M9" s="59">
        <f>Bryngwyn!M9</f>
        <v>0</v>
      </c>
      <c r="N9" s="59">
        <f>Bryngwyn!N9</f>
        <v>0</v>
      </c>
      <c r="O9" s="59">
        <f>Bryngwyn!O9</f>
        <v>0</v>
      </c>
      <c r="P9" s="59">
        <f>Bryngwyn!P9</f>
        <v>0</v>
      </c>
      <c r="Q9" s="59">
        <f>Bryngwyn!Q9</f>
        <v>0</v>
      </c>
      <c r="R9" s="59">
        <f>Bryngwyn!R9</f>
        <v>0</v>
      </c>
      <c r="S9" s="59">
        <f>Bryngwyn!S9</f>
        <v>0</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Bryngwyn!C10</f>
        <v>6.2</v>
      </c>
      <c r="D10" s="59">
        <f>Bryngwyn!D10</f>
        <v>5.2</v>
      </c>
      <c r="E10" s="59">
        <f>Bryngwyn!E10</f>
        <v>5.5</v>
      </c>
      <c r="F10" s="59">
        <f>Bryngwyn!F10</f>
        <v>5</v>
      </c>
      <c r="G10" s="59">
        <f>Bryngwyn!G10</f>
        <v>5.5</v>
      </c>
      <c r="H10" s="59">
        <f>Bryngwyn!H10</f>
        <v>5.4</v>
      </c>
      <c r="I10" s="59">
        <f>Bryngwyn!I10</f>
        <v>5.5</v>
      </c>
      <c r="J10" s="59">
        <f>Bryngwyn!J10</f>
        <v>0</v>
      </c>
      <c r="K10" s="59">
        <f>Bryngwyn!K10</f>
        <v>0</v>
      </c>
      <c r="L10" s="59">
        <f>Bryngwyn!L10</f>
        <v>0</v>
      </c>
      <c r="M10" s="59">
        <f>Bryngwyn!M10</f>
        <v>0</v>
      </c>
      <c r="N10" s="59">
        <f>Bryngwyn!N10</f>
        <v>0</v>
      </c>
      <c r="O10" s="59">
        <f>Bryngwyn!O10</f>
        <v>0</v>
      </c>
      <c r="P10" s="59">
        <f>Bryngwyn!P10</f>
        <v>0</v>
      </c>
      <c r="Q10" s="59">
        <f>Bryngwyn!Q10</f>
        <v>0</v>
      </c>
      <c r="R10" s="59">
        <f>Bryngwyn!R10</f>
        <v>0</v>
      </c>
      <c r="S10" s="59">
        <f>Bryngwyn!S10</f>
        <v>0</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Bryngwyn!C11</f>
        <v>3</v>
      </c>
      <c r="D11" s="59">
        <f>Bryngwyn!D11</f>
        <v>3</v>
      </c>
      <c r="E11" s="59">
        <f>Bryngwyn!E11</f>
        <v>3</v>
      </c>
      <c r="F11" s="59">
        <f>Bryngwyn!F11</f>
        <v>4</v>
      </c>
      <c r="G11" s="59">
        <f>Bryngwyn!G11</f>
        <v>2</v>
      </c>
      <c r="H11" s="59">
        <f>Bryngwyn!H11</f>
        <v>2</v>
      </c>
      <c r="I11" s="59">
        <f>Bryngwyn!I11</f>
        <v>3</v>
      </c>
      <c r="J11" s="59">
        <f>Bryngwyn!J11</f>
        <v>0</v>
      </c>
      <c r="K11" s="59">
        <f>Bryngwyn!K11</f>
        <v>0</v>
      </c>
      <c r="L11" s="59">
        <f>Bryngwyn!L11</f>
        <v>0</v>
      </c>
      <c r="M11" s="59">
        <f>Bryngwyn!M11</f>
        <v>0</v>
      </c>
      <c r="N11" s="59">
        <f>Bryngwyn!N11</f>
        <v>0</v>
      </c>
      <c r="O11" s="59">
        <f>Bryngwyn!O11</f>
        <v>0</v>
      </c>
      <c r="P11" s="59">
        <f>Bryngwyn!P11</f>
        <v>0</v>
      </c>
      <c r="Q11" s="59">
        <f>Bryngwyn!Q11</f>
        <v>0</v>
      </c>
      <c r="R11" s="59">
        <f>Bryngwyn!R11</f>
        <v>0</v>
      </c>
      <c r="S11" s="59">
        <f>Bryngwyn!S11</f>
        <v>0</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Bryngwyn!C12</f>
        <v>2</v>
      </c>
      <c r="D12" s="59">
        <f>Bryngwyn!D12</f>
        <v>1</v>
      </c>
      <c r="E12" s="59">
        <f>Bryngwyn!E12</f>
        <v>2</v>
      </c>
      <c r="F12" s="59">
        <f>Bryngwyn!F12</f>
        <v>1</v>
      </c>
      <c r="G12" s="59">
        <f>Bryngwyn!G12</f>
        <v>1</v>
      </c>
      <c r="H12" s="59">
        <f>Bryngwyn!H12</f>
        <v>1</v>
      </c>
      <c r="I12" s="59">
        <f>Bryngwyn!I12</f>
        <v>1</v>
      </c>
      <c r="J12" s="59">
        <f>Bryngwyn!J12</f>
        <v>0</v>
      </c>
      <c r="K12" s="59">
        <f>Bryngwyn!K12</f>
        <v>0</v>
      </c>
      <c r="L12" s="59">
        <f>Bryngwyn!L12</f>
        <v>0</v>
      </c>
      <c r="M12" s="59">
        <f>Bryngwyn!M12</f>
        <v>0</v>
      </c>
      <c r="N12" s="59">
        <f>Bryngwyn!N12</f>
        <v>0</v>
      </c>
      <c r="O12" s="59">
        <f>Bryngwyn!O12</f>
        <v>0</v>
      </c>
      <c r="P12" s="59">
        <f>Bryngwyn!P12</f>
        <v>0</v>
      </c>
      <c r="Q12" s="59">
        <f>Bryngwyn!Q12</f>
        <v>0</v>
      </c>
      <c r="R12" s="59">
        <f>Bryngwyn!R12</f>
        <v>0</v>
      </c>
      <c r="S12" s="59">
        <f>Bryngwyn!S12</f>
        <v>0</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Bryngwyn!C13</f>
        <v>3</v>
      </c>
      <c r="D13" s="59">
        <f>Bryngwyn!D13</f>
        <v>2</v>
      </c>
      <c r="E13" s="59">
        <f>Bryngwyn!E13</f>
        <v>3</v>
      </c>
      <c r="F13" s="59">
        <f>Bryngwyn!F13</f>
        <v>2</v>
      </c>
      <c r="G13" s="59">
        <f>Bryngwyn!G13</f>
        <v>2</v>
      </c>
      <c r="H13" s="59">
        <f>Bryngwyn!H13</f>
        <v>2</v>
      </c>
      <c r="I13" s="59">
        <f>Bryngwyn!I13</f>
        <v>3</v>
      </c>
      <c r="J13" s="59">
        <f>Bryngwyn!J13</f>
        <v>0</v>
      </c>
      <c r="K13" s="59">
        <f>Bryngwyn!K13</f>
        <v>0</v>
      </c>
      <c r="L13" s="59">
        <f>Bryngwyn!L13</f>
        <v>0</v>
      </c>
      <c r="M13" s="59">
        <f>Bryngwyn!M13</f>
        <v>0</v>
      </c>
      <c r="N13" s="59">
        <f>Bryngwyn!N13</f>
        <v>0</v>
      </c>
      <c r="O13" s="59">
        <f>Bryngwyn!O13</f>
        <v>0</v>
      </c>
      <c r="P13" s="59">
        <f>Bryngwyn!P13</f>
        <v>0</v>
      </c>
      <c r="Q13" s="59">
        <f>Bryngwyn!Q13</f>
        <v>0</v>
      </c>
      <c r="R13" s="59">
        <f>Bryngwyn!R13</f>
        <v>0</v>
      </c>
      <c r="S13" s="59">
        <f>Bryngwyn!S13</f>
        <v>0</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Bryngwyn!C14</f>
        <v xml:space="preserve">Grass Silage (25% DM) </v>
      </c>
      <c r="D14" s="101" t="str">
        <f>Bryngwyn!D14</f>
        <v xml:space="preserve">Grass Silage (25% DM) </v>
      </c>
      <c r="E14" s="101" t="str">
        <f>Bryngwyn!E14</f>
        <v>Winter barley/triticale/rye</v>
      </c>
      <c r="F14" s="101" t="str">
        <f>Bryngwyn!F14</f>
        <v>Winter barley/triticale/rye</v>
      </c>
      <c r="G14" s="101" t="str">
        <f>Bryngwyn!G14</f>
        <v xml:space="preserve">Grass Silage (25% DM) </v>
      </c>
      <c r="H14" s="101" t="str">
        <f>Bryngwyn!H14</f>
        <v xml:space="preserve">Grass Silage (25% DM) </v>
      </c>
      <c r="I14" s="101" t="str">
        <f>Bryngwyn!I14</f>
        <v xml:space="preserve">Grass Silage (25% DM) </v>
      </c>
      <c r="J14" s="101">
        <f>Bryngwyn!J14</f>
        <v>0</v>
      </c>
      <c r="K14" s="101">
        <f>Bryngwyn!K14</f>
        <v>0</v>
      </c>
      <c r="L14" s="101">
        <f>Bryngwyn!L14</f>
        <v>0</v>
      </c>
      <c r="M14" s="101">
        <f>Bryngwyn!M14</f>
        <v>0</v>
      </c>
      <c r="N14" s="101">
        <f>Bryngwyn!N14</f>
        <v>0</v>
      </c>
      <c r="O14" s="101">
        <f>Bryngwyn!O14</f>
        <v>0</v>
      </c>
      <c r="P14" s="101">
        <f>Bryngwyn!P14</f>
        <v>0</v>
      </c>
      <c r="Q14" s="101">
        <f>Bryngwyn!Q14</f>
        <v>0</v>
      </c>
      <c r="R14" s="101">
        <f>Bryngwyn!R14</f>
        <v>0</v>
      </c>
      <c r="S14" s="101">
        <f>Bryngwyn!S14</f>
        <v>0</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6" t="s">
        <v>9</v>
      </c>
      <c r="B15" s="136"/>
      <c r="C15" s="59">
        <f>Bryngwyn!C15</f>
        <v>38</v>
      </c>
      <c r="D15" s="59">
        <f>Bryngwyn!D15</f>
        <v>38</v>
      </c>
      <c r="E15" s="59">
        <f>Bryngwyn!E15</f>
        <v>6.5</v>
      </c>
      <c r="F15" s="59">
        <f>Bryngwyn!F15</f>
        <v>6.5</v>
      </c>
      <c r="G15" s="59">
        <f>Bryngwyn!G15</f>
        <v>38</v>
      </c>
      <c r="H15" s="59">
        <f>Bryngwyn!H15</f>
        <v>38</v>
      </c>
      <c r="I15" s="59">
        <f>Bryngwyn!I15</f>
        <v>38</v>
      </c>
      <c r="J15" s="59">
        <f>Bryngwyn!J15</f>
        <v>0</v>
      </c>
      <c r="K15" s="59">
        <f>Bryngwyn!K15</f>
        <v>0</v>
      </c>
      <c r="L15" s="59">
        <f>Bryngwyn!L15</f>
        <v>0</v>
      </c>
      <c r="M15" s="59">
        <f>Bryngwyn!M15</f>
        <v>0</v>
      </c>
      <c r="N15" s="59">
        <f>Bryngwyn!N15</f>
        <v>0</v>
      </c>
      <c r="O15" s="59">
        <f>Bryngwyn!O15</f>
        <v>0</v>
      </c>
      <c r="P15" s="59">
        <f>Bryngwyn!P15</f>
        <v>0</v>
      </c>
      <c r="Q15" s="59">
        <f>Bryngwyn!Q15</f>
        <v>0</v>
      </c>
      <c r="R15" s="59">
        <f>Bryngwyn!R15</f>
        <v>0</v>
      </c>
      <c r="S15" s="59">
        <f>Bryngwyn!S15</f>
        <v>0</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f>Bryngwyn!J16</f>
        <v>0</v>
      </c>
      <c r="K16" s="102">
        <f>Bryngwyn!K16</f>
        <v>0</v>
      </c>
      <c r="L16" s="102">
        <f>Bryngwyn!L16</f>
        <v>0</v>
      </c>
      <c r="M16" s="102">
        <f>Bryngwyn!M16</f>
        <v>0</v>
      </c>
      <c r="N16" s="102">
        <f>Bryngwyn!N16</f>
        <v>0</v>
      </c>
      <c r="O16" s="102">
        <f>Bryngwyn!O16</f>
        <v>0</v>
      </c>
      <c r="P16" s="102">
        <f>Bryngwyn!P16</f>
        <v>0</v>
      </c>
      <c r="Q16" s="102">
        <f>Bryngwyn!Q16</f>
        <v>0</v>
      </c>
      <c r="R16" s="102">
        <f>Bryngwyn!R16</f>
        <v>0</v>
      </c>
      <c r="S16" s="102">
        <f>Bryngwyn!S16</f>
        <v>0</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64.599999999999994</v>
      </c>
      <c r="D17" s="27">
        <f t="shared" ref="D17:V17" si="0">(VLOOKUP(D$14,$AI2:$AK26,2,FALSE))*D$15</f>
        <v>64.599999999999994</v>
      </c>
      <c r="E17" s="27">
        <f t="shared" si="0"/>
        <v>55.25</v>
      </c>
      <c r="F17" s="27">
        <f t="shared" si="0"/>
        <v>55.25</v>
      </c>
      <c r="G17" s="27">
        <f t="shared" si="0"/>
        <v>64.599999999999994</v>
      </c>
      <c r="H17" s="27">
        <f t="shared" si="0"/>
        <v>64.599999999999994</v>
      </c>
      <c r="I17" s="27">
        <f t="shared" si="0"/>
        <v>64.599999999999994</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21.758199749999999</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-42.841800249999991</v>
      </c>
      <c r="D19" s="16">
        <f t="shared" ref="D19:V19" si="1">D18-D17</f>
        <v>-64.599999999999994</v>
      </c>
      <c r="E19" s="16">
        <f t="shared" si="1"/>
        <v>-55.25</v>
      </c>
      <c r="F19" s="16">
        <f t="shared" si="1"/>
        <v>-55.25</v>
      </c>
      <c r="G19" s="16">
        <f t="shared" si="1"/>
        <v>-64.599999999999994</v>
      </c>
      <c r="H19" s="16">
        <f t="shared" si="1"/>
        <v>-64.599999999999994</v>
      </c>
      <c r="I19" s="16">
        <f t="shared" si="1"/>
        <v>-64.599999999999994</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DECREASE</v>
      </c>
      <c r="D20" s="25" t="str">
        <f>IF($B32="","",IF(D$19&gt;=0,"INCREASE","DECREASE"))</f>
        <v/>
      </c>
      <c r="E20" s="25" t="str">
        <f>IF($B33="","",IF(E$19&gt;=0,"INCREASE","DECREASE"))</f>
        <v/>
      </c>
      <c r="F20" s="25" t="str">
        <f>IF($B34="","",IF(F$19&gt;=0,"INCREASE","DECREASE"))</f>
        <v/>
      </c>
      <c r="G20" s="25" t="str">
        <f>IF($B35="","",IF(G$19&gt;=0,"INCREASE","DECREASE"))</f>
        <v/>
      </c>
      <c r="H20" s="25" t="str">
        <f>IF($B36="","",IF(H$19&gt;=0,"INCREASE","DECREASE"))</f>
        <v/>
      </c>
      <c r="I20" s="25" t="str">
        <f>IF($B37="","",IF(I$19&gt;=0,"INCREASE","DECREASE"))</f>
        <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228</v>
      </c>
      <c r="D21" s="27">
        <f t="shared" ref="D21:V21" si="2">(VLOOKUP(D$14,$AI2:$AK24,3,FALSE))*D$15</f>
        <v>228</v>
      </c>
      <c r="E21" s="27">
        <f t="shared" si="2"/>
        <v>68.25</v>
      </c>
      <c r="F21" s="27">
        <f t="shared" si="2"/>
        <v>68.25</v>
      </c>
      <c r="G21" s="27">
        <f t="shared" si="2"/>
        <v>228</v>
      </c>
      <c r="H21" s="27">
        <f t="shared" si="2"/>
        <v>228</v>
      </c>
      <c r="I21" s="27">
        <f t="shared" si="2"/>
        <v>228</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1.3018518749999997</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-226.69814812499999</v>
      </c>
      <c r="D23" s="16">
        <f t="shared" ref="D23:V23" si="3">D22-D21</f>
        <v>-228</v>
      </c>
      <c r="E23" s="16">
        <f t="shared" si="3"/>
        <v>-68.25</v>
      </c>
      <c r="F23" s="16">
        <f t="shared" si="3"/>
        <v>-68.25</v>
      </c>
      <c r="G23" s="16">
        <f t="shared" si="3"/>
        <v>-228</v>
      </c>
      <c r="H23" s="16">
        <f t="shared" si="3"/>
        <v>-228</v>
      </c>
      <c r="I23" s="16">
        <f t="shared" si="3"/>
        <v>-228</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2.0099999999999998</v>
      </c>
      <c r="C28" s="15">
        <v>1.1599999999999999</v>
      </c>
      <c r="D28" s="15">
        <v>0.189</v>
      </c>
      <c r="E28" s="15">
        <v>2.1499999999999998E-2</v>
      </c>
      <c r="F28" s="15">
        <v>405</v>
      </c>
      <c r="G28" s="15">
        <v>7.8</v>
      </c>
      <c r="H28" s="15">
        <v>70</v>
      </c>
      <c r="I28" s="15">
        <v>6.2</v>
      </c>
      <c r="J28" s="15">
        <v>0.11</v>
      </c>
      <c r="K28" s="15">
        <v>1</v>
      </c>
      <c r="L28" s="15">
        <v>5.0999999999999996</v>
      </c>
      <c r="M28" s="15">
        <v>4.3</v>
      </c>
      <c r="N28" s="15">
        <v>147000</v>
      </c>
      <c r="O28" s="15">
        <v>15000</v>
      </c>
      <c r="P28" s="15"/>
      <c r="Q28" s="15">
        <v>8690</v>
      </c>
      <c r="R28" s="15"/>
      <c r="S28" s="15">
        <v>20.6</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Abercynrig 2</v>
      </c>
      <c r="B31" s="15">
        <v>250</v>
      </c>
      <c r="C31" s="76">
        <f>IF(C$27="%w/w SAR",((C$28*10)*$B31),IF(C$27="%w/w DM",(((C$28*10)*($B$28/100))*$B31),IF(C$27="kg/t SAR",(C$28*$B31),IF(C$27="kg/t DM",((C$28*($B$28/100))*$B31),IF(C$27="mg/kg SAR",((C$28*0.001)*$B31),IF(C$27="mg/kg DM",(((C$28*0.001)*($B$28/100))*$B31),0))))))</f>
        <v>58.289999999999985</v>
      </c>
      <c r="D31" s="76">
        <f>(IF(D$27="%w/w SAR",((D$28*10)*$B31),IF(D$27="%w/w DM",(((D$28*10)*($B$28/100))*$B31),IF(D$27="kg/t SAR",(D$28*$B31),IF(D$27="kg/t DM",((D$28*($B$28/100))*$B31),IF(D$27="mg/kg SAR",((D$28*0.001)*$B31),IF(D$27="mg/kg DM",(((D$28*0.001)*($B$28/100))*$B31),"0")))))))*2.291</f>
        <v>21.758199749999999</v>
      </c>
      <c r="E31" s="76">
        <f>(IF(E$27="%w/w SAR",((E$28*10)*$B31),IF(E$27="%w/w DM",(((E$28*10)*($B$28/100))*$B31),IF(E$27="kg/t SAR",(E$28*$B31),IF(E$27="kg/t DM",((E$28*($B$28/100))*$B31),IF(E$27="mg/kg SAR",((E$28*0.001)*$B31),IF(E$27="mg/kg DM",(((E$28*0.001)*($B$28/100))*$B31),"0")))))))*1.205</f>
        <v>1.3018518749999997</v>
      </c>
      <c r="F31" s="76">
        <f>(IF(F$27="%w/w SAR",((F$28*10)*$B31),IF(F$27="%w/w DM",(((F$28*10)*($B$28/100))*$B31),IF(F$27="kg/t SAR",(F$28*$B31),IF(F$27="kg/t DM",((F$28*($B$28/100))*$B31),IF(F$27="mg/kg SAR",((F$28*0.001)*$B31),IF(F$27="mg/kg DM",(((F$28*0.001)*($B$28/100))*$B31),"0")))))))*1.658</f>
        <v>3.3742372499999989</v>
      </c>
      <c r="G31" s="76">
        <f t="shared" ref="G31:P46" si="5">IF(G$27="%w/w SAR",((G$28*10)*$B31),IF(G$27="%w/w DM",(((G$28*10)*($B$28/100))*$B31),IF(G$27="kg/t SAR",(G$28*$B31),IF(G$27="kg/t DM",((G$28*($B$28/100))*$B31),IF(G$27="mg/kg SAR",((G$28*0.001)*$B31),IF(G$27="mg/kg DM",(((G$28*0.001)*($B$28/100))*$B31),0))))))</f>
        <v>3.9194999999999994E-2</v>
      </c>
      <c r="H31" s="76">
        <f t="shared" si="5"/>
        <v>0.35174999999999995</v>
      </c>
      <c r="I31" s="76">
        <f t="shared" si="5"/>
        <v>3.1154999999999995E-2</v>
      </c>
      <c r="J31" s="76">
        <f t="shared" si="5"/>
        <v>5.5274999999999996E-4</v>
      </c>
      <c r="K31" s="76">
        <f t="shared" si="5"/>
        <v>5.0249999999999991E-3</v>
      </c>
      <c r="L31" s="76">
        <f t="shared" si="5"/>
        <v>2.5627499999999991E-2</v>
      </c>
      <c r="M31" s="76">
        <f t="shared" si="5"/>
        <v>2.1607499999999995E-2</v>
      </c>
      <c r="N31" s="76">
        <f t="shared" si="5"/>
        <v>738.67499999999984</v>
      </c>
      <c r="O31" s="76">
        <f t="shared" si="5"/>
        <v>75.374999999999986</v>
      </c>
      <c r="P31" s="76">
        <f t="shared" si="5"/>
        <v>0</v>
      </c>
      <c r="Q31" s="76">
        <f>(IF(Q$27="%w/w SAR",((Q$28*10)*$B31),IF(Q$27="%w/w DM",(((Q$28*10)*($B$28/100))*$B31),IF(Q$27="kg/t SAR",(Q$28*$B31),IF(Q$27="kg/t DM",((Q$28*($B$28/100))*$B31),IF(Q$27="mg/kg SAR",((Q$28*0.001)*$B31),IF(Q$27="mg/kg DM",(((Q$28*0.001)*($B$28/100))*$B31),0)))))))*2.5</f>
        <v>109.16812499999997</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0.10351499999999998</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Abercynrig 10</v>
      </c>
      <c r="B32" s="15"/>
      <c r="C32" s="76">
        <f t="shared" ref="C32:C50" si="6">IF(C$27="%w/w SAR",((C$28*10)*$B32),IF(C$27="%w/w DM",(((C$28*10)*($B$28/100))*$B32),IF(C$27="kg/t SAR",(C$28*$B32),IF(C$27="kg/t DM",((C$28*($B$28/100))*$B32),IF(C$27="mg/kg SAR",((C$28*0.001)*$B32),IF(C$27="mg/kg DM",(((C$28*0.001)*($B$28/100))*$B32),0))))))</f>
        <v>0</v>
      </c>
      <c r="D32" s="76">
        <f t="shared" ref="D32:D50" si="7">(IF(D$27="%w/w SAR",((D$28*10)*$B32),IF(D$27="%w/w DM",(((D$28*10)*($B$28/100))*$B32),IF(D$27="kg/t SAR",(D$28*$B32),IF(D$27="kg/t DM",((D$28*($B$28/100))*$B32),IF(D$27="mg/kg SAR",((D$28*0.001)*$B32),IF(D$27="mg/kg DM",(((D$28*0.001)*($B$28/100))*$B32),"0")))))))*2.291</f>
        <v>0</v>
      </c>
      <c r="E32" s="76">
        <f t="shared" ref="E32:E50" si="8">(IF(E$27="%w/w SAR",((E$28*10)*$B32),IF(E$27="%w/w DM",(((E$28*10)*($B$28/100))*$B32),IF(E$27="kg/t SAR",(E$28*$B32),IF(E$27="kg/t DM",((E$28*($B$28/100))*$B32),IF(E$27="mg/kg SAR",((E$28*0.001)*$B32),IF(E$27="mg/kg DM",(((E$28*0.001)*($B$28/100))*$B32),"0")))))))*1.205</f>
        <v>0</v>
      </c>
      <c r="F32" s="76">
        <f t="shared" ref="F32:F50" si="9">(IF(F$27="%w/w SAR",((F$28*10)*$B32),IF(F$27="%w/w DM",(((F$28*10)*($B$28/100))*$B32),IF(F$27="kg/t SAR",(F$28*$B32),IF(F$27="kg/t DM",((F$28*($B$28/100))*$B32),IF(F$27="mg/kg SAR",((F$28*0.001)*$B32),IF(F$27="mg/kg DM",(((F$28*0.001)*($B$28/100))*$B32),"0")))))))*1.658</f>
        <v>0</v>
      </c>
      <c r="G32" s="76">
        <f t="shared" si="5"/>
        <v>0</v>
      </c>
      <c r="H32" s="76">
        <f t="shared" si="5"/>
        <v>0</v>
      </c>
      <c r="I32" s="76">
        <f t="shared" si="5"/>
        <v>0</v>
      </c>
      <c r="J32" s="76">
        <f t="shared" si="5"/>
        <v>0</v>
      </c>
      <c r="K32" s="76">
        <f t="shared" si="5"/>
        <v>0</v>
      </c>
      <c r="L32" s="76">
        <f t="shared" si="5"/>
        <v>0</v>
      </c>
      <c r="M32" s="76">
        <f t="shared" si="5"/>
        <v>0</v>
      </c>
      <c r="N32" s="76">
        <f t="shared" si="5"/>
        <v>0</v>
      </c>
      <c r="O32" s="76">
        <f t="shared" si="5"/>
        <v>0</v>
      </c>
      <c r="P32" s="76">
        <f t="shared" si="5"/>
        <v>0</v>
      </c>
      <c r="Q32" s="76">
        <f t="shared" ref="Q32:Q50" si="10">(IF(Q$27="%w/w SAR",((Q$28*10)*$B32),IF(Q$27="%w/w DM",(((Q$28*10)*($B$28/100))*$B32),IF(Q$27="kg/t SAR",(Q$28*$B32),IF(Q$27="kg/t DM",((Q$28*($B$28/100))*$B32),IF(Q$27="mg/kg SAR",((Q$28*0.001)*$B32),IF(Q$27="mg/kg DM",(((Q$28*0.001)*($B$28/100))*$B32),0)))))))*2.5</f>
        <v>0</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1</v>
      </c>
      <c r="B33" s="15"/>
      <c r="C33" s="76">
        <f t="shared" si="6"/>
        <v>0</v>
      </c>
      <c r="D33" s="76">
        <f t="shared" si="7"/>
        <v>0</v>
      </c>
      <c r="E33" s="76">
        <f t="shared" si="8"/>
        <v>0</v>
      </c>
      <c r="F33" s="76">
        <f t="shared" si="9"/>
        <v>0</v>
      </c>
      <c r="G33" s="76">
        <f t="shared" si="5"/>
        <v>0</v>
      </c>
      <c r="H33" s="76">
        <f t="shared" si="5"/>
        <v>0</v>
      </c>
      <c r="I33" s="76">
        <f t="shared" si="5"/>
        <v>0</v>
      </c>
      <c r="J33" s="76">
        <f t="shared" si="5"/>
        <v>0</v>
      </c>
      <c r="K33" s="76">
        <f t="shared" si="5"/>
        <v>0</v>
      </c>
      <c r="L33" s="76">
        <f t="shared" si="5"/>
        <v>0</v>
      </c>
      <c r="M33" s="76">
        <f t="shared" si="5"/>
        <v>0</v>
      </c>
      <c r="N33" s="76">
        <f t="shared" si="5"/>
        <v>0</v>
      </c>
      <c r="O33" s="76">
        <f t="shared" si="5"/>
        <v>0</v>
      </c>
      <c r="P33" s="76">
        <f t="shared" si="5"/>
        <v>0</v>
      </c>
      <c r="Q33" s="76">
        <f t="shared" si="10"/>
        <v>0</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2</v>
      </c>
      <c r="B34" s="15"/>
      <c r="C34" s="76">
        <f t="shared" si="6"/>
        <v>0</v>
      </c>
      <c r="D34" s="76">
        <f t="shared" si="7"/>
        <v>0</v>
      </c>
      <c r="E34" s="76">
        <f t="shared" si="8"/>
        <v>0</v>
      </c>
      <c r="F34" s="76">
        <f t="shared" si="9"/>
        <v>0</v>
      </c>
      <c r="G34" s="76">
        <f t="shared" si="5"/>
        <v>0</v>
      </c>
      <c r="H34" s="76">
        <f t="shared" si="5"/>
        <v>0</v>
      </c>
      <c r="I34" s="76">
        <f t="shared" si="5"/>
        <v>0</v>
      </c>
      <c r="J34" s="76">
        <f t="shared" si="5"/>
        <v>0</v>
      </c>
      <c r="K34" s="76">
        <f t="shared" si="5"/>
        <v>0</v>
      </c>
      <c r="L34" s="76">
        <f t="shared" si="5"/>
        <v>0</v>
      </c>
      <c r="M34" s="76">
        <f t="shared" si="5"/>
        <v>0</v>
      </c>
      <c r="N34" s="76">
        <f t="shared" si="5"/>
        <v>0</v>
      </c>
      <c r="O34" s="76">
        <f t="shared" si="5"/>
        <v>0</v>
      </c>
      <c r="P34" s="76">
        <f t="shared" si="5"/>
        <v>0</v>
      </c>
      <c r="Q34" s="76">
        <f t="shared" si="10"/>
        <v>0</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10</v>
      </c>
      <c r="B35" s="15"/>
      <c r="C35" s="76">
        <f t="shared" si="6"/>
        <v>0</v>
      </c>
      <c r="D35" s="76">
        <f t="shared" si="7"/>
        <v>0</v>
      </c>
      <c r="E35" s="76">
        <f t="shared" si="8"/>
        <v>0</v>
      </c>
      <c r="F35" s="76">
        <f t="shared" si="9"/>
        <v>0</v>
      </c>
      <c r="G35" s="76">
        <f t="shared" si="5"/>
        <v>0</v>
      </c>
      <c r="H35" s="76">
        <f t="shared" si="5"/>
        <v>0</v>
      </c>
      <c r="I35" s="76">
        <f t="shared" si="5"/>
        <v>0</v>
      </c>
      <c r="J35" s="76">
        <f t="shared" si="5"/>
        <v>0</v>
      </c>
      <c r="K35" s="76">
        <f t="shared" si="5"/>
        <v>0</v>
      </c>
      <c r="L35" s="76">
        <f t="shared" si="5"/>
        <v>0</v>
      </c>
      <c r="M35" s="76">
        <f t="shared" si="5"/>
        <v>0</v>
      </c>
      <c r="N35" s="76">
        <f t="shared" si="5"/>
        <v>0</v>
      </c>
      <c r="O35" s="76">
        <f t="shared" si="5"/>
        <v>0</v>
      </c>
      <c r="P35" s="76">
        <f t="shared" si="5"/>
        <v>0</v>
      </c>
      <c r="Q35" s="76">
        <f t="shared" si="10"/>
        <v>0</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11</v>
      </c>
      <c r="B36" s="15"/>
      <c r="C36" s="76">
        <f t="shared" si="6"/>
        <v>0</v>
      </c>
      <c r="D36" s="76">
        <f t="shared" si="7"/>
        <v>0</v>
      </c>
      <c r="E36" s="76">
        <f t="shared" si="8"/>
        <v>0</v>
      </c>
      <c r="F36" s="76">
        <f t="shared" si="9"/>
        <v>0</v>
      </c>
      <c r="G36" s="76">
        <f t="shared" si="5"/>
        <v>0</v>
      </c>
      <c r="H36" s="76">
        <f t="shared" si="5"/>
        <v>0</v>
      </c>
      <c r="I36" s="76">
        <f t="shared" si="5"/>
        <v>0</v>
      </c>
      <c r="J36" s="76">
        <f t="shared" si="5"/>
        <v>0</v>
      </c>
      <c r="K36" s="76">
        <f t="shared" si="5"/>
        <v>0</v>
      </c>
      <c r="L36" s="76">
        <f t="shared" si="5"/>
        <v>0</v>
      </c>
      <c r="M36" s="76">
        <f t="shared" si="5"/>
        <v>0</v>
      </c>
      <c r="N36" s="76">
        <f t="shared" si="5"/>
        <v>0</v>
      </c>
      <c r="O36" s="76">
        <f t="shared" si="5"/>
        <v>0</v>
      </c>
      <c r="P36" s="76">
        <f t="shared" si="5"/>
        <v>0</v>
      </c>
      <c r="Q36" s="76">
        <f t="shared" si="10"/>
        <v>0</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16</v>
      </c>
      <c r="B37" s="15"/>
      <c r="C37" s="76">
        <f t="shared" si="6"/>
        <v>0</v>
      </c>
      <c r="D37" s="76">
        <f t="shared" si="7"/>
        <v>0</v>
      </c>
      <c r="E37" s="76">
        <f t="shared" si="8"/>
        <v>0</v>
      </c>
      <c r="F37" s="76">
        <f t="shared" si="9"/>
        <v>0</v>
      </c>
      <c r="G37" s="76">
        <f t="shared" si="5"/>
        <v>0</v>
      </c>
      <c r="H37" s="76">
        <f t="shared" si="5"/>
        <v>0</v>
      </c>
      <c r="I37" s="76">
        <f t="shared" si="5"/>
        <v>0</v>
      </c>
      <c r="J37" s="76">
        <f t="shared" si="5"/>
        <v>0</v>
      </c>
      <c r="K37" s="76">
        <f t="shared" si="5"/>
        <v>0</v>
      </c>
      <c r="L37" s="76">
        <f t="shared" si="5"/>
        <v>0</v>
      </c>
      <c r="M37" s="76">
        <f t="shared" si="5"/>
        <v>0</v>
      </c>
      <c r="N37" s="76">
        <f t="shared" si="5"/>
        <v>0</v>
      </c>
      <c r="O37" s="76">
        <f t="shared" si="5"/>
        <v>0</v>
      </c>
      <c r="P37" s="76">
        <f t="shared" si="5"/>
        <v>0</v>
      </c>
      <c r="Q37" s="76">
        <f t="shared" si="10"/>
        <v>0</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0</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Abercynrig 2</v>
      </c>
      <c r="C57" s="8" t="str">
        <f t="shared" ref="C57:U57" si="13">D8</f>
        <v>Abercynrig 10</v>
      </c>
      <c r="D57" s="8">
        <f t="shared" si="13"/>
        <v>1</v>
      </c>
      <c r="E57" s="8">
        <f t="shared" si="13"/>
        <v>2</v>
      </c>
      <c r="F57" s="8">
        <f t="shared" si="13"/>
        <v>10</v>
      </c>
      <c r="G57" s="8">
        <f t="shared" si="13"/>
        <v>11</v>
      </c>
      <c r="H57" s="8">
        <f t="shared" si="13"/>
        <v>16</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"&amp;(VLOOKUP(C14,Table245811[],6,FALSE))</f>
        <v>Medium/Clay I Grass</v>
      </c>
      <c r="C58" s="13" t="str">
        <f>D16&amp;" I "&amp;(VLOOKUP(D14,Table245811[],6,FALSE))</f>
        <v>Medium/Clay I Grass</v>
      </c>
      <c r="D58" s="13" t="str">
        <f>E16&amp;" I "&amp;(VLOOKUP(E14,Table245811[],6,FALSE))</f>
        <v>Medium/Clay I Arable</v>
      </c>
      <c r="E58" s="13" t="str">
        <f>F16&amp;" I "&amp;(VLOOKUP(F14,Table245811[],6,FALSE))</f>
        <v>Medium/Clay I Arable</v>
      </c>
      <c r="F58" s="13" t="str">
        <f>G16&amp;" I "&amp;(VLOOKUP(G14,Table245811[],6,FALSE))</f>
        <v>Medium/Clay I Grass</v>
      </c>
      <c r="G58" s="13" t="str">
        <f>H16&amp;" I "&amp;(VLOOKUP(H14,Table245811[],6,FALSE))</f>
        <v>Medium/Clay I Grass</v>
      </c>
      <c r="H58" s="13" t="str">
        <f>I16&amp;" I "&amp;(VLOOKUP(I14,Table245811[],6,FALSE))</f>
        <v>Medium/Clay I Grass</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0" t="s">
        <v>132</v>
      </c>
      <c r="B59" s="75">
        <f>VLOOKUP(C$14,Table245811[],5,FALSE)</f>
        <v>6.2</v>
      </c>
      <c r="C59" s="75">
        <f>VLOOKUP(D$14,Table245811[],5,FALSE)</f>
        <v>6.2</v>
      </c>
      <c r="D59" s="75">
        <f>VLOOKUP(E$14,Table245811[],5,FALSE)</f>
        <v>6.7</v>
      </c>
      <c r="E59" s="75">
        <f>VLOOKUP(F$14,Table245811[],5,FALSE)</f>
        <v>6.7</v>
      </c>
      <c r="F59" s="75">
        <f>VLOOKUP(G$14,Table245811[],5,FALSE)</f>
        <v>6.2</v>
      </c>
      <c r="G59" s="75">
        <f>VLOOKUP(H$14,Table245811[],5,FALSE)</f>
        <v>6.2</v>
      </c>
      <c r="H59" s="75">
        <f>VLOOKUP(I$14,Table245811[],5,FALSE)</f>
        <v>6.2</v>
      </c>
      <c r="I59" s="75" t="e">
        <f>VLOOKUP(J$14,Table245811[],5,FALSE)</f>
        <v>#N/A</v>
      </c>
      <c r="J59" s="75" t="e">
        <f>VLOOKUP(K$14,Table245811[],5,FALSE)</f>
        <v>#N/A</v>
      </c>
      <c r="K59" s="75" t="e">
        <f>VLOOKUP(L$14,Table245811[],5,FALSE)</f>
        <v>#N/A</v>
      </c>
      <c r="L59" s="75" t="e">
        <f>VLOOKUP(M$14,Table245811[],5,FALSE)</f>
        <v>#N/A</v>
      </c>
      <c r="M59" s="75" t="e">
        <f>VLOOKUP(N$14,Table245811[],5,FALSE)</f>
        <v>#N/A</v>
      </c>
      <c r="N59" s="75" t="e">
        <f>VLOOKUP(O$14,Table245811[],5,FALSE)</f>
        <v>#N/A</v>
      </c>
      <c r="O59" s="75" t="e">
        <f>VLOOKUP(P$14,Table245811[],5,FALSE)</f>
        <v>#N/A</v>
      </c>
      <c r="P59" s="75" t="e">
        <f>VLOOKUP(Q$14,Table245811[],5,FALSE)</f>
        <v>#N/A</v>
      </c>
      <c r="Q59" s="75" t="e">
        <f>VLOOKUP(R$14,Table245811[],5,FALSE)</f>
        <v>#N/A</v>
      </c>
      <c r="R59" s="75" t="e">
        <f>VLOOKUP(S$14,Table245811[],5,FALSE)</f>
        <v>#N/A</v>
      </c>
      <c r="S59" s="75" t="e">
        <f>VLOOKUP(T$14,Table245811[],5,FALSE)</f>
        <v>#N/A</v>
      </c>
      <c r="T59" s="75" t="e">
        <f>VLOOKUP(U$14,Table245811[],5,FALSE)</f>
        <v>#N/A</v>
      </c>
      <c r="U59" s="75" t="e">
        <f>VLOOKUP(V$14,Table245811[],5,FALSE)</f>
        <v>#N/A</v>
      </c>
    </row>
    <row r="60" spans="1:35" s="19" customFormat="1" ht="13" x14ac:dyDescent="0.3">
      <c r="A60" s="110" t="s">
        <v>4</v>
      </c>
      <c r="B60" s="75">
        <f>C10</f>
        <v>6.2</v>
      </c>
      <c r="C60" s="75">
        <f t="shared" ref="C60:U60" si="14">D10</f>
        <v>5.2</v>
      </c>
      <c r="D60" s="75">
        <f t="shared" si="14"/>
        <v>5.5</v>
      </c>
      <c r="E60" s="75">
        <f t="shared" si="14"/>
        <v>5</v>
      </c>
      <c r="F60" s="75">
        <f t="shared" si="14"/>
        <v>5.5</v>
      </c>
      <c r="G60" s="75">
        <f t="shared" si="14"/>
        <v>5.4</v>
      </c>
      <c r="H60" s="75">
        <f t="shared" si="14"/>
        <v>5.5</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8</v>
      </c>
      <c r="E61" s="75">
        <f t="shared" si="15"/>
        <v>8</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0</v>
      </c>
      <c r="D62" s="76">
        <f>B33</f>
        <v>0</v>
      </c>
      <c r="E62" s="76">
        <f>B34</f>
        <v>0</v>
      </c>
      <c r="F62" s="76">
        <f>B35</f>
        <v>0</v>
      </c>
      <c r="G62" s="76">
        <f>B36</f>
        <v>0</v>
      </c>
      <c r="H62" s="76">
        <f>B37</f>
        <v>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v>
      </c>
      <c r="C64" s="76">
        <f t="shared" ref="C64:U64" si="17">(C59-C60)*C61</f>
        <v>6</v>
      </c>
      <c r="D64" s="76">
        <f t="shared" si="17"/>
        <v>9.6000000000000014</v>
      </c>
      <c r="E64" s="76">
        <f t="shared" si="17"/>
        <v>13.600000000000001</v>
      </c>
      <c r="F64" s="76">
        <f t="shared" si="17"/>
        <v>4.2000000000000011</v>
      </c>
      <c r="G64" s="76">
        <f t="shared" si="17"/>
        <v>4.7999999999999989</v>
      </c>
      <c r="H64" s="76">
        <f t="shared" si="17"/>
        <v>4.2000000000000011</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v>
      </c>
      <c r="C65" s="76">
        <f t="shared" ref="C65:U65" si="18">C63-C64</f>
        <v>-6</v>
      </c>
      <c r="D65" s="76">
        <f t="shared" si="18"/>
        <v>-9.6000000000000014</v>
      </c>
      <c r="E65" s="76">
        <f t="shared" si="18"/>
        <v>-13.600000000000001</v>
      </c>
      <c r="F65" s="76">
        <f t="shared" si="18"/>
        <v>-4.2000000000000011</v>
      </c>
      <c r="G65" s="76">
        <f t="shared" si="18"/>
        <v>-4.7999999999999989</v>
      </c>
      <c r="H65" s="76">
        <f t="shared" si="18"/>
        <v>-4.2000000000000011</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7" zoomScale="90" zoomScaleNormal="90" workbookViewId="0">
      <selection activeCell="T28" sqref="T27:U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Bryngwyn!C1:D1</f>
        <v>PAN-019774</v>
      </c>
      <c r="D1" s="142"/>
      <c r="E1" s="92" t="s">
        <v>45</v>
      </c>
      <c r="F1" s="38" t="str">
        <f>Bryngwyn!F1</f>
        <v>46.9 ha</v>
      </c>
      <c r="G1" s="124" t="s">
        <v>43</v>
      </c>
      <c r="H1" s="125"/>
      <c r="I1" s="117">
        <v>6.1</v>
      </c>
      <c r="J1" s="128" t="s">
        <v>153</v>
      </c>
      <c r="K1" s="128"/>
      <c r="L1" s="96">
        <v>228</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Bryngwyn!C2:D2</f>
        <v>EPR/GP3792SK</v>
      </c>
      <c r="D2" s="144"/>
      <c r="E2" s="92" t="s">
        <v>109</v>
      </c>
      <c r="F2" s="95" t="s">
        <v>166</v>
      </c>
      <c r="G2" s="126" t="s">
        <v>110</v>
      </c>
      <c r="H2" s="127"/>
      <c r="I2" s="117"/>
      <c r="J2" s="128" t="s">
        <v>158</v>
      </c>
      <c r="K2" s="128"/>
      <c r="L2" s="96">
        <v>0.90200000000000002</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Bryngwyn!C3:D3</f>
        <v xml:space="preserve">Mr Richard Evans </v>
      </c>
      <c r="D3" s="144"/>
      <c r="E3" s="92" t="s">
        <v>108</v>
      </c>
      <c r="F3" s="30" t="s">
        <v>78</v>
      </c>
      <c r="G3" s="128" t="s">
        <v>159</v>
      </c>
      <c r="H3" s="128"/>
      <c r="I3" s="117"/>
      <c r="J3" s="124" t="s">
        <v>154</v>
      </c>
      <c r="K3" s="125"/>
      <c r="L3" s="96">
        <f>(L1/(L2*10000))*100</f>
        <v>2.5277161862527717</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1" t="str">
        <f>Bryngwyn!C4:D4</f>
        <v>Tylebrithos, Cantref, Brecon, LD3 8LR</v>
      </c>
      <c r="D4" s="142"/>
      <c r="E4" s="93" t="s">
        <v>1</v>
      </c>
      <c r="F4" s="119" t="s">
        <v>167</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Bryngwyn!C5:D5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t="str">
        <f>Bryngwyn!C8</f>
        <v>Abercynrig 2</v>
      </c>
      <c r="D8" s="59" t="str">
        <f>Bryngwyn!D8</f>
        <v>Abercynrig 10</v>
      </c>
      <c r="E8" s="59">
        <f>Bryngwyn!E8</f>
        <v>1</v>
      </c>
      <c r="F8" s="59">
        <f>Bryngwyn!F8</f>
        <v>2</v>
      </c>
      <c r="G8" s="59">
        <f>Bryngwyn!G8</f>
        <v>10</v>
      </c>
      <c r="H8" s="59">
        <f>Bryngwyn!H8</f>
        <v>11</v>
      </c>
      <c r="I8" s="59">
        <f>Bryngwyn!I8</f>
        <v>16</v>
      </c>
      <c r="J8" s="59">
        <f>Bryngwyn!J8</f>
        <v>0</v>
      </c>
      <c r="K8" s="59">
        <f>Bryngwyn!K8</f>
        <v>0</v>
      </c>
      <c r="L8" s="59">
        <f>Bryngwyn!L8</f>
        <v>0</v>
      </c>
      <c r="M8" s="59">
        <f>Bryngwyn!M8</f>
        <v>0</v>
      </c>
      <c r="N8" s="59">
        <f>Bryngwyn!N8</f>
        <v>0</v>
      </c>
      <c r="O8" s="59">
        <f>Bryngwyn!O8</f>
        <v>0</v>
      </c>
      <c r="P8" s="59">
        <f>Bryngwyn!P8</f>
        <v>0</v>
      </c>
      <c r="Q8" s="59">
        <f>Bryngwyn!Q8</f>
        <v>0</v>
      </c>
      <c r="R8" s="59">
        <f>Bryngwyn!R8</f>
        <v>0</v>
      </c>
      <c r="S8" s="59">
        <f>Bryngwyn!S8</f>
        <v>0</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Bryngwyn!C9</f>
        <v>Moderate</v>
      </c>
      <c r="D9" s="59" t="str">
        <f>Bryngwyn!D9</f>
        <v xml:space="preserve">Moderate </v>
      </c>
      <c r="E9" s="59">
        <f>Bryngwyn!E9</f>
        <v>1</v>
      </c>
      <c r="F9" s="59">
        <f>Bryngwyn!F9</f>
        <v>1</v>
      </c>
      <c r="G9" s="59" t="str">
        <f>Bryngwyn!G9</f>
        <v>Moderate</v>
      </c>
      <c r="H9" s="59" t="str">
        <f>Bryngwyn!H9</f>
        <v xml:space="preserve">Moderate </v>
      </c>
      <c r="I9" s="59" t="str">
        <f>Bryngwyn!I9</f>
        <v xml:space="preserve">Moderate </v>
      </c>
      <c r="J9" s="59">
        <f>Bryngwyn!J9</f>
        <v>0</v>
      </c>
      <c r="K9" s="59">
        <f>Bryngwyn!K9</f>
        <v>0</v>
      </c>
      <c r="L9" s="59">
        <f>Bryngwyn!L9</f>
        <v>0</v>
      </c>
      <c r="M9" s="59">
        <f>Bryngwyn!M9</f>
        <v>0</v>
      </c>
      <c r="N9" s="59">
        <f>Bryngwyn!N9</f>
        <v>0</v>
      </c>
      <c r="O9" s="59">
        <f>Bryngwyn!O9</f>
        <v>0</v>
      </c>
      <c r="P9" s="59">
        <f>Bryngwyn!P9</f>
        <v>0</v>
      </c>
      <c r="Q9" s="59">
        <f>Bryngwyn!Q9</f>
        <v>0</v>
      </c>
      <c r="R9" s="59">
        <f>Bryngwyn!R9</f>
        <v>0</v>
      </c>
      <c r="S9" s="59">
        <f>Bryngwyn!S9</f>
        <v>0</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Bryngwyn!C10</f>
        <v>6.2</v>
      </c>
      <c r="D10" s="59">
        <f>Bryngwyn!D10</f>
        <v>5.2</v>
      </c>
      <c r="E10" s="59">
        <f>Bryngwyn!E10</f>
        <v>5.5</v>
      </c>
      <c r="F10" s="59">
        <f>Bryngwyn!F10</f>
        <v>5</v>
      </c>
      <c r="G10" s="59">
        <f>Bryngwyn!G10</f>
        <v>5.5</v>
      </c>
      <c r="H10" s="59">
        <f>Bryngwyn!H10</f>
        <v>5.4</v>
      </c>
      <c r="I10" s="59">
        <f>Bryngwyn!I10</f>
        <v>5.5</v>
      </c>
      <c r="J10" s="59">
        <f>Bryngwyn!J10</f>
        <v>0</v>
      </c>
      <c r="K10" s="59">
        <f>Bryngwyn!K10</f>
        <v>0</v>
      </c>
      <c r="L10" s="59">
        <f>Bryngwyn!L10</f>
        <v>0</v>
      </c>
      <c r="M10" s="59">
        <f>Bryngwyn!M10</f>
        <v>0</v>
      </c>
      <c r="N10" s="59">
        <f>Bryngwyn!N10</f>
        <v>0</v>
      </c>
      <c r="O10" s="59">
        <f>Bryngwyn!O10</f>
        <v>0</v>
      </c>
      <c r="P10" s="59">
        <f>Bryngwyn!P10</f>
        <v>0</v>
      </c>
      <c r="Q10" s="59">
        <f>Bryngwyn!Q10</f>
        <v>0</v>
      </c>
      <c r="R10" s="59">
        <f>Bryngwyn!R10</f>
        <v>0</v>
      </c>
      <c r="S10" s="59">
        <f>Bryngwyn!S10</f>
        <v>0</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Bryngwyn!C11</f>
        <v>3</v>
      </c>
      <c r="D11" s="59">
        <f>Bryngwyn!D11</f>
        <v>3</v>
      </c>
      <c r="E11" s="59">
        <f>Bryngwyn!E11</f>
        <v>3</v>
      </c>
      <c r="F11" s="59">
        <f>Bryngwyn!F11</f>
        <v>4</v>
      </c>
      <c r="G11" s="59">
        <f>Bryngwyn!G11</f>
        <v>2</v>
      </c>
      <c r="H11" s="59">
        <f>Bryngwyn!H11</f>
        <v>2</v>
      </c>
      <c r="I11" s="59">
        <f>Bryngwyn!I11</f>
        <v>3</v>
      </c>
      <c r="J11" s="59">
        <f>Bryngwyn!J11</f>
        <v>0</v>
      </c>
      <c r="K11" s="59">
        <f>Bryngwyn!K11</f>
        <v>0</v>
      </c>
      <c r="L11" s="59">
        <f>Bryngwyn!L11</f>
        <v>0</v>
      </c>
      <c r="M11" s="59">
        <f>Bryngwyn!M11</f>
        <v>0</v>
      </c>
      <c r="N11" s="59">
        <f>Bryngwyn!N11</f>
        <v>0</v>
      </c>
      <c r="O11" s="59">
        <f>Bryngwyn!O11</f>
        <v>0</v>
      </c>
      <c r="P11" s="59">
        <f>Bryngwyn!P11</f>
        <v>0</v>
      </c>
      <c r="Q11" s="59">
        <f>Bryngwyn!Q11</f>
        <v>0</v>
      </c>
      <c r="R11" s="59">
        <f>Bryngwyn!R11</f>
        <v>0</v>
      </c>
      <c r="S11" s="59">
        <f>Bryngwyn!S11</f>
        <v>0</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Bryngwyn!C12</f>
        <v>2</v>
      </c>
      <c r="D12" s="59">
        <f>Bryngwyn!D12</f>
        <v>1</v>
      </c>
      <c r="E12" s="59">
        <f>Bryngwyn!E12</f>
        <v>2</v>
      </c>
      <c r="F12" s="59">
        <f>Bryngwyn!F12</f>
        <v>1</v>
      </c>
      <c r="G12" s="59">
        <f>Bryngwyn!G12</f>
        <v>1</v>
      </c>
      <c r="H12" s="59">
        <f>Bryngwyn!H12</f>
        <v>1</v>
      </c>
      <c r="I12" s="59">
        <f>Bryngwyn!I12</f>
        <v>1</v>
      </c>
      <c r="J12" s="59">
        <f>Bryngwyn!J12</f>
        <v>0</v>
      </c>
      <c r="K12" s="59">
        <f>Bryngwyn!K12</f>
        <v>0</v>
      </c>
      <c r="L12" s="59">
        <f>Bryngwyn!L12</f>
        <v>0</v>
      </c>
      <c r="M12" s="59">
        <f>Bryngwyn!M12</f>
        <v>0</v>
      </c>
      <c r="N12" s="59">
        <f>Bryngwyn!N12</f>
        <v>0</v>
      </c>
      <c r="O12" s="59">
        <f>Bryngwyn!O12</f>
        <v>0</v>
      </c>
      <c r="P12" s="59">
        <f>Bryngwyn!P12</f>
        <v>0</v>
      </c>
      <c r="Q12" s="59">
        <f>Bryngwyn!Q12</f>
        <v>0</v>
      </c>
      <c r="R12" s="59">
        <f>Bryngwyn!R12</f>
        <v>0</v>
      </c>
      <c r="S12" s="59">
        <f>Bryngwyn!S12</f>
        <v>0</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Bryngwyn!C13</f>
        <v>3</v>
      </c>
      <c r="D13" s="59">
        <f>Bryngwyn!D13</f>
        <v>2</v>
      </c>
      <c r="E13" s="59">
        <f>Bryngwyn!E13</f>
        <v>3</v>
      </c>
      <c r="F13" s="59">
        <f>Bryngwyn!F13</f>
        <v>2</v>
      </c>
      <c r="G13" s="59">
        <f>Bryngwyn!G13</f>
        <v>2</v>
      </c>
      <c r="H13" s="59">
        <f>Bryngwyn!H13</f>
        <v>2</v>
      </c>
      <c r="I13" s="59">
        <f>Bryngwyn!I13</f>
        <v>3</v>
      </c>
      <c r="J13" s="59">
        <f>Bryngwyn!J13</f>
        <v>0</v>
      </c>
      <c r="K13" s="59">
        <f>Bryngwyn!K13</f>
        <v>0</v>
      </c>
      <c r="L13" s="59">
        <f>Bryngwyn!L13</f>
        <v>0</v>
      </c>
      <c r="M13" s="59">
        <f>Bryngwyn!M13</f>
        <v>0</v>
      </c>
      <c r="N13" s="59">
        <f>Bryngwyn!N13</f>
        <v>0</v>
      </c>
      <c r="O13" s="59">
        <f>Bryngwyn!O13</f>
        <v>0</v>
      </c>
      <c r="P13" s="59">
        <f>Bryngwyn!P13</f>
        <v>0</v>
      </c>
      <c r="Q13" s="59">
        <f>Bryngwyn!Q13</f>
        <v>0</v>
      </c>
      <c r="R13" s="59">
        <f>Bryngwyn!R13</f>
        <v>0</v>
      </c>
      <c r="S13" s="59">
        <f>Bryngwyn!S13</f>
        <v>0</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Bryngwyn!C14</f>
        <v xml:space="preserve">Grass Silage (25% DM) </v>
      </c>
      <c r="D14" s="101" t="str">
        <f>Bryngwyn!D14</f>
        <v xml:space="preserve">Grass Silage (25% DM) </v>
      </c>
      <c r="E14" s="101" t="str">
        <f>Bryngwyn!E14</f>
        <v>Winter barley/triticale/rye</v>
      </c>
      <c r="F14" s="101" t="str">
        <f>Bryngwyn!F14</f>
        <v>Winter barley/triticale/rye</v>
      </c>
      <c r="G14" s="101" t="str">
        <f>Bryngwyn!G14</f>
        <v xml:space="preserve">Grass Silage (25% DM) </v>
      </c>
      <c r="H14" s="101" t="str">
        <f>Bryngwyn!H14</f>
        <v xml:space="preserve">Grass Silage (25% DM) </v>
      </c>
      <c r="I14" s="101" t="str">
        <f>Bryngwyn!I14</f>
        <v xml:space="preserve">Grass Silage (25% DM) </v>
      </c>
      <c r="J14" s="101">
        <f>Bryngwyn!J14</f>
        <v>0</v>
      </c>
      <c r="K14" s="101">
        <f>Bryngwyn!K14</f>
        <v>0</v>
      </c>
      <c r="L14" s="101">
        <f>Bryngwyn!L14</f>
        <v>0</v>
      </c>
      <c r="M14" s="101">
        <f>Bryngwyn!M14</f>
        <v>0</v>
      </c>
      <c r="N14" s="101">
        <f>Bryngwyn!N14</f>
        <v>0</v>
      </c>
      <c r="O14" s="101">
        <f>Bryngwyn!O14</f>
        <v>0</v>
      </c>
      <c r="P14" s="101">
        <f>Bryngwyn!P14</f>
        <v>0</v>
      </c>
      <c r="Q14" s="101">
        <f>Bryngwyn!Q14</f>
        <v>0</v>
      </c>
      <c r="R14" s="101">
        <f>Bryngwyn!R14</f>
        <v>0</v>
      </c>
      <c r="S14" s="101">
        <f>Bryngwyn!S14</f>
        <v>0</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6" t="s">
        <v>9</v>
      </c>
      <c r="B15" s="136"/>
      <c r="C15" s="59">
        <f>Bryngwyn!C15</f>
        <v>38</v>
      </c>
      <c r="D15" s="59">
        <f>Bryngwyn!D15</f>
        <v>38</v>
      </c>
      <c r="E15" s="59">
        <f>Bryngwyn!E15</f>
        <v>6.5</v>
      </c>
      <c r="F15" s="59">
        <f>Bryngwyn!F15</f>
        <v>6.5</v>
      </c>
      <c r="G15" s="59">
        <f>Bryngwyn!G15</f>
        <v>38</v>
      </c>
      <c r="H15" s="59">
        <f>Bryngwyn!H15</f>
        <v>38</v>
      </c>
      <c r="I15" s="59">
        <f>Bryngwyn!I15</f>
        <v>38</v>
      </c>
      <c r="J15" s="59">
        <f>Bryngwyn!J15</f>
        <v>0</v>
      </c>
      <c r="K15" s="59">
        <f>Bryngwyn!K15</f>
        <v>0</v>
      </c>
      <c r="L15" s="59">
        <f>Bryngwyn!L15</f>
        <v>0</v>
      </c>
      <c r="M15" s="59">
        <f>Bryngwyn!M15</f>
        <v>0</v>
      </c>
      <c r="N15" s="59">
        <f>Bryngwyn!N15</f>
        <v>0</v>
      </c>
      <c r="O15" s="59">
        <f>Bryngwyn!O15</f>
        <v>0</v>
      </c>
      <c r="P15" s="59">
        <f>Bryngwyn!P15</f>
        <v>0</v>
      </c>
      <c r="Q15" s="59">
        <f>Bryngwyn!Q15</f>
        <v>0</v>
      </c>
      <c r="R15" s="59">
        <f>Bryngwyn!R15</f>
        <v>0</v>
      </c>
      <c r="S15" s="59">
        <f>Bryngwyn!S15</f>
        <v>0</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f>Bryngwyn!J16</f>
        <v>0</v>
      </c>
      <c r="K16" s="102">
        <f>Bryngwyn!K16</f>
        <v>0</v>
      </c>
      <c r="L16" s="102">
        <f>Bryngwyn!L16</f>
        <v>0</v>
      </c>
      <c r="M16" s="102">
        <f>Bryngwyn!M16</f>
        <v>0</v>
      </c>
      <c r="N16" s="102">
        <f>Bryngwyn!N16</f>
        <v>0</v>
      </c>
      <c r="O16" s="102">
        <f>Bryngwyn!O16</f>
        <v>0</v>
      </c>
      <c r="P16" s="102">
        <f>Bryngwyn!P16</f>
        <v>0</v>
      </c>
      <c r="Q16" s="102">
        <f>Bryngwyn!Q16</f>
        <v>0</v>
      </c>
      <c r="R16" s="102">
        <f>Bryngwyn!R16</f>
        <v>0</v>
      </c>
      <c r="S16" s="102">
        <f>Bryngwyn!S16</f>
        <v>0</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64.599999999999994</v>
      </c>
      <c r="D17" s="27">
        <f t="shared" ref="D17:V17" si="0">(VLOOKUP(D$14,$AI2:$AK26,2,FALSE))*D$15</f>
        <v>64.599999999999994</v>
      </c>
      <c r="E17" s="27">
        <f t="shared" si="0"/>
        <v>55.25</v>
      </c>
      <c r="F17" s="27">
        <f t="shared" si="0"/>
        <v>55.25</v>
      </c>
      <c r="G17" s="27">
        <f t="shared" si="0"/>
        <v>64.599999999999994</v>
      </c>
      <c r="H17" s="27">
        <f t="shared" si="0"/>
        <v>64.599999999999994</v>
      </c>
      <c r="I17" s="27">
        <f t="shared" si="0"/>
        <v>64.599999999999994</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14.4440677</v>
      </c>
      <c r="D18" s="16">
        <f>$D32</f>
        <v>14.4440677</v>
      </c>
      <c r="E18" s="16">
        <f>$D33</f>
        <v>14.4440677</v>
      </c>
      <c r="F18" s="16">
        <f>$D34</f>
        <v>14.4440677</v>
      </c>
      <c r="G18" s="16">
        <f>$D35</f>
        <v>14.4440677</v>
      </c>
      <c r="H18" s="16">
        <f>$D36</f>
        <v>14.4440677</v>
      </c>
      <c r="I18" s="16">
        <f>$D37</f>
        <v>14.4440677</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-50.155932299999996</v>
      </c>
      <c r="D19" s="16">
        <f t="shared" ref="D19:V19" si="1">D18-D17</f>
        <v>-50.155932299999996</v>
      </c>
      <c r="E19" s="16">
        <f t="shared" si="1"/>
        <v>-40.805932300000002</v>
      </c>
      <c r="F19" s="16">
        <f t="shared" si="1"/>
        <v>-40.805932300000002</v>
      </c>
      <c r="G19" s="16">
        <f t="shared" si="1"/>
        <v>-50.155932299999996</v>
      </c>
      <c r="H19" s="16">
        <f t="shared" si="1"/>
        <v>-50.155932299999996</v>
      </c>
      <c r="I19" s="16">
        <f t="shared" si="1"/>
        <v>-50.155932299999996</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228</v>
      </c>
      <c r="D21" s="27">
        <f t="shared" ref="D21:V21" si="2">(VLOOKUP(D$14,$AI2:$AK26,3,FALSE))*D$15</f>
        <v>228</v>
      </c>
      <c r="E21" s="27">
        <f t="shared" si="2"/>
        <v>68.25</v>
      </c>
      <c r="F21" s="27">
        <f t="shared" si="2"/>
        <v>68.25</v>
      </c>
      <c r="G21" s="27">
        <f t="shared" si="2"/>
        <v>228</v>
      </c>
      <c r="H21" s="27">
        <f t="shared" si="2"/>
        <v>228</v>
      </c>
      <c r="I21" s="27">
        <f t="shared" si="2"/>
        <v>228</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0.70239450000000003</v>
      </c>
      <c r="D22" s="16">
        <f>$E32</f>
        <v>0.70239450000000003</v>
      </c>
      <c r="E22" s="16">
        <f>$E33</f>
        <v>0.70239450000000003</v>
      </c>
      <c r="F22" s="16">
        <f>$E34</f>
        <v>0.70239450000000003</v>
      </c>
      <c r="G22" s="16">
        <f>$E35</f>
        <v>0.70239450000000003</v>
      </c>
      <c r="H22" s="16">
        <f>$E36</f>
        <v>0.70239450000000003</v>
      </c>
      <c r="I22" s="16">
        <f>$E37</f>
        <v>0.70239450000000003</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-227.2976055</v>
      </c>
      <c r="D23" s="16">
        <f t="shared" ref="D23:V23" si="3">D22-D21</f>
        <v>-227.2976055</v>
      </c>
      <c r="E23" s="16">
        <f t="shared" si="3"/>
        <v>-67.547605500000003</v>
      </c>
      <c r="F23" s="16">
        <f t="shared" si="3"/>
        <v>-67.547605500000003</v>
      </c>
      <c r="G23" s="16">
        <f t="shared" si="3"/>
        <v>-227.2976055</v>
      </c>
      <c r="H23" s="16">
        <f t="shared" si="3"/>
        <v>-227.2976055</v>
      </c>
      <c r="I23" s="16">
        <f t="shared" si="3"/>
        <v>-227.2976055</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t="s">
        <v>55</v>
      </c>
      <c r="S27" s="106" t="s">
        <v>55</v>
      </c>
      <c r="T27" s="106"/>
      <c r="U27" s="106"/>
    </row>
    <row r="28" spans="1:40" s="56" customFormat="1" x14ac:dyDescent="0.35">
      <c r="A28" s="107"/>
      <c r="B28" s="23">
        <v>2.68</v>
      </c>
      <c r="C28" s="15">
        <v>0.90200000000000002</v>
      </c>
      <c r="D28" s="15">
        <v>9.4100000000000003E-2</v>
      </c>
      <c r="E28" s="15">
        <v>8.6999999999999994E-3</v>
      </c>
      <c r="F28" s="15">
        <v>440</v>
      </c>
      <c r="G28" s="15">
        <v>20.100000000000001</v>
      </c>
      <c r="H28" s="15">
        <v>114</v>
      </c>
      <c r="I28" s="15">
        <v>16.8</v>
      </c>
      <c r="J28" s="15">
        <v>0.95</v>
      </c>
      <c r="K28" s="15">
        <v>0.75</v>
      </c>
      <c r="L28" s="15">
        <v>14</v>
      </c>
      <c r="M28" s="15">
        <v>11.8</v>
      </c>
      <c r="N28" s="15">
        <v>2950</v>
      </c>
      <c r="O28" s="15">
        <v>423000</v>
      </c>
      <c r="P28" s="15"/>
      <c r="Q28" s="15">
        <v>3500</v>
      </c>
      <c r="R28" s="15"/>
      <c r="S28" s="15">
        <v>44.1</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Abercynrig 2</v>
      </c>
      <c r="B31" s="15">
        <v>250</v>
      </c>
      <c r="C31" s="76">
        <f>IF(C$27="%w/w SAR",((C$28*10)*$B31),IF(C$27="%w/w DM",(((C$28*10)*($B$28/100))*$B31),IF(C$27="kg/t SAR",(C$28*$B31),IF(C$27="kg/t DM",((C$28*($B$28/100))*$B31),IF(C$27="mg/kg SAR",((C$28*0.001)*$B31),IF(C$27="mg/kg DM",(((C$28*0.001)*($B$28/100))*$B31),0))))))</f>
        <v>60.434000000000005</v>
      </c>
      <c r="D31" s="76">
        <f>(IF(D$27="%w/w SAR",((D$28*10)*$B31),IF(D$27="%w/w DM",(((D$28*10)*($B$28/100))*$B31),IF(D$27="kg/t SAR",(D$28*$B31),IF(D$27="kg/t DM",((D$28*($B$28/100))*$B31),IF(D$27="mg/kg SAR",((D$28*0.001)*$B31),IF(D$27="mg/kg DM",(((D$28*0.001)*($B$28/100))*$B31),"0")))))))*2.291</f>
        <v>14.4440677</v>
      </c>
      <c r="E31" s="76">
        <f>(IF(E$27="%w/w SAR",((E$28*10)*$B31),IF(E$27="%w/w DM",(((E$28*10)*($B$28/100))*$B31),IF(E$27="kg/t SAR",(E$28*$B31),IF(E$27="kg/t DM",((E$28*($B$28/100))*$B31),IF(E$27="mg/kg SAR",((E$28*0.001)*$B31),IF(E$27="mg/kg DM",(((E$28*0.001)*($B$28/100))*$B31),"0")))))))*1.205</f>
        <v>0.70239450000000003</v>
      </c>
      <c r="F31" s="76">
        <f>(IF(F$27="%w/w SAR",((F$28*10)*$B31),IF(F$27="%w/w DM",(((F$28*10)*($B$28/100))*$B31),IF(F$27="kg/t SAR",(F$28*$B31),IF(F$27="kg/t DM",((F$28*($B$28/100))*$B31),IF(F$27="mg/kg SAR",((F$28*0.001)*$B31),IF(F$27="mg/kg DM",(((F$28*0.001)*($B$28/100))*$B31),"0")))))))*1.658</f>
        <v>4.8877839999999999</v>
      </c>
      <c r="G31" s="76">
        <f t="shared" ref="G31:P46" si="5">IF(G$27="%w/w SAR",((G$28*10)*$B31),IF(G$27="%w/w DM",(((G$28*10)*($B$28/100))*$B31),IF(G$27="kg/t SAR",(G$28*$B31),IF(G$27="kg/t DM",((G$28*($B$28/100))*$B31),IF(G$27="mg/kg SAR",((G$28*0.001)*$B31),IF(G$27="mg/kg DM",(((G$28*0.001)*($B$28/100))*$B31),0))))))</f>
        <v>0.13467000000000004</v>
      </c>
      <c r="H31" s="76">
        <f t="shared" si="5"/>
        <v>0.76380000000000003</v>
      </c>
      <c r="I31" s="76">
        <f t="shared" si="5"/>
        <v>0.11256000000000002</v>
      </c>
      <c r="J31" s="76">
        <f t="shared" si="5"/>
        <v>6.365E-3</v>
      </c>
      <c r="K31" s="76">
        <f t="shared" si="5"/>
        <v>5.025E-3</v>
      </c>
      <c r="L31" s="76">
        <f t="shared" si="5"/>
        <v>9.3800000000000008E-2</v>
      </c>
      <c r="M31" s="76">
        <f t="shared" si="5"/>
        <v>7.9060000000000019E-2</v>
      </c>
      <c r="N31" s="76">
        <f t="shared" si="5"/>
        <v>19.765000000000001</v>
      </c>
      <c r="O31" s="76">
        <f t="shared" si="5"/>
        <v>2834.1000000000004</v>
      </c>
      <c r="P31" s="76">
        <f t="shared" si="5"/>
        <v>0</v>
      </c>
      <c r="Q31" s="76">
        <f>(IF(Q$27="%w/w SAR",((Q$28*10)*$B31),IF(Q$27="%w/w DM",(((Q$28*10)*($B$28/100))*$B31),IF(Q$27="kg/t SAR",(Q$28*$B31),IF(Q$27="kg/t DM",((Q$28*($B$28/100))*$B31),IF(Q$27="mg/kg SAR",((Q$28*0.001)*$B31),IF(Q$27="mg/kg DM",(((Q$28*0.001)*($B$28/100))*$B31),0)))))))*2.5</f>
        <v>58.625000000000007</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0.29547000000000001</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Abercynrig 10</v>
      </c>
      <c r="B32" s="15">
        <v>250</v>
      </c>
      <c r="C32" s="76">
        <f t="shared" ref="C32:C50" si="6">IF(C$27="%w/w SAR",((C$28*10)*$B32),IF(C$27="%w/w DM",(((C$28*10)*($B$28/100))*$B32),IF(C$27="kg/t SAR",(C$28*$B32),IF(C$27="kg/t DM",((C$28*($B$28/100))*$B32),IF(C$27="mg/kg SAR",((C$28*0.001)*$B32),IF(C$27="mg/kg DM",(((C$28*0.001)*($B$28/100))*$B32),0))))))</f>
        <v>60.434000000000005</v>
      </c>
      <c r="D32" s="76">
        <f t="shared" ref="D32:D50" si="7">(IF(D$27="%w/w SAR",((D$28*10)*$B32),IF(D$27="%w/w DM",(((D$28*10)*($B$28/100))*$B32),IF(D$27="kg/t SAR",(D$28*$B32),IF(D$27="kg/t DM",((D$28*($B$28/100))*$B32),IF(D$27="mg/kg SAR",((D$28*0.001)*$B32),IF(D$27="mg/kg DM",(((D$28*0.001)*($B$28/100))*$B32),"0")))))))*2.291</f>
        <v>14.4440677</v>
      </c>
      <c r="E32" s="76">
        <f t="shared" ref="E32:E50" si="8">(IF(E$27="%w/w SAR",((E$28*10)*$B32),IF(E$27="%w/w DM",(((E$28*10)*($B$28/100))*$B32),IF(E$27="kg/t SAR",(E$28*$B32),IF(E$27="kg/t DM",((E$28*($B$28/100))*$B32),IF(E$27="mg/kg SAR",((E$28*0.001)*$B32),IF(E$27="mg/kg DM",(((E$28*0.001)*($B$28/100))*$B32),"0")))))))*1.205</f>
        <v>0.70239450000000003</v>
      </c>
      <c r="F32" s="76">
        <f t="shared" ref="F32:F50" si="9">(IF(F$27="%w/w SAR",((F$28*10)*$B32),IF(F$27="%w/w DM",(((F$28*10)*($B$28/100))*$B32),IF(F$27="kg/t SAR",(F$28*$B32),IF(F$27="kg/t DM",((F$28*($B$28/100))*$B32),IF(F$27="mg/kg SAR",((F$28*0.001)*$B32),IF(F$27="mg/kg DM",(((F$28*0.001)*($B$28/100))*$B32),"0")))))))*1.658</f>
        <v>4.8877839999999999</v>
      </c>
      <c r="G32" s="76">
        <f t="shared" si="5"/>
        <v>0.13467000000000004</v>
      </c>
      <c r="H32" s="76">
        <f t="shared" si="5"/>
        <v>0.76380000000000003</v>
      </c>
      <c r="I32" s="76">
        <f t="shared" si="5"/>
        <v>0.11256000000000002</v>
      </c>
      <c r="J32" s="76">
        <f t="shared" si="5"/>
        <v>6.365E-3</v>
      </c>
      <c r="K32" s="76">
        <f t="shared" si="5"/>
        <v>5.025E-3</v>
      </c>
      <c r="L32" s="76">
        <f t="shared" si="5"/>
        <v>9.3800000000000008E-2</v>
      </c>
      <c r="M32" s="76">
        <f t="shared" si="5"/>
        <v>7.9060000000000019E-2</v>
      </c>
      <c r="N32" s="76">
        <f t="shared" si="5"/>
        <v>19.765000000000001</v>
      </c>
      <c r="O32" s="76">
        <f t="shared" si="5"/>
        <v>2834.1000000000004</v>
      </c>
      <c r="P32" s="76">
        <f t="shared" si="5"/>
        <v>0</v>
      </c>
      <c r="Q32" s="76">
        <f t="shared" ref="Q32:Q50" si="10">(IF(Q$27="%w/w SAR",((Q$28*10)*$B32),IF(Q$27="%w/w DM",(((Q$28*10)*($B$28/100))*$B32),IF(Q$27="kg/t SAR",(Q$28*$B32),IF(Q$27="kg/t DM",((Q$28*($B$28/100))*$B32),IF(Q$27="mg/kg SAR",((Q$28*0.001)*$B32),IF(Q$27="mg/kg DM",(((Q$28*0.001)*($B$28/100))*$B32),0)))))))*2.5</f>
        <v>58.625000000000007</v>
      </c>
      <c r="R32" s="76">
        <f t="shared" ref="R32:U50" si="11">IF(R$27="%w/w SAR",((R$28*10)*$B32),IF(R$27="%w/w DM",(((R$28*10)*($B$28/100))*$B32),IF(R$27="kg/t SAR",(R$28*$B32),IF(R$27="kg/t DM",((R$28*($B$28/100))*$B32),IF(R$27="mg/kg SAR",((R$28*0.001)*$B32),IF(R$27="mg/kg DM",(((R$28*0.001)*($B$28/100))*$B32),0))))))</f>
        <v>0</v>
      </c>
      <c r="S32" s="76">
        <f t="shared" si="11"/>
        <v>0.29547000000000001</v>
      </c>
      <c r="T32" s="76">
        <f t="shared" si="11"/>
        <v>0</v>
      </c>
      <c r="U32" s="76">
        <f t="shared" si="11"/>
        <v>0</v>
      </c>
      <c r="AB32" s="58"/>
      <c r="AC32" s="58"/>
      <c r="AD32" s="58"/>
      <c r="AE32" s="58"/>
      <c r="AF32" s="58"/>
      <c r="AG32" s="58"/>
      <c r="AH32" s="58"/>
      <c r="AI32" s="58"/>
    </row>
    <row r="33" spans="1:35" s="71" customFormat="1" ht="13" x14ac:dyDescent="0.35">
      <c r="A33" s="13">
        <f>E8</f>
        <v>1</v>
      </c>
      <c r="B33" s="15">
        <v>250</v>
      </c>
      <c r="C33" s="76">
        <f t="shared" si="6"/>
        <v>60.434000000000005</v>
      </c>
      <c r="D33" s="76">
        <f t="shared" si="7"/>
        <v>14.4440677</v>
      </c>
      <c r="E33" s="76">
        <f t="shared" si="8"/>
        <v>0.70239450000000003</v>
      </c>
      <c r="F33" s="76">
        <f t="shared" si="9"/>
        <v>4.8877839999999999</v>
      </c>
      <c r="G33" s="76">
        <f t="shared" si="5"/>
        <v>0.13467000000000004</v>
      </c>
      <c r="H33" s="76">
        <f t="shared" si="5"/>
        <v>0.76380000000000003</v>
      </c>
      <c r="I33" s="76">
        <f t="shared" si="5"/>
        <v>0.11256000000000002</v>
      </c>
      <c r="J33" s="76">
        <f t="shared" si="5"/>
        <v>6.365E-3</v>
      </c>
      <c r="K33" s="76">
        <f t="shared" si="5"/>
        <v>5.025E-3</v>
      </c>
      <c r="L33" s="76">
        <f t="shared" si="5"/>
        <v>9.3800000000000008E-2</v>
      </c>
      <c r="M33" s="76">
        <f t="shared" si="5"/>
        <v>7.9060000000000019E-2</v>
      </c>
      <c r="N33" s="76">
        <f t="shared" si="5"/>
        <v>19.765000000000001</v>
      </c>
      <c r="O33" s="76">
        <f t="shared" si="5"/>
        <v>2834.1000000000004</v>
      </c>
      <c r="P33" s="76">
        <f t="shared" si="5"/>
        <v>0</v>
      </c>
      <c r="Q33" s="76">
        <f t="shared" si="10"/>
        <v>58.625000000000007</v>
      </c>
      <c r="R33" s="76">
        <f t="shared" si="11"/>
        <v>0</v>
      </c>
      <c r="S33" s="76">
        <f t="shared" si="11"/>
        <v>0.29547000000000001</v>
      </c>
      <c r="T33" s="76">
        <f t="shared" si="11"/>
        <v>0</v>
      </c>
      <c r="U33" s="76">
        <f t="shared" si="11"/>
        <v>0</v>
      </c>
      <c r="AB33" s="58"/>
      <c r="AC33" s="58"/>
      <c r="AD33" s="58"/>
      <c r="AE33" s="58"/>
      <c r="AF33" s="58"/>
      <c r="AG33" s="58"/>
      <c r="AH33" s="58"/>
      <c r="AI33" s="58"/>
    </row>
    <row r="34" spans="1:35" s="71" customFormat="1" ht="13" x14ac:dyDescent="0.35">
      <c r="A34" s="13">
        <f>F8</f>
        <v>2</v>
      </c>
      <c r="B34" s="15">
        <v>250</v>
      </c>
      <c r="C34" s="76">
        <f t="shared" si="6"/>
        <v>60.434000000000005</v>
      </c>
      <c r="D34" s="76">
        <f t="shared" si="7"/>
        <v>14.4440677</v>
      </c>
      <c r="E34" s="76">
        <f t="shared" si="8"/>
        <v>0.70239450000000003</v>
      </c>
      <c r="F34" s="76">
        <f t="shared" si="9"/>
        <v>4.8877839999999999</v>
      </c>
      <c r="G34" s="76">
        <f t="shared" si="5"/>
        <v>0.13467000000000004</v>
      </c>
      <c r="H34" s="76">
        <f t="shared" si="5"/>
        <v>0.76380000000000003</v>
      </c>
      <c r="I34" s="76">
        <f t="shared" si="5"/>
        <v>0.11256000000000002</v>
      </c>
      <c r="J34" s="76">
        <f t="shared" si="5"/>
        <v>6.365E-3</v>
      </c>
      <c r="K34" s="76">
        <f t="shared" si="5"/>
        <v>5.025E-3</v>
      </c>
      <c r="L34" s="76">
        <f t="shared" si="5"/>
        <v>9.3800000000000008E-2</v>
      </c>
      <c r="M34" s="76">
        <f t="shared" si="5"/>
        <v>7.9060000000000019E-2</v>
      </c>
      <c r="N34" s="76">
        <f t="shared" si="5"/>
        <v>19.765000000000001</v>
      </c>
      <c r="O34" s="76">
        <f t="shared" si="5"/>
        <v>2834.1000000000004</v>
      </c>
      <c r="P34" s="76">
        <f t="shared" si="5"/>
        <v>0</v>
      </c>
      <c r="Q34" s="76">
        <f t="shared" si="10"/>
        <v>58.625000000000007</v>
      </c>
      <c r="R34" s="76">
        <f t="shared" si="11"/>
        <v>0</v>
      </c>
      <c r="S34" s="76">
        <f t="shared" si="11"/>
        <v>0.29547000000000001</v>
      </c>
      <c r="T34" s="76">
        <f t="shared" si="11"/>
        <v>0</v>
      </c>
      <c r="U34" s="76">
        <f t="shared" si="11"/>
        <v>0</v>
      </c>
      <c r="AB34" s="58"/>
      <c r="AC34" s="58"/>
      <c r="AD34" s="58"/>
      <c r="AE34" s="58"/>
      <c r="AF34" s="58"/>
      <c r="AG34" s="58"/>
      <c r="AH34" s="58"/>
      <c r="AI34" s="58"/>
    </row>
    <row r="35" spans="1:35" s="71" customFormat="1" ht="13" x14ac:dyDescent="0.35">
      <c r="A35" s="13">
        <f>G8</f>
        <v>10</v>
      </c>
      <c r="B35" s="15">
        <v>250</v>
      </c>
      <c r="C35" s="76">
        <f t="shared" si="6"/>
        <v>60.434000000000005</v>
      </c>
      <c r="D35" s="76">
        <f t="shared" si="7"/>
        <v>14.4440677</v>
      </c>
      <c r="E35" s="76">
        <f t="shared" si="8"/>
        <v>0.70239450000000003</v>
      </c>
      <c r="F35" s="76">
        <f t="shared" si="9"/>
        <v>4.8877839999999999</v>
      </c>
      <c r="G35" s="76">
        <f t="shared" si="5"/>
        <v>0.13467000000000004</v>
      </c>
      <c r="H35" s="76">
        <f t="shared" si="5"/>
        <v>0.76380000000000003</v>
      </c>
      <c r="I35" s="76">
        <f t="shared" si="5"/>
        <v>0.11256000000000002</v>
      </c>
      <c r="J35" s="76">
        <f t="shared" si="5"/>
        <v>6.365E-3</v>
      </c>
      <c r="K35" s="76">
        <f t="shared" si="5"/>
        <v>5.025E-3</v>
      </c>
      <c r="L35" s="76">
        <f t="shared" si="5"/>
        <v>9.3800000000000008E-2</v>
      </c>
      <c r="M35" s="76">
        <f t="shared" si="5"/>
        <v>7.9060000000000019E-2</v>
      </c>
      <c r="N35" s="76">
        <f t="shared" si="5"/>
        <v>19.765000000000001</v>
      </c>
      <c r="O35" s="76">
        <f t="shared" si="5"/>
        <v>2834.1000000000004</v>
      </c>
      <c r="P35" s="76">
        <f t="shared" si="5"/>
        <v>0</v>
      </c>
      <c r="Q35" s="76">
        <f t="shared" si="10"/>
        <v>58.625000000000007</v>
      </c>
      <c r="R35" s="76">
        <f t="shared" si="11"/>
        <v>0</v>
      </c>
      <c r="S35" s="76">
        <f t="shared" si="11"/>
        <v>0.29547000000000001</v>
      </c>
      <c r="T35" s="76">
        <f t="shared" si="11"/>
        <v>0</v>
      </c>
      <c r="U35" s="76">
        <f t="shared" si="11"/>
        <v>0</v>
      </c>
      <c r="AB35" s="58"/>
      <c r="AC35" s="58"/>
      <c r="AD35" s="58"/>
      <c r="AE35" s="58"/>
      <c r="AF35" s="58"/>
      <c r="AG35" s="58"/>
      <c r="AH35" s="58"/>
      <c r="AI35" s="58"/>
    </row>
    <row r="36" spans="1:35" s="71" customFormat="1" ht="13" x14ac:dyDescent="0.35">
      <c r="A36" s="13">
        <f>H8</f>
        <v>11</v>
      </c>
      <c r="B36" s="15">
        <v>250</v>
      </c>
      <c r="C36" s="76">
        <f t="shared" si="6"/>
        <v>60.434000000000005</v>
      </c>
      <c r="D36" s="76">
        <f t="shared" si="7"/>
        <v>14.4440677</v>
      </c>
      <c r="E36" s="76">
        <f t="shared" si="8"/>
        <v>0.70239450000000003</v>
      </c>
      <c r="F36" s="76">
        <f t="shared" si="9"/>
        <v>4.8877839999999999</v>
      </c>
      <c r="G36" s="76">
        <f t="shared" si="5"/>
        <v>0.13467000000000004</v>
      </c>
      <c r="H36" s="76">
        <f t="shared" si="5"/>
        <v>0.76380000000000003</v>
      </c>
      <c r="I36" s="76">
        <f t="shared" si="5"/>
        <v>0.11256000000000002</v>
      </c>
      <c r="J36" s="76">
        <f t="shared" si="5"/>
        <v>6.365E-3</v>
      </c>
      <c r="K36" s="76">
        <f t="shared" si="5"/>
        <v>5.025E-3</v>
      </c>
      <c r="L36" s="76">
        <f t="shared" si="5"/>
        <v>9.3800000000000008E-2</v>
      </c>
      <c r="M36" s="76">
        <f t="shared" si="5"/>
        <v>7.9060000000000019E-2</v>
      </c>
      <c r="N36" s="76">
        <f t="shared" si="5"/>
        <v>19.765000000000001</v>
      </c>
      <c r="O36" s="76">
        <f t="shared" si="5"/>
        <v>2834.1000000000004</v>
      </c>
      <c r="P36" s="76">
        <f t="shared" si="5"/>
        <v>0</v>
      </c>
      <c r="Q36" s="76">
        <f t="shared" si="10"/>
        <v>58.625000000000007</v>
      </c>
      <c r="R36" s="76">
        <f t="shared" si="11"/>
        <v>0</v>
      </c>
      <c r="S36" s="76">
        <f t="shared" si="11"/>
        <v>0.29547000000000001</v>
      </c>
      <c r="T36" s="76">
        <f t="shared" si="11"/>
        <v>0</v>
      </c>
      <c r="U36" s="76">
        <f t="shared" si="11"/>
        <v>0</v>
      </c>
      <c r="AB36" s="58"/>
      <c r="AC36" s="58"/>
      <c r="AD36" s="58"/>
      <c r="AE36" s="58"/>
      <c r="AF36" s="58"/>
      <c r="AG36" s="58"/>
      <c r="AH36" s="58"/>
      <c r="AI36" s="58"/>
    </row>
    <row r="37" spans="1:35" s="71" customFormat="1" ht="13" x14ac:dyDescent="0.35">
      <c r="A37" s="13">
        <f>I8</f>
        <v>16</v>
      </c>
      <c r="B37" s="15">
        <v>250</v>
      </c>
      <c r="C37" s="76">
        <f t="shared" si="6"/>
        <v>60.434000000000005</v>
      </c>
      <c r="D37" s="76">
        <f t="shared" si="7"/>
        <v>14.4440677</v>
      </c>
      <c r="E37" s="76">
        <f t="shared" si="8"/>
        <v>0.70239450000000003</v>
      </c>
      <c r="F37" s="76">
        <f t="shared" si="9"/>
        <v>4.8877839999999999</v>
      </c>
      <c r="G37" s="76">
        <f t="shared" si="5"/>
        <v>0.13467000000000004</v>
      </c>
      <c r="H37" s="76">
        <f t="shared" si="5"/>
        <v>0.76380000000000003</v>
      </c>
      <c r="I37" s="76">
        <f t="shared" si="5"/>
        <v>0.11256000000000002</v>
      </c>
      <c r="J37" s="76">
        <f t="shared" si="5"/>
        <v>6.365E-3</v>
      </c>
      <c r="K37" s="76">
        <f t="shared" si="5"/>
        <v>5.025E-3</v>
      </c>
      <c r="L37" s="76">
        <f t="shared" si="5"/>
        <v>9.3800000000000008E-2</v>
      </c>
      <c r="M37" s="76">
        <f t="shared" si="5"/>
        <v>7.9060000000000019E-2</v>
      </c>
      <c r="N37" s="76">
        <f t="shared" si="5"/>
        <v>19.765000000000001</v>
      </c>
      <c r="O37" s="76">
        <f t="shared" si="5"/>
        <v>2834.1000000000004</v>
      </c>
      <c r="P37" s="76">
        <f t="shared" si="5"/>
        <v>0</v>
      </c>
      <c r="Q37" s="76">
        <f t="shared" si="10"/>
        <v>58.625000000000007</v>
      </c>
      <c r="R37" s="76">
        <f t="shared" si="11"/>
        <v>0</v>
      </c>
      <c r="S37" s="76">
        <f t="shared" si="11"/>
        <v>0.29547000000000001</v>
      </c>
      <c r="T37" s="76">
        <f t="shared" si="11"/>
        <v>0</v>
      </c>
      <c r="U37" s="76">
        <f t="shared" si="11"/>
        <v>0</v>
      </c>
      <c r="AB37" s="58"/>
      <c r="AC37" s="58"/>
      <c r="AD37" s="58"/>
      <c r="AE37" s="58"/>
      <c r="AF37" s="58"/>
      <c r="AG37" s="58"/>
      <c r="AH37" s="58"/>
      <c r="AI37" s="58"/>
    </row>
    <row r="38" spans="1:35" s="71" customFormat="1" ht="13" x14ac:dyDescent="0.35">
      <c r="A38" s="13">
        <f>J8</f>
        <v>0</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Abercynrig 2</v>
      </c>
      <c r="C57" s="8" t="str">
        <f t="shared" ref="C57:U57" si="13">D8</f>
        <v>Abercynrig 10</v>
      </c>
      <c r="D57" s="8">
        <f t="shared" si="13"/>
        <v>1</v>
      </c>
      <c r="E57" s="8">
        <f t="shared" si="13"/>
        <v>2</v>
      </c>
      <c r="F57" s="8">
        <f t="shared" si="13"/>
        <v>10</v>
      </c>
      <c r="G57" s="8">
        <f t="shared" si="13"/>
        <v>11</v>
      </c>
      <c r="H57" s="8">
        <f t="shared" si="13"/>
        <v>16</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"&amp;(VLOOKUP(C14,Table24581112[],6,FALSE))</f>
        <v>Medium/Clay I Grass</v>
      </c>
      <c r="C58" s="13" t="str">
        <f>D16&amp;" I "&amp;(VLOOKUP(D14,Table24581112[],6,FALSE))</f>
        <v>Medium/Clay I Grass</v>
      </c>
      <c r="D58" s="13" t="str">
        <f>E16&amp;" I "&amp;(VLOOKUP(E14,Table24581112[],6,FALSE))</f>
        <v>Medium/Clay I Arable</v>
      </c>
      <c r="E58" s="13" t="str">
        <f>F16&amp;" I "&amp;(VLOOKUP(F14,Table24581112[],6,FALSE))</f>
        <v>Medium/Clay I Arable</v>
      </c>
      <c r="F58" s="13" t="str">
        <f>G16&amp;" I "&amp;(VLOOKUP(G14,Table24581112[],6,FALSE))</f>
        <v>Medium/Clay I Grass</v>
      </c>
      <c r="G58" s="13" t="str">
        <f>H16&amp;" I "&amp;(VLOOKUP(H14,Table24581112[],6,FALSE))</f>
        <v>Medium/Clay I Grass</v>
      </c>
      <c r="H58" s="13" t="str">
        <f>I16&amp;" I "&amp;(VLOOKUP(I14,Table24581112[],6,FALSE))</f>
        <v>Medium/Clay I Grass</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0" t="s">
        <v>132</v>
      </c>
      <c r="B59" s="75">
        <f>VLOOKUP(C$14,Table24581112[],5,FALSE)</f>
        <v>6.2</v>
      </c>
      <c r="C59" s="75">
        <f>VLOOKUP(D$14,Table24581112[],5,FALSE)</f>
        <v>6.2</v>
      </c>
      <c r="D59" s="75">
        <f>VLOOKUP(E$14,Table24581112[],5,FALSE)</f>
        <v>6.7</v>
      </c>
      <c r="E59" s="75">
        <f>VLOOKUP(F$14,Table24581112[],5,FALSE)</f>
        <v>6.7</v>
      </c>
      <c r="F59" s="75">
        <f>VLOOKUP(G$14,Table24581112[],5,FALSE)</f>
        <v>6.2</v>
      </c>
      <c r="G59" s="75">
        <f>VLOOKUP(H$14,Table24581112[],5,FALSE)</f>
        <v>6.2</v>
      </c>
      <c r="H59" s="75">
        <f>VLOOKUP(I$14,Table24581112[],5,FALSE)</f>
        <v>6.2</v>
      </c>
      <c r="I59" s="75" t="e">
        <f>VLOOKUP(J$14,Table24581112[],5,FALSE)</f>
        <v>#N/A</v>
      </c>
      <c r="J59" s="75" t="e">
        <f>VLOOKUP(K$14,Table24581112[],5,FALSE)</f>
        <v>#N/A</v>
      </c>
      <c r="K59" s="75" t="e">
        <f>VLOOKUP(L$14,Table24581112[],5,FALSE)</f>
        <v>#N/A</v>
      </c>
      <c r="L59" s="75" t="e">
        <f>VLOOKUP(M$14,Table24581112[],5,FALSE)</f>
        <v>#N/A</v>
      </c>
      <c r="M59" s="75" t="e">
        <f>VLOOKUP(N$14,Table24581112[],5,FALSE)</f>
        <v>#N/A</v>
      </c>
      <c r="N59" s="75" t="e">
        <f>VLOOKUP(O$14,Table24581112[],5,FALSE)</f>
        <v>#N/A</v>
      </c>
      <c r="O59" s="75" t="e">
        <f>VLOOKUP(P$14,Table24581112[],5,FALSE)</f>
        <v>#N/A</v>
      </c>
      <c r="P59" s="75" t="e">
        <f>VLOOKUP(Q$14,Table24581112[],5,FALSE)</f>
        <v>#N/A</v>
      </c>
      <c r="Q59" s="75" t="e">
        <f>VLOOKUP(R$14,Table24581112[],5,FALSE)</f>
        <v>#N/A</v>
      </c>
      <c r="R59" s="75" t="e">
        <f>VLOOKUP(S$14,Table24581112[],5,FALSE)</f>
        <v>#N/A</v>
      </c>
      <c r="S59" s="75" t="e">
        <f>VLOOKUP(T$14,Table24581112[],5,FALSE)</f>
        <v>#N/A</v>
      </c>
      <c r="T59" s="75" t="e">
        <f>VLOOKUP(U$14,Table24581112[],5,FALSE)</f>
        <v>#N/A</v>
      </c>
      <c r="U59" s="75" t="e">
        <f>VLOOKUP(V$14,Table24581112[],5,FALSE)</f>
        <v>#N/A</v>
      </c>
    </row>
    <row r="60" spans="1:35" s="19" customFormat="1" ht="13" x14ac:dyDescent="0.3">
      <c r="A60" s="110" t="s">
        <v>4</v>
      </c>
      <c r="B60" s="75">
        <f>C10</f>
        <v>6.2</v>
      </c>
      <c r="C60" s="75">
        <f t="shared" ref="C60:U60" si="14">D10</f>
        <v>5.2</v>
      </c>
      <c r="D60" s="75">
        <f t="shared" si="14"/>
        <v>5.5</v>
      </c>
      <c r="E60" s="75">
        <f t="shared" si="14"/>
        <v>5</v>
      </c>
      <c r="F60" s="75">
        <f t="shared" si="14"/>
        <v>5.5</v>
      </c>
      <c r="G60" s="75">
        <f t="shared" si="14"/>
        <v>5.4</v>
      </c>
      <c r="H60" s="75">
        <f t="shared" si="14"/>
        <v>5.5</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8</v>
      </c>
      <c r="E61" s="75">
        <f t="shared" si="15"/>
        <v>8</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v>
      </c>
      <c r="C64" s="76">
        <f t="shared" ref="C64:U64" si="17">(C59-C60)*C61</f>
        <v>6</v>
      </c>
      <c r="D64" s="76">
        <f t="shared" si="17"/>
        <v>9.6000000000000014</v>
      </c>
      <c r="E64" s="76">
        <f t="shared" si="17"/>
        <v>13.600000000000001</v>
      </c>
      <c r="F64" s="76">
        <f t="shared" si="17"/>
        <v>4.2000000000000011</v>
      </c>
      <c r="G64" s="76">
        <f t="shared" si="17"/>
        <v>4.7999999999999989</v>
      </c>
      <c r="H64" s="76">
        <f t="shared" si="17"/>
        <v>4.2000000000000011</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v>
      </c>
      <c r="C65" s="76">
        <f t="shared" ref="C65:U65" si="18">C63-C64</f>
        <v>-6</v>
      </c>
      <c r="D65" s="76">
        <f t="shared" si="18"/>
        <v>-9.6000000000000014</v>
      </c>
      <c r="E65" s="76">
        <f t="shared" si="18"/>
        <v>-13.600000000000001</v>
      </c>
      <c r="F65" s="76">
        <f t="shared" si="18"/>
        <v>-4.2000000000000011</v>
      </c>
      <c r="G65" s="76">
        <f t="shared" si="18"/>
        <v>-4.7999999999999989</v>
      </c>
      <c r="H65" s="76">
        <f t="shared" si="18"/>
        <v>-4.2000000000000011</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A16" zoomScale="90" zoomScaleNormal="90" workbookViewId="0">
      <selection activeCell="X19" sqref="X1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8" t="s">
        <v>41</v>
      </c>
      <c r="B1" s="128"/>
      <c r="C1" s="141" t="str">
        <f>Bryngwyn!C1:D1</f>
        <v>PAN-019774</v>
      </c>
      <c r="D1" s="142"/>
      <c r="E1" s="92" t="s">
        <v>45</v>
      </c>
      <c r="F1" s="38" t="str">
        <f>Bryngwyn!F1</f>
        <v>46.9 ha</v>
      </c>
      <c r="G1" s="124" t="s">
        <v>43</v>
      </c>
      <c r="H1" s="125"/>
      <c r="I1" s="117">
        <v>7</v>
      </c>
      <c r="J1" s="128" t="s">
        <v>153</v>
      </c>
      <c r="K1" s="128"/>
      <c r="L1" s="96">
        <v>6</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Bryngwyn!C2:D2</f>
        <v>EPR/GP3792SK</v>
      </c>
      <c r="D2" s="144"/>
      <c r="E2" s="92" t="s">
        <v>109</v>
      </c>
      <c r="F2" s="95" t="s">
        <v>166</v>
      </c>
      <c r="G2" s="126" t="s">
        <v>110</v>
      </c>
      <c r="H2" s="127"/>
      <c r="I2" s="117"/>
      <c r="J2" s="128" t="s">
        <v>158</v>
      </c>
      <c r="K2" s="128"/>
      <c r="L2" s="96">
        <v>0.48</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Bryngwyn!C3:D3</f>
        <v xml:space="preserve">Mr Richard Evans </v>
      </c>
      <c r="D3" s="144"/>
      <c r="E3" s="92" t="s">
        <v>108</v>
      </c>
      <c r="F3" s="30" t="s">
        <v>78</v>
      </c>
      <c r="G3" s="128" t="s">
        <v>159</v>
      </c>
      <c r="H3" s="128"/>
      <c r="I3" s="117"/>
      <c r="J3" s="124" t="s">
        <v>154</v>
      </c>
      <c r="K3" s="125"/>
      <c r="L3" s="96">
        <f>(L1/(L2*10000))*100</f>
        <v>0.125</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1" t="str">
        <f>Bryngwyn!C4:D4</f>
        <v>Tylebrithos, Cantref, Brecon, LD3 8LR</v>
      </c>
      <c r="D4" s="142"/>
      <c r="E4" s="93" t="s">
        <v>1</v>
      </c>
      <c r="F4" s="119" t="s">
        <v>167</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Bryngwyn!C5:D5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t="str">
        <f>Bryngwyn!C8</f>
        <v>Abercynrig 2</v>
      </c>
      <c r="D8" s="59" t="str">
        <f>Bryngwyn!D8</f>
        <v>Abercynrig 10</v>
      </c>
      <c r="E8" s="59">
        <f>Bryngwyn!E8</f>
        <v>1</v>
      </c>
      <c r="F8" s="59">
        <f>Bryngwyn!F8</f>
        <v>2</v>
      </c>
      <c r="G8" s="59">
        <f>Bryngwyn!G8</f>
        <v>10</v>
      </c>
      <c r="H8" s="59">
        <f>Bryngwyn!H8</f>
        <v>11</v>
      </c>
      <c r="I8" s="59">
        <f>Bryngwyn!I8</f>
        <v>16</v>
      </c>
      <c r="J8" s="59">
        <f>Bryngwyn!J8</f>
        <v>0</v>
      </c>
      <c r="K8" s="59">
        <f>Bryngwyn!K8</f>
        <v>0</v>
      </c>
      <c r="L8" s="59">
        <f>Bryngwyn!L8</f>
        <v>0</v>
      </c>
      <c r="M8" s="59">
        <f>Bryngwyn!M8</f>
        <v>0</v>
      </c>
      <c r="N8" s="59">
        <f>Bryngwyn!N8</f>
        <v>0</v>
      </c>
      <c r="O8" s="59">
        <f>Bryngwyn!O8</f>
        <v>0</v>
      </c>
      <c r="P8" s="59">
        <f>Bryngwyn!P8</f>
        <v>0</v>
      </c>
      <c r="Q8" s="59">
        <f>Bryngwyn!Q8</f>
        <v>0</v>
      </c>
      <c r="R8" s="59">
        <f>Bryngwyn!R8</f>
        <v>0</v>
      </c>
      <c r="S8" s="59">
        <f>Bryngwyn!S8</f>
        <v>0</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Bryngwyn!C9</f>
        <v>Moderate</v>
      </c>
      <c r="D9" s="59" t="str">
        <f>Bryngwyn!D9</f>
        <v xml:space="preserve">Moderate </v>
      </c>
      <c r="E9" s="59">
        <f>Bryngwyn!E9</f>
        <v>1</v>
      </c>
      <c r="F9" s="59">
        <f>Bryngwyn!F9</f>
        <v>1</v>
      </c>
      <c r="G9" s="59" t="str">
        <f>Bryngwyn!G9</f>
        <v>Moderate</v>
      </c>
      <c r="H9" s="59" t="str">
        <f>Bryngwyn!H9</f>
        <v xml:space="preserve">Moderate </v>
      </c>
      <c r="I9" s="59" t="str">
        <f>Bryngwyn!I9</f>
        <v xml:space="preserve">Moderate </v>
      </c>
      <c r="J9" s="59">
        <f>Bryngwyn!J9</f>
        <v>0</v>
      </c>
      <c r="K9" s="59">
        <f>Bryngwyn!K9</f>
        <v>0</v>
      </c>
      <c r="L9" s="59">
        <f>Bryngwyn!L9</f>
        <v>0</v>
      </c>
      <c r="M9" s="59">
        <f>Bryngwyn!M9</f>
        <v>0</v>
      </c>
      <c r="N9" s="59">
        <f>Bryngwyn!N9</f>
        <v>0</v>
      </c>
      <c r="O9" s="59">
        <f>Bryngwyn!O9</f>
        <v>0</v>
      </c>
      <c r="P9" s="59">
        <f>Bryngwyn!P9</f>
        <v>0</v>
      </c>
      <c r="Q9" s="59">
        <f>Bryngwyn!Q9</f>
        <v>0</v>
      </c>
      <c r="R9" s="59">
        <f>Bryngwyn!R9</f>
        <v>0</v>
      </c>
      <c r="S9" s="59">
        <f>Bryngwyn!S9</f>
        <v>0</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Bryngwyn!C10</f>
        <v>6.2</v>
      </c>
      <c r="D10" s="59">
        <f>Bryngwyn!D10</f>
        <v>5.2</v>
      </c>
      <c r="E10" s="59">
        <f>Bryngwyn!E10</f>
        <v>5.5</v>
      </c>
      <c r="F10" s="59">
        <f>Bryngwyn!F10</f>
        <v>5</v>
      </c>
      <c r="G10" s="59">
        <f>Bryngwyn!G10</f>
        <v>5.5</v>
      </c>
      <c r="H10" s="59">
        <f>Bryngwyn!H10</f>
        <v>5.4</v>
      </c>
      <c r="I10" s="59">
        <f>Bryngwyn!I10</f>
        <v>5.5</v>
      </c>
      <c r="J10" s="59">
        <f>Bryngwyn!J10</f>
        <v>0</v>
      </c>
      <c r="K10" s="59">
        <f>Bryngwyn!K10</f>
        <v>0</v>
      </c>
      <c r="L10" s="59">
        <f>Bryngwyn!L10</f>
        <v>0</v>
      </c>
      <c r="M10" s="59">
        <f>Bryngwyn!M10</f>
        <v>0</v>
      </c>
      <c r="N10" s="59">
        <f>Bryngwyn!N10</f>
        <v>0</v>
      </c>
      <c r="O10" s="59">
        <f>Bryngwyn!O10</f>
        <v>0</v>
      </c>
      <c r="P10" s="59">
        <f>Bryngwyn!P10</f>
        <v>0</v>
      </c>
      <c r="Q10" s="59">
        <f>Bryngwyn!Q10</f>
        <v>0</v>
      </c>
      <c r="R10" s="59">
        <f>Bryngwyn!R10</f>
        <v>0</v>
      </c>
      <c r="S10" s="59">
        <f>Bryngwyn!S10</f>
        <v>0</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Bryngwyn!C11</f>
        <v>3</v>
      </c>
      <c r="D11" s="59">
        <f>Bryngwyn!D11</f>
        <v>3</v>
      </c>
      <c r="E11" s="59">
        <f>Bryngwyn!E11</f>
        <v>3</v>
      </c>
      <c r="F11" s="59">
        <f>Bryngwyn!F11</f>
        <v>4</v>
      </c>
      <c r="G11" s="59">
        <f>Bryngwyn!G11</f>
        <v>2</v>
      </c>
      <c r="H11" s="59">
        <f>Bryngwyn!H11</f>
        <v>2</v>
      </c>
      <c r="I11" s="59">
        <f>Bryngwyn!I11</f>
        <v>3</v>
      </c>
      <c r="J11" s="59">
        <f>Bryngwyn!J11</f>
        <v>0</v>
      </c>
      <c r="K11" s="59">
        <f>Bryngwyn!K11</f>
        <v>0</v>
      </c>
      <c r="L11" s="59">
        <f>Bryngwyn!L11</f>
        <v>0</v>
      </c>
      <c r="M11" s="59">
        <f>Bryngwyn!M11</f>
        <v>0</v>
      </c>
      <c r="N11" s="59">
        <f>Bryngwyn!N11</f>
        <v>0</v>
      </c>
      <c r="O11" s="59">
        <f>Bryngwyn!O11</f>
        <v>0</v>
      </c>
      <c r="P11" s="59">
        <f>Bryngwyn!P11</f>
        <v>0</v>
      </c>
      <c r="Q11" s="59">
        <f>Bryngwyn!Q11</f>
        <v>0</v>
      </c>
      <c r="R11" s="59">
        <f>Bryngwyn!R11</f>
        <v>0</v>
      </c>
      <c r="S11" s="59">
        <f>Bryngwyn!S11</f>
        <v>0</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Bryngwyn!C12</f>
        <v>2</v>
      </c>
      <c r="D12" s="59">
        <f>Bryngwyn!D12</f>
        <v>1</v>
      </c>
      <c r="E12" s="59">
        <f>Bryngwyn!E12</f>
        <v>2</v>
      </c>
      <c r="F12" s="59">
        <f>Bryngwyn!F12</f>
        <v>1</v>
      </c>
      <c r="G12" s="59">
        <f>Bryngwyn!G12</f>
        <v>1</v>
      </c>
      <c r="H12" s="59">
        <f>Bryngwyn!H12</f>
        <v>1</v>
      </c>
      <c r="I12" s="59">
        <f>Bryngwyn!I12</f>
        <v>1</v>
      </c>
      <c r="J12" s="59">
        <f>Bryngwyn!J12</f>
        <v>0</v>
      </c>
      <c r="K12" s="59">
        <f>Bryngwyn!K12</f>
        <v>0</v>
      </c>
      <c r="L12" s="59">
        <f>Bryngwyn!L12</f>
        <v>0</v>
      </c>
      <c r="M12" s="59">
        <f>Bryngwyn!M12</f>
        <v>0</v>
      </c>
      <c r="N12" s="59">
        <f>Bryngwyn!N12</f>
        <v>0</v>
      </c>
      <c r="O12" s="59">
        <f>Bryngwyn!O12</f>
        <v>0</v>
      </c>
      <c r="P12" s="59">
        <f>Bryngwyn!P12</f>
        <v>0</v>
      </c>
      <c r="Q12" s="59">
        <f>Bryngwyn!Q12</f>
        <v>0</v>
      </c>
      <c r="R12" s="59">
        <f>Bryngwyn!R12</f>
        <v>0</v>
      </c>
      <c r="S12" s="59">
        <f>Bryngwyn!S12</f>
        <v>0</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Bryngwyn!C13</f>
        <v>3</v>
      </c>
      <c r="D13" s="59">
        <f>Bryngwyn!D13</f>
        <v>2</v>
      </c>
      <c r="E13" s="59">
        <f>Bryngwyn!E13</f>
        <v>3</v>
      </c>
      <c r="F13" s="59">
        <f>Bryngwyn!F13</f>
        <v>2</v>
      </c>
      <c r="G13" s="59">
        <f>Bryngwyn!G13</f>
        <v>2</v>
      </c>
      <c r="H13" s="59">
        <f>Bryngwyn!H13</f>
        <v>2</v>
      </c>
      <c r="I13" s="59">
        <f>Bryngwyn!I13</f>
        <v>3</v>
      </c>
      <c r="J13" s="59">
        <f>Bryngwyn!J13</f>
        <v>0</v>
      </c>
      <c r="K13" s="59">
        <f>Bryngwyn!K13</f>
        <v>0</v>
      </c>
      <c r="L13" s="59">
        <f>Bryngwyn!L13</f>
        <v>0</v>
      </c>
      <c r="M13" s="59">
        <f>Bryngwyn!M13</f>
        <v>0</v>
      </c>
      <c r="N13" s="59">
        <f>Bryngwyn!N13</f>
        <v>0</v>
      </c>
      <c r="O13" s="59">
        <f>Bryngwyn!O13</f>
        <v>0</v>
      </c>
      <c r="P13" s="59">
        <f>Bryngwyn!P13</f>
        <v>0</v>
      </c>
      <c r="Q13" s="59">
        <f>Bryngwyn!Q13</f>
        <v>0</v>
      </c>
      <c r="R13" s="59">
        <f>Bryngwyn!R13</f>
        <v>0</v>
      </c>
      <c r="S13" s="59">
        <f>Bryngwyn!S13</f>
        <v>0</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Bryngwyn!C14</f>
        <v xml:space="preserve">Grass Silage (25% DM) </v>
      </c>
      <c r="D14" s="101" t="str">
        <f>Bryngwyn!D14</f>
        <v xml:space="preserve">Grass Silage (25% DM) </v>
      </c>
      <c r="E14" s="101" t="str">
        <f>Bryngwyn!E14</f>
        <v>Winter barley/triticale/rye</v>
      </c>
      <c r="F14" s="101" t="str">
        <f>Bryngwyn!F14</f>
        <v>Winter barley/triticale/rye</v>
      </c>
      <c r="G14" s="101" t="str">
        <f>Bryngwyn!G14</f>
        <v xml:space="preserve">Grass Silage (25% DM) </v>
      </c>
      <c r="H14" s="101" t="str">
        <f>Bryngwyn!H14</f>
        <v xml:space="preserve">Grass Silage (25% DM) </v>
      </c>
      <c r="I14" s="101" t="str">
        <f>Bryngwyn!I14</f>
        <v xml:space="preserve">Grass Silage (25% DM) </v>
      </c>
      <c r="J14" s="101">
        <f>Bryngwyn!J14</f>
        <v>0</v>
      </c>
      <c r="K14" s="101">
        <f>Bryngwyn!K14</f>
        <v>0</v>
      </c>
      <c r="L14" s="101">
        <f>Bryngwyn!L14</f>
        <v>0</v>
      </c>
      <c r="M14" s="101">
        <f>Bryngwyn!M14</f>
        <v>0</v>
      </c>
      <c r="N14" s="101">
        <f>Bryngwyn!N14</f>
        <v>0</v>
      </c>
      <c r="O14" s="101">
        <f>Bryngwyn!O14</f>
        <v>0</v>
      </c>
      <c r="P14" s="101">
        <f>Bryngwyn!P14</f>
        <v>0</v>
      </c>
      <c r="Q14" s="101">
        <f>Bryngwyn!Q14</f>
        <v>0</v>
      </c>
      <c r="R14" s="101">
        <f>Bryngwyn!R14</f>
        <v>0</v>
      </c>
      <c r="S14" s="101">
        <f>Bryngwyn!S14</f>
        <v>0</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6" t="s">
        <v>9</v>
      </c>
      <c r="B15" s="136"/>
      <c r="C15" s="59">
        <f>Bryngwyn!C15</f>
        <v>38</v>
      </c>
      <c r="D15" s="59">
        <f>Bryngwyn!D15</f>
        <v>38</v>
      </c>
      <c r="E15" s="59">
        <f>Bryngwyn!E15</f>
        <v>6.5</v>
      </c>
      <c r="F15" s="59">
        <f>Bryngwyn!F15</f>
        <v>6.5</v>
      </c>
      <c r="G15" s="59">
        <f>Bryngwyn!G15</f>
        <v>38</v>
      </c>
      <c r="H15" s="59">
        <f>Bryngwyn!H15</f>
        <v>38</v>
      </c>
      <c r="I15" s="59">
        <f>Bryngwyn!I15</f>
        <v>38</v>
      </c>
      <c r="J15" s="59">
        <f>Bryngwyn!J15</f>
        <v>0</v>
      </c>
      <c r="K15" s="59">
        <f>Bryngwyn!K15</f>
        <v>0</v>
      </c>
      <c r="L15" s="59">
        <f>Bryngwyn!L15</f>
        <v>0</v>
      </c>
      <c r="M15" s="59">
        <f>Bryngwyn!M15</f>
        <v>0</v>
      </c>
      <c r="N15" s="59">
        <f>Bryngwyn!N15</f>
        <v>0</v>
      </c>
      <c r="O15" s="59">
        <f>Bryngwyn!O15</f>
        <v>0</v>
      </c>
      <c r="P15" s="59">
        <f>Bryngwyn!P15</f>
        <v>0</v>
      </c>
      <c r="Q15" s="59">
        <f>Bryngwyn!Q15</f>
        <v>0</v>
      </c>
      <c r="R15" s="59">
        <f>Bryngwyn!R15</f>
        <v>0</v>
      </c>
      <c r="S15" s="59">
        <f>Bryngwyn!S15</f>
        <v>0</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f>Bryngwyn!J16</f>
        <v>0</v>
      </c>
      <c r="K16" s="102">
        <f>Bryngwyn!K16</f>
        <v>0</v>
      </c>
      <c r="L16" s="102">
        <f>Bryngwyn!L16</f>
        <v>0</v>
      </c>
      <c r="M16" s="102">
        <f>Bryngwyn!M16</f>
        <v>0</v>
      </c>
      <c r="N16" s="102">
        <f>Bryngwyn!N16</f>
        <v>0</v>
      </c>
      <c r="O16" s="102">
        <f>Bryngwyn!O16</f>
        <v>0</v>
      </c>
      <c r="P16" s="102">
        <f>Bryngwyn!P16</f>
        <v>0</v>
      </c>
      <c r="Q16" s="102">
        <f>Bryngwyn!Q16</f>
        <v>0</v>
      </c>
      <c r="R16" s="102">
        <f>Bryngwyn!R16</f>
        <v>0</v>
      </c>
      <c r="S16" s="102">
        <f>Bryngwyn!S16</f>
        <v>0</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64.599999999999994</v>
      </c>
      <c r="D17" s="27">
        <f t="shared" ref="D17:V17" si="0">(VLOOKUP(D$14,$AI2:$AK26,2,FALSE))*D$15</f>
        <v>64.599999999999994</v>
      </c>
      <c r="E17" s="27">
        <f t="shared" si="0"/>
        <v>55.25</v>
      </c>
      <c r="F17" s="27">
        <f t="shared" si="0"/>
        <v>55.25</v>
      </c>
      <c r="G17" s="27">
        <f t="shared" si="0"/>
        <v>64.599999999999994</v>
      </c>
      <c r="H17" s="27">
        <f t="shared" si="0"/>
        <v>64.599999999999994</v>
      </c>
      <c r="I17" s="27">
        <f t="shared" si="0"/>
        <v>64.599999999999994</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3.6701820000000001</v>
      </c>
      <c r="D18" s="16">
        <f>$D32</f>
        <v>3.6701820000000001</v>
      </c>
      <c r="E18" s="16">
        <f>$D33</f>
        <v>3.6701820000000001</v>
      </c>
      <c r="F18" s="16">
        <f>$D34</f>
        <v>3.6701820000000001</v>
      </c>
      <c r="G18" s="16">
        <f>$D35</f>
        <v>3.6701820000000001</v>
      </c>
      <c r="H18" s="16">
        <f>$D36</f>
        <v>3.6701820000000001</v>
      </c>
      <c r="I18" s="16">
        <f>$D37</f>
        <v>3.6701820000000001</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-60.929817999999997</v>
      </c>
      <c r="D19" s="16">
        <f t="shared" ref="D19:V19" si="1">D18-D17</f>
        <v>-60.929817999999997</v>
      </c>
      <c r="E19" s="16">
        <f t="shared" si="1"/>
        <v>-51.579818000000003</v>
      </c>
      <c r="F19" s="16">
        <f t="shared" si="1"/>
        <v>-51.579818000000003</v>
      </c>
      <c r="G19" s="16">
        <f t="shared" si="1"/>
        <v>-60.929817999999997</v>
      </c>
      <c r="H19" s="16">
        <f t="shared" si="1"/>
        <v>-60.929817999999997</v>
      </c>
      <c r="I19" s="16">
        <f t="shared" si="1"/>
        <v>-60.929817999999997</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228</v>
      </c>
      <c r="D21" s="27">
        <f t="shared" ref="D21:V21" si="2">(VLOOKUP(D$14,$AI2:$AK26,3,FALSE))*D$15</f>
        <v>228</v>
      </c>
      <c r="E21" s="27">
        <f t="shared" si="2"/>
        <v>68.25</v>
      </c>
      <c r="F21" s="27">
        <f t="shared" si="2"/>
        <v>68.25</v>
      </c>
      <c r="G21" s="27">
        <f t="shared" si="2"/>
        <v>228</v>
      </c>
      <c r="H21" s="27">
        <f t="shared" si="2"/>
        <v>228</v>
      </c>
      <c r="I21" s="27">
        <f t="shared" si="2"/>
        <v>228</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1.5616800000000004</v>
      </c>
      <c r="D22" s="16">
        <f>$E32</f>
        <v>1.5616800000000004</v>
      </c>
      <c r="E22" s="16">
        <f>$E33</f>
        <v>1.5616800000000004</v>
      </c>
      <c r="F22" s="16">
        <f>$E34</f>
        <v>1.5616800000000004</v>
      </c>
      <c r="G22" s="16">
        <f>$E35</f>
        <v>1.5616800000000004</v>
      </c>
      <c r="H22" s="16">
        <f>$E36</f>
        <v>1.5616800000000004</v>
      </c>
      <c r="I22" s="16">
        <f>$E37</f>
        <v>1.5616800000000004</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-226.43832</v>
      </c>
      <c r="D23" s="16">
        <f t="shared" ref="D23:V23" si="3">D22-D21</f>
        <v>-226.43832</v>
      </c>
      <c r="E23" s="16">
        <f t="shared" si="3"/>
        <v>-66.688320000000004</v>
      </c>
      <c r="F23" s="16">
        <f t="shared" si="3"/>
        <v>-66.688320000000004</v>
      </c>
      <c r="G23" s="16">
        <f t="shared" si="3"/>
        <v>-226.43832</v>
      </c>
      <c r="H23" s="16">
        <f t="shared" si="3"/>
        <v>-226.43832</v>
      </c>
      <c r="I23" s="16">
        <f t="shared" si="3"/>
        <v>-226.43832</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2.4</v>
      </c>
      <c r="C28" s="15">
        <v>0.48</v>
      </c>
      <c r="D28" s="15">
        <v>2.6700000000000002E-2</v>
      </c>
      <c r="E28" s="15">
        <v>2.1600000000000001E-2</v>
      </c>
      <c r="F28" s="15">
        <v>524</v>
      </c>
      <c r="G28" s="15">
        <v>33.1</v>
      </c>
      <c r="H28" s="15">
        <v>381</v>
      </c>
      <c r="I28" s="15">
        <v>193.9</v>
      </c>
      <c r="J28" s="15">
        <v>2.12</v>
      </c>
      <c r="K28" s="15">
        <v>0.84</v>
      </c>
      <c r="L28" s="15">
        <v>87.9</v>
      </c>
      <c r="M28" s="15">
        <v>27.7</v>
      </c>
      <c r="N28" s="15">
        <v>5680</v>
      </c>
      <c r="O28" s="15">
        <v>535000</v>
      </c>
      <c r="P28" s="15"/>
      <c r="Q28" s="15">
        <v>2590</v>
      </c>
      <c r="R28" s="15"/>
      <c r="S28" s="15">
        <v>56.6</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Abercynrig 2</v>
      </c>
      <c r="B31" s="15">
        <v>250</v>
      </c>
      <c r="C31" s="76">
        <f>IF(C$27="%w/w SAR",((C$28*10)*$B31),IF(C$27="%w/w DM",(((C$28*10)*($B$28/100))*$B31),IF(C$27="kg/t SAR",(C$28*$B31),IF(C$27="kg/t DM",((C$28*($B$28/100))*$B31),IF(C$27="mg/kg SAR",((C$28*0.001)*$B31),IF(C$27="mg/kg DM",(((C$28*0.001)*($B$28/100))*$B31),0))))))</f>
        <v>28.8</v>
      </c>
      <c r="D31" s="76">
        <f>(IF(D$27="%w/w SAR",((D$28*10)*$B31),IF(D$27="%w/w DM",(((D$28*10)*($B$28/100))*$B31),IF(D$27="kg/t SAR",(D$28*$B31),IF(D$27="kg/t DM",((D$28*($B$28/100))*$B31),IF(D$27="mg/kg SAR",((D$28*0.001)*$B31),IF(D$27="mg/kg DM",(((D$28*0.001)*($B$28/100))*$B31),"0")))))))*2.291</f>
        <v>3.6701820000000001</v>
      </c>
      <c r="E31" s="76">
        <f>(IF(E$27="%w/w SAR",((E$28*10)*$B31),IF(E$27="%w/w DM",(((E$28*10)*($B$28/100))*$B31),IF(E$27="kg/t SAR",(E$28*$B31),IF(E$27="kg/t DM",((E$28*($B$28/100))*$B31),IF(E$27="mg/kg SAR",((E$28*0.001)*$B31),IF(E$27="mg/kg DM",(((E$28*0.001)*($B$28/100))*$B31),"0")))))))*1.205</f>
        <v>1.5616800000000004</v>
      </c>
      <c r="F31" s="76">
        <f>(IF(F$27="%w/w SAR",((F$28*10)*$B31),IF(F$27="%w/w DM",(((F$28*10)*($B$28/100))*$B31),IF(F$27="kg/t SAR",(F$28*$B31),IF(F$27="kg/t DM",((F$28*($B$28/100))*$B31),IF(F$27="mg/kg SAR",((F$28*0.001)*$B31),IF(F$27="mg/kg DM",(((F$28*0.001)*($B$28/100))*$B31),"0")))))))*1.658</f>
        <v>5.2127520000000001</v>
      </c>
      <c r="G31" s="76">
        <f t="shared" ref="G31:P46" si="5">IF(G$27="%w/w SAR",((G$28*10)*$B31),IF(G$27="%w/w DM",(((G$28*10)*($B$28/100))*$B31),IF(G$27="kg/t SAR",(G$28*$B31),IF(G$27="kg/t DM",((G$28*($B$28/100))*$B31),IF(G$27="mg/kg SAR",((G$28*0.001)*$B31),IF(G$27="mg/kg DM",(((G$28*0.001)*($B$28/100))*$B31),0))))))</f>
        <v>0.19860000000000003</v>
      </c>
      <c r="H31" s="76">
        <f t="shared" si="5"/>
        <v>2.2860000000000005</v>
      </c>
      <c r="I31" s="76">
        <f t="shared" si="5"/>
        <v>1.1634000000000002</v>
      </c>
      <c r="J31" s="76">
        <f t="shared" si="5"/>
        <v>1.2720000000000002E-2</v>
      </c>
      <c r="K31" s="76">
        <f t="shared" si="5"/>
        <v>5.0400000000000002E-3</v>
      </c>
      <c r="L31" s="76">
        <f t="shared" si="5"/>
        <v>0.52739999999999998</v>
      </c>
      <c r="M31" s="76">
        <f t="shared" si="5"/>
        <v>0.16620000000000001</v>
      </c>
      <c r="N31" s="76">
        <f t="shared" si="5"/>
        <v>34.08</v>
      </c>
      <c r="O31" s="76">
        <f t="shared" si="5"/>
        <v>3210</v>
      </c>
      <c r="P31" s="76">
        <f t="shared" si="5"/>
        <v>0</v>
      </c>
      <c r="Q31" s="76">
        <f>(IF(Q$27="%w/w SAR",((Q$28*10)*$B31),IF(Q$27="%w/w DM",(((Q$28*10)*($B$28/100))*$B31),IF(Q$27="kg/t SAR",(Q$28*$B31),IF(Q$27="kg/t DM",((Q$28*($B$28/100))*$B31),IF(Q$27="mg/kg SAR",((Q$28*0.001)*$B31),IF(Q$27="mg/kg DM",(((Q$28*0.001)*($B$28/100))*$B31),0)))))))*2.5</f>
        <v>38.849999999999994</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0.33960000000000001</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Abercynrig 10</v>
      </c>
      <c r="B32" s="15">
        <v>250</v>
      </c>
      <c r="C32" s="76">
        <f t="shared" ref="C32:C50" si="6">IF(C$27="%w/w SAR",((C$28*10)*$B32),IF(C$27="%w/w DM",(((C$28*10)*($B$28/100))*$B32),IF(C$27="kg/t SAR",(C$28*$B32),IF(C$27="kg/t DM",((C$28*($B$28/100))*$B32),IF(C$27="mg/kg SAR",((C$28*0.001)*$B32),IF(C$27="mg/kg DM",(((C$28*0.001)*($B$28/100))*$B32),0))))))</f>
        <v>28.8</v>
      </c>
      <c r="D32" s="76">
        <f t="shared" ref="D32:D50" si="7">(IF(D$27="%w/w SAR",((D$28*10)*$B32),IF(D$27="%w/w DM",(((D$28*10)*($B$28/100))*$B32),IF(D$27="kg/t SAR",(D$28*$B32),IF(D$27="kg/t DM",((D$28*($B$28/100))*$B32),IF(D$27="mg/kg SAR",((D$28*0.001)*$B32),IF(D$27="mg/kg DM",(((D$28*0.001)*($B$28/100))*$B32),"0")))))))*2.291</f>
        <v>3.6701820000000001</v>
      </c>
      <c r="E32" s="76">
        <f t="shared" ref="E32:E50" si="8">(IF(E$27="%w/w SAR",((E$28*10)*$B32),IF(E$27="%w/w DM",(((E$28*10)*($B$28/100))*$B32),IF(E$27="kg/t SAR",(E$28*$B32),IF(E$27="kg/t DM",((E$28*($B$28/100))*$B32),IF(E$27="mg/kg SAR",((E$28*0.001)*$B32),IF(E$27="mg/kg DM",(((E$28*0.001)*($B$28/100))*$B32),"0")))))))*1.205</f>
        <v>1.5616800000000004</v>
      </c>
      <c r="F32" s="76">
        <f t="shared" ref="F32:F50" si="9">(IF(F$27="%w/w SAR",((F$28*10)*$B32),IF(F$27="%w/w DM",(((F$28*10)*($B$28/100))*$B32),IF(F$27="kg/t SAR",(F$28*$B32),IF(F$27="kg/t DM",((F$28*($B$28/100))*$B32),IF(F$27="mg/kg SAR",((F$28*0.001)*$B32),IF(F$27="mg/kg DM",(((F$28*0.001)*($B$28/100))*$B32),"0")))))))*1.658</f>
        <v>5.2127520000000001</v>
      </c>
      <c r="G32" s="76">
        <f t="shared" si="5"/>
        <v>0.19860000000000003</v>
      </c>
      <c r="H32" s="76">
        <f t="shared" si="5"/>
        <v>2.2860000000000005</v>
      </c>
      <c r="I32" s="76">
        <f t="shared" si="5"/>
        <v>1.1634000000000002</v>
      </c>
      <c r="J32" s="76">
        <f t="shared" si="5"/>
        <v>1.2720000000000002E-2</v>
      </c>
      <c r="K32" s="76">
        <f t="shared" si="5"/>
        <v>5.0400000000000002E-3</v>
      </c>
      <c r="L32" s="76">
        <f t="shared" si="5"/>
        <v>0.52739999999999998</v>
      </c>
      <c r="M32" s="76">
        <f t="shared" si="5"/>
        <v>0.16620000000000001</v>
      </c>
      <c r="N32" s="76">
        <f t="shared" si="5"/>
        <v>34.08</v>
      </c>
      <c r="O32" s="76">
        <f t="shared" si="5"/>
        <v>3210</v>
      </c>
      <c r="P32" s="76">
        <f t="shared" si="5"/>
        <v>0</v>
      </c>
      <c r="Q32" s="76">
        <f t="shared" ref="Q32:Q50" si="10">(IF(Q$27="%w/w SAR",((Q$28*10)*$B32),IF(Q$27="%w/w DM",(((Q$28*10)*($B$28/100))*$B32),IF(Q$27="kg/t SAR",(Q$28*$B32),IF(Q$27="kg/t DM",((Q$28*($B$28/100))*$B32),IF(Q$27="mg/kg SAR",((Q$28*0.001)*$B32),IF(Q$27="mg/kg DM",(((Q$28*0.001)*($B$28/100))*$B32),0)))))))*2.5</f>
        <v>38.849999999999994</v>
      </c>
      <c r="R32" s="76">
        <f t="shared" ref="R32:U50" si="11">IF(R$27="%w/w SAR",((R$28*10)*$B32),IF(R$27="%w/w DM",(((R$28*10)*($B$28/100))*$B32),IF(R$27="kg/t SAR",(R$28*$B32),IF(R$27="kg/t DM",((R$28*($B$28/100))*$B32),IF(R$27="mg/kg SAR",((R$28*0.001)*$B32),IF(R$27="mg/kg DM",(((R$28*0.001)*($B$28/100))*$B32),0))))))</f>
        <v>0</v>
      </c>
      <c r="S32" s="76">
        <f t="shared" si="11"/>
        <v>0.33960000000000001</v>
      </c>
      <c r="T32" s="76">
        <f t="shared" si="11"/>
        <v>0</v>
      </c>
      <c r="U32" s="76">
        <f t="shared" si="11"/>
        <v>0</v>
      </c>
      <c r="AB32" s="58"/>
      <c r="AC32" s="58"/>
      <c r="AD32" s="58"/>
      <c r="AE32" s="58"/>
      <c r="AF32" s="58"/>
      <c r="AG32" s="58"/>
      <c r="AH32" s="58"/>
      <c r="AI32" s="58"/>
    </row>
    <row r="33" spans="1:35" s="71" customFormat="1" ht="13" x14ac:dyDescent="0.35">
      <c r="A33" s="13">
        <f>E8</f>
        <v>1</v>
      </c>
      <c r="B33" s="15">
        <v>250</v>
      </c>
      <c r="C33" s="76">
        <f t="shared" si="6"/>
        <v>28.8</v>
      </c>
      <c r="D33" s="76">
        <f t="shared" si="7"/>
        <v>3.6701820000000001</v>
      </c>
      <c r="E33" s="76">
        <f t="shared" si="8"/>
        <v>1.5616800000000004</v>
      </c>
      <c r="F33" s="76">
        <f t="shared" si="9"/>
        <v>5.2127520000000001</v>
      </c>
      <c r="G33" s="76">
        <f t="shared" si="5"/>
        <v>0.19860000000000003</v>
      </c>
      <c r="H33" s="76">
        <f t="shared" si="5"/>
        <v>2.2860000000000005</v>
      </c>
      <c r="I33" s="76">
        <f t="shared" si="5"/>
        <v>1.1634000000000002</v>
      </c>
      <c r="J33" s="76">
        <f t="shared" si="5"/>
        <v>1.2720000000000002E-2</v>
      </c>
      <c r="K33" s="76">
        <f t="shared" si="5"/>
        <v>5.0400000000000002E-3</v>
      </c>
      <c r="L33" s="76">
        <f t="shared" si="5"/>
        <v>0.52739999999999998</v>
      </c>
      <c r="M33" s="76">
        <f t="shared" si="5"/>
        <v>0.16620000000000001</v>
      </c>
      <c r="N33" s="76">
        <f t="shared" si="5"/>
        <v>34.08</v>
      </c>
      <c r="O33" s="76">
        <f t="shared" si="5"/>
        <v>3210</v>
      </c>
      <c r="P33" s="76">
        <f t="shared" si="5"/>
        <v>0</v>
      </c>
      <c r="Q33" s="76">
        <f t="shared" si="10"/>
        <v>38.849999999999994</v>
      </c>
      <c r="R33" s="76">
        <f t="shared" si="11"/>
        <v>0</v>
      </c>
      <c r="S33" s="76">
        <f t="shared" si="11"/>
        <v>0.33960000000000001</v>
      </c>
      <c r="T33" s="76">
        <f t="shared" si="11"/>
        <v>0</v>
      </c>
      <c r="U33" s="76">
        <f t="shared" si="11"/>
        <v>0</v>
      </c>
      <c r="AB33" s="58"/>
      <c r="AC33" s="58"/>
      <c r="AD33" s="58"/>
      <c r="AE33" s="58"/>
      <c r="AF33" s="58"/>
      <c r="AG33" s="58"/>
      <c r="AH33" s="58"/>
      <c r="AI33" s="58"/>
    </row>
    <row r="34" spans="1:35" s="71" customFormat="1" ht="13" x14ac:dyDescent="0.35">
      <c r="A34" s="13">
        <f>F8</f>
        <v>2</v>
      </c>
      <c r="B34" s="15">
        <v>250</v>
      </c>
      <c r="C34" s="76">
        <f t="shared" si="6"/>
        <v>28.8</v>
      </c>
      <c r="D34" s="76">
        <f t="shared" si="7"/>
        <v>3.6701820000000001</v>
      </c>
      <c r="E34" s="76">
        <f t="shared" si="8"/>
        <v>1.5616800000000004</v>
      </c>
      <c r="F34" s="76">
        <f t="shared" si="9"/>
        <v>5.2127520000000001</v>
      </c>
      <c r="G34" s="76">
        <f t="shared" si="5"/>
        <v>0.19860000000000003</v>
      </c>
      <c r="H34" s="76">
        <f t="shared" si="5"/>
        <v>2.2860000000000005</v>
      </c>
      <c r="I34" s="76">
        <f t="shared" si="5"/>
        <v>1.1634000000000002</v>
      </c>
      <c r="J34" s="76">
        <f t="shared" si="5"/>
        <v>1.2720000000000002E-2</v>
      </c>
      <c r="K34" s="76">
        <f t="shared" si="5"/>
        <v>5.0400000000000002E-3</v>
      </c>
      <c r="L34" s="76">
        <f t="shared" si="5"/>
        <v>0.52739999999999998</v>
      </c>
      <c r="M34" s="76">
        <f t="shared" si="5"/>
        <v>0.16620000000000001</v>
      </c>
      <c r="N34" s="76">
        <f t="shared" si="5"/>
        <v>34.08</v>
      </c>
      <c r="O34" s="76">
        <f t="shared" si="5"/>
        <v>3210</v>
      </c>
      <c r="P34" s="76">
        <f t="shared" si="5"/>
        <v>0</v>
      </c>
      <c r="Q34" s="76">
        <f t="shared" si="10"/>
        <v>38.849999999999994</v>
      </c>
      <c r="R34" s="76">
        <f t="shared" si="11"/>
        <v>0</v>
      </c>
      <c r="S34" s="76">
        <f t="shared" si="11"/>
        <v>0.33960000000000001</v>
      </c>
      <c r="T34" s="76">
        <f t="shared" si="11"/>
        <v>0</v>
      </c>
      <c r="U34" s="76">
        <f t="shared" si="11"/>
        <v>0</v>
      </c>
      <c r="AB34" s="58"/>
      <c r="AC34" s="58"/>
      <c r="AD34" s="58"/>
      <c r="AE34" s="58"/>
      <c r="AF34" s="58"/>
      <c r="AG34" s="58"/>
      <c r="AH34" s="58"/>
      <c r="AI34" s="58"/>
    </row>
    <row r="35" spans="1:35" s="71" customFormat="1" ht="13" x14ac:dyDescent="0.35">
      <c r="A35" s="13">
        <f>G8</f>
        <v>10</v>
      </c>
      <c r="B35" s="15">
        <v>250</v>
      </c>
      <c r="C35" s="76">
        <f t="shared" si="6"/>
        <v>28.8</v>
      </c>
      <c r="D35" s="76">
        <f t="shared" si="7"/>
        <v>3.6701820000000001</v>
      </c>
      <c r="E35" s="76">
        <f t="shared" si="8"/>
        <v>1.5616800000000004</v>
      </c>
      <c r="F35" s="76">
        <f t="shared" si="9"/>
        <v>5.2127520000000001</v>
      </c>
      <c r="G35" s="76">
        <f t="shared" si="5"/>
        <v>0.19860000000000003</v>
      </c>
      <c r="H35" s="76">
        <f t="shared" si="5"/>
        <v>2.2860000000000005</v>
      </c>
      <c r="I35" s="76">
        <f t="shared" si="5"/>
        <v>1.1634000000000002</v>
      </c>
      <c r="J35" s="76">
        <f t="shared" si="5"/>
        <v>1.2720000000000002E-2</v>
      </c>
      <c r="K35" s="76">
        <f t="shared" si="5"/>
        <v>5.0400000000000002E-3</v>
      </c>
      <c r="L35" s="76">
        <f t="shared" si="5"/>
        <v>0.52739999999999998</v>
      </c>
      <c r="M35" s="76">
        <f t="shared" si="5"/>
        <v>0.16620000000000001</v>
      </c>
      <c r="N35" s="76">
        <f t="shared" si="5"/>
        <v>34.08</v>
      </c>
      <c r="O35" s="76">
        <f t="shared" si="5"/>
        <v>3210</v>
      </c>
      <c r="P35" s="76">
        <f t="shared" si="5"/>
        <v>0</v>
      </c>
      <c r="Q35" s="76">
        <f t="shared" si="10"/>
        <v>38.849999999999994</v>
      </c>
      <c r="R35" s="76">
        <f t="shared" si="11"/>
        <v>0</v>
      </c>
      <c r="S35" s="76">
        <f t="shared" si="11"/>
        <v>0.33960000000000001</v>
      </c>
      <c r="T35" s="76">
        <f t="shared" si="11"/>
        <v>0</v>
      </c>
      <c r="U35" s="76">
        <f t="shared" si="11"/>
        <v>0</v>
      </c>
      <c r="AB35" s="58"/>
      <c r="AC35" s="58"/>
      <c r="AD35" s="58"/>
      <c r="AE35" s="58"/>
      <c r="AF35" s="58"/>
      <c r="AG35" s="58"/>
      <c r="AH35" s="58"/>
      <c r="AI35" s="58"/>
    </row>
    <row r="36" spans="1:35" s="71" customFormat="1" ht="13" x14ac:dyDescent="0.35">
      <c r="A36" s="13">
        <f>H8</f>
        <v>11</v>
      </c>
      <c r="B36" s="15">
        <v>250</v>
      </c>
      <c r="C36" s="76">
        <f t="shared" si="6"/>
        <v>28.8</v>
      </c>
      <c r="D36" s="76">
        <f t="shared" si="7"/>
        <v>3.6701820000000001</v>
      </c>
      <c r="E36" s="76">
        <f t="shared" si="8"/>
        <v>1.5616800000000004</v>
      </c>
      <c r="F36" s="76">
        <f t="shared" si="9"/>
        <v>5.2127520000000001</v>
      </c>
      <c r="G36" s="76">
        <f t="shared" si="5"/>
        <v>0.19860000000000003</v>
      </c>
      <c r="H36" s="76">
        <f t="shared" si="5"/>
        <v>2.2860000000000005</v>
      </c>
      <c r="I36" s="76">
        <f t="shared" si="5"/>
        <v>1.1634000000000002</v>
      </c>
      <c r="J36" s="76">
        <f t="shared" si="5"/>
        <v>1.2720000000000002E-2</v>
      </c>
      <c r="K36" s="76">
        <f t="shared" si="5"/>
        <v>5.0400000000000002E-3</v>
      </c>
      <c r="L36" s="76">
        <f t="shared" si="5"/>
        <v>0.52739999999999998</v>
      </c>
      <c r="M36" s="76">
        <f t="shared" si="5"/>
        <v>0.16620000000000001</v>
      </c>
      <c r="N36" s="76">
        <f t="shared" si="5"/>
        <v>34.08</v>
      </c>
      <c r="O36" s="76">
        <f t="shared" si="5"/>
        <v>3210</v>
      </c>
      <c r="P36" s="76">
        <f t="shared" si="5"/>
        <v>0</v>
      </c>
      <c r="Q36" s="76">
        <f t="shared" si="10"/>
        <v>38.849999999999994</v>
      </c>
      <c r="R36" s="76">
        <f t="shared" si="11"/>
        <v>0</v>
      </c>
      <c r="S36" s="76">
        <f t="shared" si="11"/>
        <v>0.33960000000000001</v>
      </c>
      <c r="T36" s="76">
        <f t="shared" si="11"/>
        <v>0</v>
      </c>
      <c r="U36" s="76">
        <f t="shared" si="11"/>
        <v>0</v>
      </c>
      <c r="AB36" s="58"/>
      <c r="AC36" s="58"/>
      <c r="AD36" s="58"/>
      <c r="AE36" s="58"/>
      <c r="AF36" s="58"/>
      <c r="AG36" s="58"/>
      <c r="AH36" s="58"/>
      <c r="AI36" s="58"/>
    </row>
    <row r="37" spans="1:35" s="71" customFormat="1" ht="13" x14ac:dyDescent="0.35">
      <c r="A37" s="13">
        <f>I8</f>
        <v>16</v>
      </c>
      <c r="B37" s="15">
        <v>250</v>
      </c>
      <c r="C37" s="76">
        <f t="shared" si="6"/>
        <v>28.8</v>
      </c>
      <c r="D37" s="76">
        <f t="shared" si="7"/>
        <v>3.6701820000000001</v>
      </c>
      <c r="E37" s="76">
        <f t="shared" si="8"/>
        <v>1.5616800000000004</v>
      </c>
      <c r="F37" s="76">
        <f t="shared" si="9"/>
        <v>5.2127520000000001</v>
      </c>
      <c r="G37" s="76">
        <f t="shared" si="5"/>
        <v>0.19860000000000003</v>
      </c>
      <c r="H37" s="76">
        <f t="shared" si="5"/>
        <v>2.2860000000000005</v>
      </c>
      <c r="I37" s="76">
        <f t="shared" si="5"/>
        <v>1.1634000000000002</v>
      </c>
      <c r="J37" s="76">
        <f t="shared" si="5"/>
        <v>1.2720000000000002E-2</v>
      </c>
      <c r="K37" s="76">
        <f t="shared" si="5"/>
        <v>5.0400000000000002E-3</v>
      </c>
      <c r="L37" s="76">
        <f t="shared" si="5"/>
        <v>0.52739999999999998</v>
      </c>
      <c r="M37" s="76">
        <f t="shared" si="5"/>
        <v>0.16620000000000001</v>
      </c>
      <c r="N37" s="76">
        <f t="shared" si="5"/>
        <v>34.08</v>
      </c>
      <c r="O37" s="76">
        <f t="shared" si="5"/>
        <v>3210</v>
      </c>
      <c r="P37" s="76">
        <f t="shared" si="5"/>
        <v>0</v>
      </c>
      <c r="Q37" s="76">
        <f t="shared" si="10"/>
        <v>38.849999999999994</v>
      </c>
      <c r="R37" s="76">
        <f t="shared" si="11"/>
        <v>0</v>
      </c>
      <c r="S37" s="76">
        <f t="shared" si="11"/>
        <v>0.33960000000000001</v>
      </c>
      <c r="T37" s="76">
        <f t="shared" si="11"/>
        <v>0</v>
      </c>
      <c r="U37" s="76">
        <f t="shared" si="11"/>
        <v>0</v>
      </c>
      <c r="AB37" s="58"/>
      <c r="AC37" s="58"/>
      <c r="AD37" s="58"/>
      <c r="AE37" s="58"/>
      <c r="AF37" s="58"/>
      <c r="AG37" s="58"/>
      <c r="AH37" s="58"/>
      <c r="AI37" s="58"/>
    </row>
    <row r="38" spans="1:35" s="71" customFormat="1" ht="13" x14ac:dyDescent="0.35">
      <c r="A38" s="13">
        <f>J8</f>
        <v>0</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Abercynrig 2</v>
      </c>
      <c r="C57" s="8" t="str">
        <f t="shared" ref="C57:U57" si="13">D8</f>
        <v>Abercynrig 10</v>
      </c>
      <c r="D57" s="8">
        <f t="shared" si="13"/>
        <v>1</v>
      </c>
      <c r="E57" s="8">
        <f t="shared" si="13"/>
        <v>2</v>
      </c>
      <c r="F57" s="8">
        <f t="shared" si="13"/>
        <v>10</v>
      </c>
      <c r="G57" s="8">
        <f t="shared" si="13"/>
        <v>11</v>
      </c>
      <c r="H57" s="8">
        <f t="shared" si="13"/>
        <v>16</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"&amp;(VLOOKUP(C14,Table24581114[],6,FALSE))</f>
        <v>Medium/Clay I Grass</v>
      </c>
      <c r="C58" s="13" t="str">
        <f>D16&amp;" I "&amp;(VLOOKUP(D14,Table24581114[],6,FALSE))</f>
        <v>Medium/Clay I Grass</v>
      </c>
      <c r="D58" s="13" t="str">
        <f>E16&amp;" I "&amp;(VLOOKUP(E14,Table24581114[],6,FALSE))</f>
        <v>Medium/Clay I Arable</v>
      </c>
      <c r="E58" s="13" t="str">
        <f>F16&amp;" I "&amp;(VLOOKUP(F14,Table24581114[],6,FALSE))</f>
        <v>Medium/Clay I Arable</v>
      </c>
      <c r="F58" s="13" t="str">
        <f>G16&amp;" I "&amp;(VLOOKUP(G14,Table24581114[],6,FALSE))</f>
        <v>Medium/Clay I Grass</v>
      </c>
      <c r="G58" s="13" t="str">
        <f>H16&amp;" I "&amp;(VLOOKUP(H14,Table24581114[],6,FALSE))</f>
        <v>Medium/Clay I Grass</v>
      </c>
      <c r="H58" s="13" t="str">
        <f>I16&amp;" I "&amp;(VLOOKUP(I14,Table24581114[],6,FALSE))</f>
        <v>Medium/Clay I Grass</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0" t="s">
        <v>132</v>
      </c>
      <c r="B59" s="75">
        <f>VLOOKUP(C$14,Table24581114[],5,FALSE)</f>
        <v>6.2</v>
      </c>
      <c r="C59" s="75">
        <f>VLOOKUP(D$14,Table24581114[],5,FALSE)</f>
        <v>6.2</v>
      </c>
      <c r="D59" s="75">
        <f>VLOOKUP(E$14,Table24581114[],5,FALSE)</f>
        <v>6.7</v>
      </c>
      <c r="E59" s="75">
        <f>VLOOKUP(F$14,Table24581114[],5,FALSE)</f>
        <v>6.7</v>
      </c>
      <c r="F59" s="75">
        <f>VLOOKUP(G$14,Table24581114[],5,FALSE)</f>
        <v>6.2</v>
      </c>
      <c r="G59" s="75">
        <f>VLOOKUP(H$14,Table24581114[],5,FALSE)</f>
        <v>6.2</v>
      </c>
      <c r="H59" s="75">
        <f>VLOOKUP(I$14,Table24581114[],5,FALSE)</f>
        <v>6.2</v>
      </c>
      <c r="I59" s="75" t="e">
        <f>VLOOKUP(J$14,Table24581114[],5,FALSE)</f>
        <v>#N/A</v>
      </c>
      <c r="J59" s="75" t="e">
        <f>VLOOKUP(K$14,Table24581114[],5,FALSE)</f>
        <v>#N/A</v>
      </c>
      <c r="K59" s="75" t="e">
        <f>VLOOKUP(L$14,Table24581114[],5,FALSE)</f>
        <v>#N/A</v>
      </c>
      <c r="L59" s="75" t="e">
        <f>VLOOKUP(M$14,Table24581114[],5,FALSE)</f>
        <v>#N/A</v>
      </c>
      <c r="M59" s="75" t="e">
        <f>VLOOKUP(N$14,Table24581114[],5,FALSE)</f>
        <v>#N/A</v>
      </c>
      <c r="N59" s="75" t="e">
        <f>VLOOKUP(O$14,Table24581114[],5,FALSE)</f>
        <v>#N/A</v>
      </c>
      <c r="O59" s="75" t="e">
        <f>VLOOKUP(P$14,Table24581114[],5,FALSE)</f>
        <v>#N/A</v>
      </c>
      <c r="P59" s="75" t="e">
        <f>VLOOKUP(Q$14,Table24581114[],5,FALSE)</f>
        <v>#N/A</v>
      </c>
      <c r="Q59" s="75" t="e">
        <f>VLOOKUP(R$14,Table24581114[],5,FALSE)</f>
        <v>#N/A</v>
      </c>
      <c r="R59" s="75" t="e">
        <f>VLOOKUP(S$14,Table24581114[],5,FALSE)</f>
        <v>#N/A</v>
      </c>
      <c r="S59" s="75" t="e">
        <f>VLOOKUP(T$14,Table24581114[],5,FALSE)</f>
        <v>#N/A</v>
      </c>
      <c r="T59" s="75" t="e">
        <f>VLOOKUP(U$14,Table24581114[],5,FALSE)</f>
        <v>#N/A</v>
      </c>
      <c r="U59" s="75" t="e">
        <f>VLOOKUP(V$14,Table24581114[],5,FALSE)</f>
        <v>#N/A</v>
      </c>
    </row>
    <row r="60" spans="1:35" s="19" customFormat="1" ht="13" x14ac:dyDescent="0.3">
      <c r="A60" s="110" t="s">
        <v>4</v>
      </c>
      <c r="B60" s="75">
        <f>C10</f>
        <v>6.2</v>
      </c>
      <c r="C60" s="75">
        <f t="shared" ref="C60:U60" si="14">D10</f>
        <v>5.2</v>
      </c>
      <c r="D60" s="75">
        <f t="shared" si="14"/>
        <v>5.5</v>
      </c>
      <c r="E60" s="75">
        <f t="shared" si="14"/>
        <v>5</v>
      </c>
      <c r="F60" s="75">
        <f t="shared" si="14"/>
        <v>5.5</v>
      </c>
      <c r="G60" s="75">
        <f t="shared" si="14"/>
        <v>5.4</v>
      </c>
      <c r="H60" s="75">
        <f t="shared" si="14"/>
        <v>5.5</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8</v>
      </c>
      <c r="E61" s="75">
        <f t="shared" si="15"/>
        <v>8</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v>
      </c>
      <c r="C64" s="76">
        <f t="shared" ref="C64:U64" si="17">(C59-C60)*C61</f>
        <v>6</v>
      </c>
      <c r="D64" s="76">
        <f t="shared" si="17"/>
        <v>9.6000000000000014</v>
      </c>
      <c r="E64" s="76">
        <f t="shared" si="17"/>
        <v>13.600000000000001</v>
      </c>
      <c r="F64" s="76">
        <f t="shared" si="17"/>
        <v>4.2000000000000011</v>
      </c>
      <c r="G64" s="76">
        <f t="shared" si="17"/>
        <v>4.7999999999999989</v>
      </c>
      <c r="H64" s="76">
        <f t="shared" si="17"/>
        <v>4.2000000000000011</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v>
      </c>
      <c r="C65" s="76">
        <f t="shared" ref="C65:U65" si="18">C63-C64</f>
        <v>-6</v>
      </c>
      <c r="D65" s="76">
        <f t="shared" si="18"/>
        <v>-9.6000000000000014</v>
      </c>
      <c r="E65" s="76">
        <f t="shared" si="18"/>
        <v>-13.600000000000001</v>
      </c>
      <c r="F65" s="76">
        <f t="shared" si="18"/>
        <v>-4.2000000000000011</v>
      </c>
      <c r="G65" s="76">
        <f t="shared" si="18"/>
        <v>-4.7999999999999989</v>
      </c>
      <c r="H65" s="76">
        <f t="shared" si="18"/>
        <v>-4.2000000000000011</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A19" zoomScale="90" zoomScaleNormal="90" workbookViewId="0">
      <selection activeCell="V38" sqref="V3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Bryngwyn!C1:D1</f>
        <v>PAN-019774</v>
      </c>
      <c r="D1" s="142"/>
      <c r="E1" s="92" t="s">
        <v>45</v>
      </c>
      <c r="F1" s="38" t="str">
        <f>Bryngwyn!F1</f>
        <v>46.9 ha</v>
      </c>
      <c r="G1" s="124" t="s">
        <v>43</v>
      </c>
      <c r="H1" s="125"/>
      <c r="I1" s="117">
        <v>7.4</v>
      </c>
      <c r="J1" s="128" t="s">
        <v>153</v>
      </c>
      <c r="K1" s="128"/>
      <c r="L1" s="96">
        <v>6</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Bryngwyn!C2:D2</f>
        <v>EPR/GP3792SK</v>
      </c>
      <c r="D2" s="144"/>
      <c r="E2" s="92" t="s">
        <v>109</v>
      </c>
      <c r="F2" s="95" t="s">
        <v>166</v>
      </c>
      <c r="G2" s="126" t="s">
        <v>110</v>
      </c>
      <c r="H2" s="127"/>
      <c r="I2" s="117"/>
      <c r="J2" s="128" t="s">
        <v>158</v>
      </c>
      <c r="K2" s="128"/>
      <c r="L2" s="96">
        <v>1.1100000000000001</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Bryngwyn!C3:D3</f>
        <v xml:space="preserve">Mr Richard Evans </v>
      </c>
      <c r="D3" s="144"/>
      <c r="E3" s="92" t="s">
        <v>108</v>
      </c>
      <c r="F3" s="30" t="s">
        <v>78</v>
      </c>
      <c r="G3" s="128" t="s">
        <v>159</v>
      </c>
      <c r="H3" s="128"/>
      <c r="I3" s="117"/>
      <c r="J3" s="124" t="s">
        <v>154</v>
      </c>
      <c r="K3" s="125"/>
      <c r="L3" s="96">
        <f>(L1/(L2*10000))*100</f>
        <v>5.4054054054054043E-2</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1" t="str">
        <f>Bryngwyn!C4:D4</f>
        <v>Tylebrithos, Cantref, Brecon, LD3 8LR</v>
      </c>
      <c r="D4" s="142"/>
      <c r="E4" s="93" t="s">
        <v>1</v>
      </c>
      <c r="F4" s="119" t="s">
        <v>167</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Bryngwyn!C5:D5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t="str">
        <f>Bryngwyn!C8</f>
        <v>Abercynrig 2</v>
      </c>
      <c r="D8" s="59" t="str">
        <f>Bryngwyn!D8</f>
        <v>Abercynrig 10</v>
      </c>
      <c r="E8" s="59">
        <f>Bryngwyn!E8</f>
        <v>1</v>
      </c>
      <c r="F8" s="59">
        <f>Bryngwyn!F8</f>
        <v>2</v>
      </c>
      <c r="G8" s="59">
        <f>Bryngwyn!G8</f>
        <v>10</v>
      </c>
      <c r="H8" s="59">
        <f>Bryngwyn!H8</f>
        <v>11</v>
      </c>
      <c r="I8" s="59">
        <f>Bryngwyn!I8</f>
        <v>16</v>
      </c>
      <c r="J8" s="59">
        <f>Bryngwyn!J8</f>
        <v>0</v>
      </c>
      <c r="K8" s="59">
        <f>Bryngwyn!K8</f>
        <v>0</v>
      </c>
      <c r="L8" s="59">
        <f>Bryngwyn!L8</f>
        <v>0</v>
      </c>
      <c r="M8" s="59">
        <f>Bryngwyn!M8</f>
        <v>0</v>
      </c>
      <c r="N8" s="59">
        <f>Bryngwyn!N8</f>
        <v>0</v>
      </c>
      <c r="O8" s="59">
        <f>Bryngwyn!O8</f>
        <v>0</v>
      </c>
      <c r="P8" s="59">
        <f>Bryngwyn!P8</f>
        <v>0</v>
      </c>
      <c r="Q8" s="59">
        <f>Bryngwyn!Q8</f>
        <v>0</v>
      </c>
      <c r="R8" s="59">
        <f>Bryngwyn!R8</f>
        <v>0</v>
      </c>
      <c r="S8" s="59">
        <f>Bryngwyn!S8</f>
        <v>0</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Bryngwyn!C9</f>
        <v>Moderate</v>
      </c>
      <c r="D9" s="59" t="str">
        <f>Bryngwyn!D9</f>
        <v xml:space="preserve">Moderate </v>
      </c>
      <c r="E9" s="59">
        <f>Bryngwyn!E9</f>
        <v>1</v>
      </c>
      <c r="F9" s="59">
        <f>Bryngwyn!F9</f>
        <v>1</v>
      </c>
      <c r="G9" s="59" t="str">
        <f>Bryngwyn!G9</f>
        <v>Moderate</v>
      </c>
      <c r="H9" s="59" t="str">
        <f>Bryngwyn!H9</f>
        <v xml:space="preserve">Moderate </v>
      </c>
      <c r="I9" s="59" t="str">
        <f>Bryngwyn!I9</f>
        <v xml:space="preserve">Moderate </v>
      </c>
      <c r="J9" s="59">
        <f>Bryngwyn!J9</f>
        <v>0</v>
      </c>
      <c r="K9" s="59">
        <f>Bryngwyn!K9</f>
        <v>0</v>
      </c>
      <c r="L9" s="59">
        <f>Bryngwyn!L9</f>
        <v>0</v>
      </c>
      <c r="M9" s="59">
        <f>Bryngwyn!M9</f>
        <v>0</v>
      </c>
      <c r="N9" s="59">
        <f>Bryngwyn!N9</f>
        <v>0</v>
      </c>
      <c r="O9" s="59">
        <f>Bryngwyn!O9</f>
        <v>0</v>
      </c>
      <c r="P9" s="59">
        <f>Bryngwyn!P9</f>
        <v>0</v>
      </c>
      <c r="Q9" s="59">
        <f>Bryngwyn!Q9</f>
        <v>0</v>
      </c>
      <c r="R9" s="59">
        <f>Bryngwyn!R9</f>
        <v>0</v>
      </c>
      <c r="S9" s="59">
        <f>Bryngwyn!S9</f>
        <v>0</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Bryngwyn!C10</f>
        <v>6.2</v>
      </c>
      <c r="D10" s="59">
        <f>Bryngwyn!D10</f>
        <v>5.2</v>
      </c>
      <c r="E10" s="59">
        <f>Bryngwyn!E10</f>
        <v>5.5</v>
      </c>
      <c r="F10" s="59">
        <f>Bryngwyn!F10</f>
        <v>5</v>
      </c>
      <c r="G10" s="59">
        <f>Bryngwyn!G10</f>
        <v>5.5</v>
      </c>
      <c r="H10" s="59">
        <f>Bryngwyn!H10</f>
        <v>5.4</v>
      </c>
      <c r="I10" s="59">
        <f>Bryngwyn!I10</f>
        <v>5.5</v>
      </c>
      <c r="J10" s="59">
        <f>Bryngwyn!J10</f>
        <v>0</v>
      </c>
      <c r="K10" s="59">
        <f>Bryngwyn!K10</f>
        <v>0</v>
      </c>
      <c r="L10" s="59">
        <f>Bryngwyn!L10</f>
        <v>0</v>
      </c>
      <c r="M10" s="59">
        <f>Bryngwyn!M10</f>
        <v>0</v>
      </c>
      <c r="N10" s="59">
        <f>Bryngwyn!N10</f>
        <v>0</v>
      </c>
      <c r="O10" s="59">
        <f>Bryngwyn!O10</f>
        <v>0</v>
      </c>
      <c r="P10" s="59">
        <f>Bryngwyn!P10</f>
        <v>0</v>
      </c>
      <c r="Q10" s="59">
        <f>Bryngwyn!Q10</f>
        <v>0</v>
      </c>
      <c r="R10" s="59">
        <f>Bryngwyn!R10</f>
        <v>0</v>
      </c>
      <c r="S10" s="59">
        <f>Bryngwyn!S10</f>
        <v>0</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Bryngwyn!C11</f>
        <v>3</v>
      </c>
      <c r="D11" s="59">
        <f>Bryngwyn!D11</f>
        <v>3</v>
      </c>
      <c r="E11" s="59">
        <f>Bryngwyn!E11</f>
        <v>3</v>
      </c>
      <c r="F11" s="59">
        <f>Bryngwyn!F11</f>
        <v>4</v>
      </c>
      <c r="G11" s="59">
        <f>Bryngwyn!G11</f>
        <v>2</v>
      </c>
      <c r="H11" s="59">
        <f>Bryngwyn!H11</f>
        <v>2</v>
      </c>
      <c r="I11" s="59">
        <f>Bryngwyn!I11</f>
        <v>3</v>
      </c>
      <c r="J11" s="59">
        <f>Bryngwyn!J11</f>
        <v>0</v>
      </c>
      <c r="K11" s="59">
        <f>Bryngwyn!K11</f>
        <v>0</v>
      </c>
      <c r="L11" s="59">
        <f>Bryngwyn!L11</f>
        <v>0</v>
      </c>
      <c r="M11" s="59">
        <f>Bryngwyn!M11</f>
        <v>0</v>
      </c>
      <c r="N11" s="59">
        <f>Bryngwyn!N11</f>
        <v>0</v>
      </c>
      <c r="O11" s="59">
        <f>Bryngwyn!O11</f>
        <v>0</v>
      </c>
      <c r="P11" s="59">
        <f>Bryngwyn!P11</f>
        <v>0</v>
      </c>
      <c r="Q11" s="59">
        <f>Bryngwyn!Q11</f>
        <v>0</v>
      </c>
      <c r="R11" s="59">
        <f>Bryngwyn!R11</f>
        <v>0</v>
      </c>
      <c r="S11" s="59">
        <f>Bryngwyn!S11</f>
        <v>0</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Bryngwyn!C12</f>
        <v>2</v>
      </c>
      <c r="D12" s="59">
        <f>Bryngwyn!D12</f>
        <v>1</v>
      </c>
      <c r="E12" s="59">
        <f>Bryngwyn!E12</f>
        <v>2</v>
      </c>
      <c r="F12" s="59">
        <f>Bryngwyn!F12</f>
        <v>1</v>
      </c>
      <c r="G12" s="59">
        <f>Bryngwyn!G12</f>
        <v>1</v>
      </c>
      <c r="H12" s="59">
        <f>Bryngwyn!H12</f>
        <v>1</v>
      </c>
      <c r="I12" s="59">
        <f>Bryngwyn!I12</f>
        <v>1</v>
      </c>
      <c r="J12" s="59">
        <f>Bryngwyn!J12</f>
        <v>0</v>
      </c>
      <c r="K12" s="59">
        <f>Bryngwyn!K12</f>
        <v>0</v>
      </c>
      <c r="L12" s="59">
        <f>Bryngwyn!L12</f>
        <v>0</v>
      </c>
      <c r="M12" s="59">
        <f>Bryngwyn!M12</f>
        <v>0</v>
      </c>
      <c r="N12" s="59">
        <f>Bryngwyn!N12</f>
        <v>0</v>
      </c>
      <c r="O12" s="59">
        <f>Bryngwyn!O12</f>
        <v>0</v>
      </c>
      <c r="P12" s="59">
        <f>Bryngwyn!P12</f>
        <v>0</v>
      </c>
      <c r="Q12" s="59">
        <f>Bryngwyn!Q12</f>
        <v>0</v>
      </c>
      <c r="R12" s="59">
        <f>Bryngwyn!R12</f>
        <v>0</v>
      </c>
      <c r="S12" s="59">
        <f>Bryngwyn!S12</f>
        <v>0</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Bryngwyn!C13</f>
        <v>3</v>
      </c>
      <c r="D13" s="59">
        <f>Bryngwyn!D13</f>
        <v>2</v>
      </c>
      <c r="E13" s="59">
        <f>Bryngwyn!E13</f>
        <v>3</v>
      </c>
      <c r="F13" s="59">
        <f>Bryngwyn!F13</f>
        <v>2</v>
      </c>
      <c r="G13" s="59">
        <f>Bryngwyn!G13</f>
        <v>2</v>
      </c>
      <c r="H13" s="59">
        <f>Bryngwyn!H13</f>
        <v>2</v>
      </c>
      <c r="I13" s="59">
        <f>Bryngwyn!I13</f>
        <v>3</v>
      </c>
      <c r="J13" s="59">
        <f>Bryngwyn!J13</f>
        <v>0</v>
      </c>
      <c r="K13" s="59">
        <f>Bryngwyn!K13</f>
        <v>0</v>
      </c>
      <c r="L13" s="59">
        <f>Bryngwyn!L13</f>
        <v>0</v>
      </c>
      <c r="M13" s="59">
        <f>Bryngwyn!M13</f>
        <v>0</v>
      </c>
      <c r="N13" s="59">
        <f>Bryngwyn!N13</f>
        <v>0</v>
      </c>
      <c r="O13" s="59">
        <f>Bryngwyn!O13</f>
        <v>0</v>
      </c>
      <c r="P13" s="59">
        <f>Bryngwyn!P13</f>
        <v>0</v>
      </c>
      <c r="Q13" s="59">
        <f>Bryngwyn!Q13</f>
        <v>0</v>
      </c>
      <c r="R13" s="59">
        <f>Bryngwyn!R13</f>
        <v>0</v>
      </c>
      <c r="S13" s="59">
        <f>Bryngwyn!S13</f>
        <v>0</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Bryngwyn!C14</f>
        <v xml:space="preserve">Grass Silage (25% DM) </v>
      </c>
      <c r="D14" s="101" t="str">
        <f>Bryngwyn!D14</f>
        <v xml:space="preserve">Grass Silage (25% DM) </v>
      </c>
      <c r="E14" s="101" t="str">
        <f>Bryngwyn!E14</f>
        <v>Winter barley/triticale/rye</v>
      </c>
      <c r="F14" s="101" t="str">
        <f>Bryngwyn!F14</f>
        <v>Winter barley/triticale/rye</v>
      </c>
      <c r="G14" s="101" t="str">
        <f>Bryngwyn!G14</f>
        <v xml:space="preserve">Grass Silage (25% DM) </v>
      </c>
      <c r="H14" s="101" t="str">
        <f>Bryngwyn!H14</f>
        <v xml:space="preserve">Grass Silage (25% DM) </v>
      </c>
      <c r="I14" s="101" t="str">
        <f>Bryngwyn!I14</f>
        <v xml:space="preserve">Grass Silage (25% DM) </v>
      </c>
      <c r="J14" s="101">
        <f>Bryngwyn!J14</f>
        <v>0</v>
      </c>
      <c r="K14" s="101">
        <f>Bryngwyn!K14</f>
        <v>0</v>
      </c>
      <c r="L14" s="101">
        <f>Bryngwyn!L14</f>
        <v>0</v>
      </c>
      <c r="M14" s="101">
        <f>Bryngwyn!M14</f>
        <v>0</v>
      </c>
      <c r="N14" s="101">
        <f>Bryngwyn!N14</f>
        <v>0</v>
      </c>
      <c r="O14" s="101">
        <f>Bryngwyn!O14</f>
        <v>0</v>
      </c>
      <c r="P14" s="101">
        <f>Bryngwyn!P14</f>
        <v>0</v>
      </c>
      <c r="Q14" s="101">
        <f>Bryngwyn!Q14</f>
        <v>0</v>
      </c>
      <c r="R14" s="101">
        <f>Bryngwyn!R14</f>
        <v>0</v>
      </c>
      <c r="S14" s="101">
        <f>Bryngwyn!S14</f>
        <v>0</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6" t="s">
        <v>9</v>
      </c>
      <c r="B15" s="136"/>
      <c r="C15" s="59">
        <f>Bryngwyn!C15</f>
        <v>38</v>
      </c>
      <c r="D15" s="59">
        <f>Bryngwyn!D15</f>
        <v>38</v>
      </c>
      <c r="E15" s="59">
        <f>Bryngwyn!E15</f>
        <v>6.5</v>
      </c>
      <c r="F15" s="59">
        <f>Bryngwyn!F15</f>
        <v>6.5</v>
      </c>
      <c r="G15" s="59">
        <f>Bryngwyn!G15</f>
        <v>38</v>
      </c>
      <c r="H15" s="59">
        <f>Bryngwyn!H15</f>
        <v>38</v>
      </c>
      <c r="I15" s="59">
        <f>Bryngwyn!I15</f>
        <v>38</v>
      </c>
      <c r="J15" s="59">
        <f>Bryngwyn!J15</f>
        <v>0</v>
      </c>
      <c r="K15" s="59">
        <f>Bryngwyn!K15</f>
        <v>0</v>
      </c>
      <c r="L15" s="59">
        <f>Bryngwyn!L15</f>
        <v>0</v>
      </c>
      <c r="M15" s="59">
        <f>Bryngwyn!M15</f>
        <v>0</v>
      </c>
      <c r="N15" s="59">
        <f>Bryngwyn!N15</f>
        <v>0</v>
      </c>
      <c r="O15" s="59">
        <f>Bryngwyn!O15</f>
        <v>0</v>
      </c>
      <c r="P15" s="59">
        <f>Bryngwyn!P15</f>
        <v>0</v>
      </c>
      <c r="Q15" s="59">
        <f>Bryngwyn!Q15</f>
        <v>0</v>
      </c>
      <c r="R15" s="59">
        <f>Bryngwyn!R15</f>
        <v>0</v>
      </c>
      <c r="S15" s="59">
        <f>Bryngwyn!S15</f>
        <v>0</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f>Bryngwyn!J16</f>
        <v>0</v>
      </c>
      <c r="K16" s="102">
        <f>Bryngwyn!K16</f>
        <v>0</v>
      </c>
      <c r="L16" s="102">
        <f>Bryngwyn!L16</f>
        <v>0</v>
      </c>
      <c r="M16" s="102">
        <f>Bryngwyn!M16</f>
        <v>0</v>
      </c>
      <c r="N16" s="102">
        <f>Bryngwyn!N16</f>
        <v>0</v>
      </c>
      <c r="O16" s="102">
        <f>Bryngwyn!O16</f>
        <v>0</v>
      </c>
      <c r="P16" s="102">
        <f>Bryngwyn!P16</f>
        <v>0</v>
      </c>
      <c r="Q16" s="102">
        <f>Bryngwyn!Q16</f>
        <v>0</v>
      </c>
      <c r="R16" s="102">
        <f>Bryngwyn!R16</f>
        <v>0</v>
      </c>
      <c r="S16" s="102">
        <f>Bryngwyn!S16</f>
        <v>0</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64.599999999999994</v>
      </c>
      <c r="D17" s="27">
        <f t="shared" ref="D17:V17" si="0">(VLOOKUP(D$14,$AI2:$AK26,2,FALSE))*D$15</f>
        <v>64.599999999999994</v>
      </c>
      <c r="E17" s="27">
        <f t="shared" si="0"/>
        <v>55.25</v>
      </c>
      <c r="F17" s="27">
        <f t="shared" si="0"/>
        <v>55.25</v>
      </c>
      <c r="G17" s="27">
        <f t="shared" si="0"/>
        <v>64.599999999999994</v>
      </c>
      <c r="H17" s="27">
        <f t="shared" si="0"/>
        <v>64.599999999999994</v>
      </c>
      <c r="I17" s="27">
        <f t="shared" si="0"/>
        <v>64.599999999999994</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35.407405000000004</v>
      </c>
      <c r="D18" s="16">
        <f>$D32</f>
        <v>35.407405000000004</v>
      </c>
      <c r="E18" s="16">
        <f>$D33</f>
        <v>35.407405000000004</v>
      </c>
      <c r="F18" s="16">
        <f>$D34</f>
        <v>35.407405000000004</v>
      </c>
      <c r="G18" s="16">
        <f>$D35</f>
        <v>35.407405000000004</v>
      </c>
      <c r="H18" s="16">
        <f>$D36</f>
        <v>35.407405000000004</v>
      </c>
      <c r="I18" s="16">
        <f>$D37</f>
        <v>35.407405000000004</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-29.19259499999999</v>
      </c>
      <c r="D19" s="16">
        <f t="shared" ref="D19:V19" si="1">D18-D17</f>
        <v>-29.19259499999999</v>
      </c>
      <c r="E19" s="16">
        <f t="shared" si="1"/>
        <v>-19.842594999999996</v>
      </c>
      <c r="F19" s="16">
        <f t="shared" si="1"/>
        <v>-19.842594999999996</v>
      </c>
      <c r="G19" s="16">
        <f t="shared" si="1"/>
        <v>-29.19259499999999</v>
      </c>
      <c r="H19" s="16">
        <f t="shared" si="1"/>
        <v>-29.19259499999999</v>
      </c>
      <c r="I19" s="16">
        <f t="shared" si="1"/>
        <v>-29.19259499999999</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228</v>
      </c>
      <c r="D21" s="27">
        <f t="shared" ref="D21:V21" si="2">(VLOOKUP(D$14,$AI2:$AK26,3,FALSE))*D$15</f>
        <v>228</v>
      </c>
      <c r="E21" s="27">
        <f t="shared" si="2"/>
        <v>68.25</v>
      </c>
      <c r="F21" s="27">
        <f t="shared" si="2"/>
        <v>68.25</v>
      </c>
      <c r="G21" s="27">
        <f t="shared" si="2"/>
        <v>228</v>
      </c>
      <c r="H21" s="27">
        <f t="shared" si="2"/>
        <v>228</v>
      </c>
      <c r="I21" s="27">
        <f t="shared" si="2"/>
        <v>228</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26.580492500000005</v>
      </c>
      <c r="D22" s="16">
        <f>$E32</f>
        <v>26.580492500000005</v>
      </c>
      <c r="E22" s="16">
        <f>$E33</f>
        <v>26.580492500000005</v>
      </c>
      <c r="F22" s="16">
        <f>$E34</f>
        <v>26.580492500000005</v>
      </c>
      <c r="G22" s="16">
        <f>$E35</f>
        <v>26.580492500000005</v>
      </c>
      <c r="H22" s="16">
        <f>$E36</f>
        <v>26.580492500000005</v>
      </c>
      <c r="I22" s="16">
        <f>$E37</f>
        <v>26.580492500000005</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-201.41950750000001</v>
      </c>
      <c r="D23" s="16">
        <f t="shared" ref="D23:V23" si="3">D22-D21</f>
        <v>-201.41950750000001</v>
      </c>
      <c r="E23" s="16">
        <f t="shared" si="3"/>
        <v>-41.669507499999995</v>
      </c>
      <c r="F23" s="16">
        <f t="shared" si="3"/>
        <v>-41.669507499999995</v>
      </c>
      <c r="G23" s="16">
        <f t="shared" si="3"/>
        <v>-201.41950750000001</v>
      </c>
      <c r="H23" s="16">
        <f t="shared" si="3"/>
        <v>-201.41950750000001</v>
      </c>
      <c r="I23" s="16">
        <f t="shared" si="3"/>
        <v>-201.41950750000001</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5.62</v>
      </c>
      <c r="C28" s="15">
        <v>1.1100000000000001</v>
      </c>
      <c r="D28" s="15">
        <v>0.11</v>
      </c>
      <c r="E28" s="15">
        <v>0.157</v>
      </c>
      <c r="F28" s="15">
        <v>2280</v>
      </c>
      <c r="G28" s="15">
        <v>34.5</v>
      </c>
      <c r="H28" s="15">
        <v>165</v>
      </c>
      <c r="I28" s="15">
        <v>22.2</v>
      </c>
      <c r="J28" s="15">
        <v>0.28999999999999998</v>
      </c>
      <c r="K28" s="15">
        <v>0.36</v>
      </c>
      <c r="L28" s="15">
        <v>25.6</v>
      </c>
      <c r="M28" s="15">
        <v>20.6</v>
      </c>
      <c r="N28" s="15">
        <v>4230</v>
      </c>
      <c r="O28" s="15">
        <v>30100</v>
      </c>
      <c r="P28" s="15"/>
      <c r="Q28" s="15">
        <v>2710</v>
      </c>
      <c r="R28" s="15"/>
      <c r="S28" s="15">
        <v>16.7</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Abercynrig 2</v>
      </c>
      <c r="B31" s="15">
        <v>250</v>
      </c>
      <c r="C31" s="76">
        <f>IF(C$27="%w/w SAR",((C$28*10)*$B31),IF(C$27="%w/w DM",(((C$28*10)*($B$28/100))*$B31),IF(C$27="kg/t SAR",(C$28*$B31),IF(C$27="kg/t DM",((C$28*($B$28/100))*$B31),IF(C$27="mg/kg SAR",((C$28*0.001)*$B31),IF(C$27="mg/kg DM",(((C$28*0.001)*($B$28/100))*$B31),0))))))</f>
        <v>155.95500000000001</v>
      </c>
      <c r="D31" s="76">
        <f>(IF(D$27="%w/w SAR",((D$28*10)*$B31),IF(D$27="%w/w DM",(((D$28*10)*($B$28/100))*$B31),IF(D$27="kg/t SAR",(D$28*$B31),IF(D$27="kg/t DM",((D$28*($B$28/100))*$B31),IF(D$27="mg/kg SAR",((D$28*0.001)*$B31),IF(D$27="mg/kg DM",(((D$28*0.001)*($B$28/100))*$B31),"0")))))))*2.291</f>
        <v>35.407405000000004</v>
      </c>
      <c r="E31" s="76">
        <f>(IF(E$27="%w/w SAR",((E$28*10)*$B31),IF(E$27="%w/w DM",(((E$28*10)*($B$28/100))*$B31),IF(E$27="kg/t SAR",(E$28*$B31),IF(E$27="kg/t DM",((E$28*($B$28/100))*$B31),IF(E$27="mg/kg SAR",((E$28*0.001)*$B31),IF(E$27="mg/kg DM",(((E$28*0.001)*($B$28/100))*$B31),"0")))))))*1.205</f>
        <v>26.580492500000005</v>
      </c>
      <c r="F31" s="76">
        <f>(IF(F$27="%w/w SAR",((F$28*10)*$B31),IF(F$27="%w/w DM",(((F$28*10)*($B$28/100))*$B31),IF(F$27="kg/t SAR",(F$28*$B31),IF(F$27="kg/t DM",((F$28*($B$28/100))*$B31),IF(F$27="mg/kg SAR",((F$28*0.001)*$B31),IF(F$27="mg/kg DM",(((F$28*0.001)*($B$28/100))*$B31),"0")))))))*1.658</f>
        <v>53.112372000000008</v>
      </c>
      <c r="G31" s="76">
        <f t="shared" ref="G31:P46" si="5">IF(G$27="%w/w SAR",((G$28*10)*$B31),IF(G$27="%w/w DM",(((G$28*10)*($B$28/100))*$B31),IF(G$27="kg/t SAR",(G$28*$B31),IF(G$27="kg/t DM",((G$28*($B$28/100))*$B31),IF(G$27="mg/kg SAR",((G$28*0.001)*$B31),IF(G$27="mg/kg DM",(((G$28*0.001)*($B$28/100))*$B31),0))))))</f>
        <v>0.48472500000000002</v>
      </c>
      <c r="H31" s="76">
        <f t="shared" si="5"/>
        <v>2.3182499999999999</v>
      </c>
      <c r="I31" s="76">
        <f t="shared" si="5"/>
        <v>0.31190999999999997</v>
      </c>
      <c r="J31" s="76">
        <f t="shared" si="5"/>
        <v>4.0745E-3</v>
      </c>
      <c r="K31" s="76">
        <f t="shared" si="5"/>
        <v>5.058E-3</v>
      </c>
      <c r="L31" s="76">
        <f t="shared" si="5"/>
        <v>0.35968</v>
      </c>
      <c r="M31" s="76">
        <f t="shared" si="5"/>
        <v>0.28943000000000002</v>
      </c>
      <c r="N31" s="76">
        <f t="shared" si="5"/>
        <v>59.431500000000007</v>
      </c>
      <c r="O31" s="76">
        <f t="shared" si="5"/>
        <v>422.90500000000003</v>
      </c>
      <c r="P31" s="76">
        <f t="shared" si="5"/>
        <v>0</v>
      </c>
      <c r="Q31" s="76">
        <f>(IF(Q$27="%w/w SAR",((Q$28*10)*$B31),IF(Q$27="%w/w DM",(((Q$28*10)*($B$28/100))*$B31),IF(Q$27="kg/t SAR",(Q$28*$B31),IF(Q$27="kg/t DM",((Q$28*($B$28/100))*$B31),IF(Q$27="mg/kg SAR",((Q$28*0.001)*$B31),IF(Q$27="mg/kg DM",(((Q$28*0.001)*($B$28/100))*$B31),0)))))))*2.5</f>
        <v>95.188749999999999</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0.23463499999999998</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Abercynrig 10</v>
      </c>
      <c r="B32" s="15">
        <v>250</v>
      </c>
      <c r="C32" s="76">
        <f t="shared" ref="C32:C50" si="6">IF(C$27="%w/w SAR",((C$28*10)*$B32),IF(C$27="%w/w DM",(((C$28*10)*($B$28/100))*$B32),IF(C$27="kg/t SAR",(C$28*$B32),IF(C$27="kg/t DM",((C$28*($B$28/100))*$B32),IF(C$27="mg/kg SAR",((C$28*0.001)*$B32),IF(C$27="mg/kg DM",(((C$28*0.001)*($B$28/100))*$B32),0))))))</f>
        <v>155.95500000000001</v>
      </c>
      <c r="D32" s="76">
        <f t="shared" ref="D32:D50" si="7">(IF(D$27="%w/w SAR",((D$28*10)*$B32),IF(D$27="%w/w DM",(((D$28*10)*($B$28/100))*$B32),IF(D$27="kg/t SAR",(D$28*$B32),IF(D$27="kg/t DM",((D$28*($B$28/100))*$B32),IF(D$27="mg/kg SAR",((D$28*0.001)*$B32),IF(D$27="mg/kg DM",(((D$28*0.001)*($B$28/100))*$B32),"0")))))))*2.291</f>
        <v>35.407405000000004</v>
      </c>
      <c r="E32" s="76">
        <f t="shared" ref="E32:E50" si="8">(IF(E$27="%w/w SAR",((E$28*10)*$B32),IF(E$27="%w/w DM",(((E$28*10)*($B$28/100))*$B32),IF(E$27="kg/t SAR",(E$28*$B32),IF(E$27="kg/t DM",((E$28*($B$28/100))*$B32),IF(E$27="mg/kg SAR",((E$28*0.001)*$B32),IF(E$27="mg/kg DM",(((E$28*0.001)*($B$28/100))*$B32),"0")))))))*1.205</f>
        <v>26.580492500000005</v>
      </c>
      <c r="F32" s="76">
        <f t="shared" ref="F32:F50" si="9">(IF(F$27="%w/w SAR",((F$28*10)*$B32),IF(F$27="%w/w DM",(((F$28*10)*($B$28/100))*$B32),IF(F$27="kg/t SAR",(F$28*$B32),IF(F$27="kg/t DM",((F$28*($B$28/100))*$B32),IF(F$27="mg/kg SAR",((F$28*0.001)*$B32),IF(F$27="mg/kg DM",(((F$28*0.001)*($B$28/100))*$B32),"0")))))))*1.658</f>
        <v>53.112372000000008</v>
      </c>
      <c r="G32" s="76">
        <f t="shared" si="5"/>
        <v>0.48472500000000002</v>
      </c>
      <c r="H32" s="76">
        <f t="shared" si="5"/>
        <v>2.3182499999999999</v>
      </c>
      <c r="I32" s="76">
        <f t="shared" si="5"/>
        <v>0.31190999999999997</v>
      </c>
      <c r="J32" s="76">
        <f t="shared" si="5"/>
        <v>4.0745E-3</v>
      </c>
      <c r="K32" s="76">
        <f t="shared" si="5"/>
        <v>5.058E-3</v>
      </c>
      <c r="L32" s="76">
        <f t="shared" si="5"/>
        <v>0.35968</v>
      </c>
      <c r="M32" s="76">
        <f t="shared" si="5"/>
        <v>0.28943000000000002</v>
      </c>
      <c r="N32" s="76">
        <f t="shared" si="5"/>
        <v>59.431500000000007</v>
      </c>
      <c r="O32" s="76">
        <f t="shared" si="5"/>
        <v>422.90500000000003</v>
      </c>
      <c r="P32" s="76">
        <f t="shared" si="5"/>
        <v>0</v>
      </c>
      <c r="Q32" s="76">
        <f t="shared" ref="Q32:Q50" si="10">(IF(Q$27="%w/w SAR",((Q$28*10)*$B32),IF(Q$27="%w/w DM",(((Q$28*10)*($B$28/100))*$B32),IF(Q$27="kg/t SAR",(Q$28*$B32),IF(Q$27="kg/t DM",((Q$28*($B$28/100))*$B32),IF(Q$27="mg/kg SAR",((Q$28*0.001)*$B32),IF(Q$27="mg/kg DM",(((Q$28*0.001)*($B$28/100))*$B32),0)))))))*2.5</f>
        <v>95.188749999999999</v>
      </c>
      <c r="R32" s="76">
        <f t="shared" ref="R32:U50" si="11">IF(R$27="%w/w SAR",((R$28*10)*$B32),IF(R$27="%w/w DM",(((R$28*10)*($B$28/100))*$B32),IF(R$27="kg/t SAR",(R$28*$B32),IF(R$27="kg/t DM",((R$28*($B$28/100))*$B32),IF(R$27="mg/kg SAR",((R$28*0.001)*$B32),IF(R$27="mg/kg DM",(((R$28*0.001)*($B$28/100))*$B32),0))))))</f>
        <v>0</v>
      </c>
      <c r="S32" s="76">
        <f t="shared" si="11"/>
        <v>0.23463499999999998</v>
      </c>
      <c r="T32" s="76">
        <f t="shared" si="11"/>
        <v>0</v>
      </c>
      <c r="U32" s="76">
        <f t="shared" si="11"/>
        <v>0</v>
      </c>
      <c r="AB32" s="58"/>
      <c r="AC32" s="58"/>
      <c r="AD32" s="58"/>
      <c r="AE32" s="58"/>
      <c r="AF32" s="58"/>
      <c r="AG32" s="58"/>
      <c r="AH32" s="58"/>
      <c r="AI32" s="58"/>
    </row>
    <row r="33" spans="1:35" s="71" customFormat="1" ht="13" x14ac:dyDescent="0.35">
      <c r="A33" s="13">
        <f>E8</f>
        <v>1</v>
      </c>
      <c r="B33" s="15">
        <v>250</v>
      </c>
      <c r="C33" s="76">
        <f t="shared" si="6"/>
        <v>155.95500000000001</v>
      </c>
      <c r="D33" s="76">
        <f t="shared" si="7"/>
        <v>35.407405000000004</v>
      </c>
      <c r="E33" s="76">
        <f t="shared" si="8"/>
        <v>26.580492500000005</v>
      </c>
      <c r="F33" s="76">
        <f t="shared" si="9"/>
        <v>53.112372000000008</v>
      </c>
      <c r="G33" s="76">
        <f t="shared" si="5"/>
        <v>0.48472500000000002</v>
      </c>
      <c r="H33" s="76">
        <f t="shared" si="5"/>
        <v>2.3182499999999999</v>
      </c>
      <c r="I33" s="76">
        <f t="shared" si="5"/>
        <v>0.31190999999999997</v>
      </c>
      <c r="J33" s="76">
        <f t="shared" si="5"/>
        <v>4.0745E-3</v>
      </c>
      <c r="K33" s="76">
        <f t="shared" si="5"/>
        <v>5.058E-3</v>
      </c>
      <c r="L33" s="76">
        <f t="shared" si="5"/>
        <v>0.35968</v>
      </c>
      <c r="M33" s="76">
        <f t="shared" si="5"/>
        <v>0.28943000000000002</v>
      </c>
      <c r="N33" s="76">
        <f t="shared" si="5"/>
        <v>59.431500000000007</v>
      </c>
      <c r="O33" s="76">
        <f t="shared" si="5"/>
        <v>422.90500000000003</v>
      </c>
      <c r="P33" s="76">
        <f t="shared" si="5"/>
        <v>0</v>
      </c>
      <c r="Q33" s="76">
        <f t="shared" si="10"/>
        <v>95.188749999999999</v>
      </c>
      <c r="R33" s="76">
        <f t="shared" si="11"/>
        <v>0</v>
      </c>
      <c r="S33" s="76">
        <f t="shared" si="11"/>
        <v>0.23463499999999998</v>
      </c>
      <c r="T33" s="76">
        <f t="shared" si="11"/>
        <v>0</v>
      </c>
      <c r="U33" s="76">
        <f t="shared" si="11"/>
        <v>0</v>
      </c>
      <c r="AB33" s="58"/>
      <c r="AC33" s="58"/>
      <c r="AD33" s="58"/>
      <c r="AE33" s="58"/>
      <c r="AF33" s="58"/>
      <c r="AG33" s="58"/>
      <c r="AH33" s="58"/>
      <c r="AI33" s="58"/>
    </row>
    <row r="34" spans="1:35" s="71" customFormat="1" ht="13" x14ac:dyDescent="0.35">
      <c r="A34" s="13">
        <f>F8</f>
        <v>2</v>
      </c>
      <c r="B34" s="15">
        <v>250</v>
      </c>
      <c r="C34" s="76">
        <f t="shared" si="6"/>
        <v>155.95500000000001</v>
      </c>
      <c r="D34" s="76">
        <f t="shared" si="7"/>
        <v>35.407405000000004</v>
      </c>
      <c r="E34" s="76">
        <f t="shared" si="8"/>
        <v>26.580492500000005</v>
      </c>
      <c r="F34" s="76">
        <f t="shared" si="9"/>
        <v>53.112372000000008</v>
      </c>
      <c r="G34" s="76">
        <f t="shared" si="5"/>
        <v>0.48472500000000002</v>
      </c>
      <c r="H34" s="76">
        <f t="shared" si="5"/>
        <v>2.3182499999999999</v>
      </c>
      <c r="I34" s="76">
        <f t="shared" si="5"/>
        <v>0.31190999999999997</v>
      </c>
      <c r="J34" s="76">
        <f t="shared" si="5"/>
        <v>4.0745E-3</v>
      </c>
      <c r="K34" s="76">
        <f t="shared" si="5"/>
        <v>5.058E-3</v>
      </c>
      <c r="L34" s="76">
        <f t="shared" si="5"/>
        <v>0.35968</v>
      </c>
      <c r="M34" s="76">
        <f t="shared" si="5"/>
        <v>0.28943000000000002</v>
      </c>
      <c r="N34" s="76">
        <f t="shared" si="5"/>
        <v>59.431500000000007</v>
      </c>
      <c r="O34" s="76">
        <f t="shared" si="5"/>
        <v>422.90500000000003</v>
      </c>
      <c r="P34" s="76">
        <f t="shared" si="5"/>
        <v>0</v>
      </c>
      <c r="Q34" s="76">
        <f t="shared" si="10"/>
        <v>95.188749999999999</v>
      </c>
      <c r="R34" s="76">
        <f t="shared" si="11"/>
        <v>0</v>
      </c>
      <c r="S34" s="76">
        <f t="shared" si="11"/>
        <v>0.23463499999999998</v>
      </c>
      <c r="T34" s="76">
        <f t="shared" si="11"/>
        <v>0</v>
      </c>
      <c r="U34" s="76">
        <f t="shared" si="11"/>
        <v>0</v>
      </c>
      <c r="AB34" s="58"/>
      <c r="AC34" s="58"/>
      <c r="AD34" s="58"/>
      <c r="AE34" s="58"/>
      <c r="AF34" s="58"/>
      <c r="AG34" s="58"/>
      <c r="AH34" s="58"/>
      <c r="AI34" s="58"/>
    </row>
    <row r="35" spans="1:35" s="71" customFormat="1" ht="13" x14ac:dyDescent="0.35">
      <c r="A35" s="13">
        <f>G8</f>
        <v>10</v>
      </c>
      <c r="B35" s="15">
        <v>250</v>
      </c>
      <c r="C35" s="76">
        <f t="shared" si="6"/>
        <v>155.95500000000001</v>
      </c>
      <c r="D35" s="76">
        <f t="shared" si="7"/>
        <v>35.407405000000004</v>
      </c>
      <c r="E35" s="76">
        <f t="shared" si="8"/>
        <v>26.580492500000005</v>
      </c>
      <c r="F35" s="76">
        <f t="shared" si="9"/>
        <v>53.112372000000008</v>
      </c>
      <c r="G35" s="76">
        <f t="shared" si="5"/>
        <v>0.48472500000000002</v>
      </c>
      <c r="H35" s="76">
        <f t="shared" si="5"/>
        <v>2.3182499999999999</v>
      </c>
      <c r="I35" s="76">
        <f t="shared" si="5"/>
        <v>0.31190999999999997</v>
      </c>
      <c r="J35" s="76">
        <f t="shared" si="5"/>
        <v>4.0745E-3</v>
      </c>
      <c r="K35" s="76">
        <f t="shared" si="5"/>
        <v>5.058E-3</v>
      </c>
      <c r="L35" s="76">
        <f t="shared" si="5"/>
        <v>0.35968</v>
      </c>
      <c r="M35" s="76">
        <f t="shared" si="5"/>
        <v>0.28943000000000002</v>
      </c>
      <c r="N35" s="76">
        <f t="shared" si="5"/>
        <v>59.431500000000007</v>
      </c>
      <c r="O35" s="76">
        <f t="shared" si="5"/>
        <v>422.90500000000003</v>
      </c>
      <c r="P35" s="76">
        <f t="shared" si="5"/>
        <v>0</v>
      </c>
      <c r="Q35" s="76">
        <f t="shared" si="10"/>
        <v>95.188749999999999</v>
      </c>
      <c r="R35" s="76">
        <f t="shared" si="11"/>
        <v>0</v>
      </c>
      <c r="S35" s="76">
        <f t="shared" si="11"/>
        <v>0.23463499999999998</v>
      </c>
      <c r="T35" s="76">
        <f t="shared" si="11"/>
        <v>0</v>
      </c>
      <c r="U35" s="76">
        <f t="shared" si="11"/>
        <v>0</v>
      </c>
      <c r="AB35" s="58"/>
      <c r="AC35" s="58"/>
      <c r="AD35" s="58"/>
      <c r="AE35" s="58"/>
      <c r="AF35" s="58"/>
      <c r="AG35" s="58"/>
      <c r="AH35" s="58"/>
      <c r="AI35" s="58"/>
    </row>
    <row r="36" spans="1:35" s="71" customFormat="1" ht="13" x14ac:dyDescent="0.35">
      <c r="A36" s="13">
        <f>H8</f>
        <v>11</v>
      </c>
      <c r="B36" s="15">
        <v>250</v>
      </c>
      <c r="C36" s="76">
        <f t="shared" si="6"/>
        <v>155.95500000000001</v>
      </c>
      <c r="D36" s="76">
        <f t="shared" si="7"/>
        <v>35.407405000000004</v>
      </c>
      <c r="E36" s="76">
        <f t="shared" si="8"/>
        <v>26.580492500000005</v>
      </c>
      <c r="F36" s="76">
        <f t="shared" si="9"/>
        <v>53.112372000000008</v>
      </c>
      <c r="G36" s="76">
        <f t="shared" si="5"/>
        <v>0.48472500000000002</v>
      </c>
      <c r="H36" s="76">
        <f t="shared" si="5"/>
        <v>2.3182499999999999</v>
      </c>
      <c r="I36" s="76">
        <f t="shared" si="5"/>
        <v>0.31190999999999997</v>
      </c>
      <c r="J36" s="76">
        <f t="shared" si="5"/>
        <v>4.0745E-3</v>
      </c>
      <c r="K36" s="76">
        <f t="shared" si="5"/>
        <v>5.058E-3</v>
      </c>
      <c r="L36" s="76">
        <f t="shared" si="5"/>
        <v>0.35968</v>
      </c>
      <c r="M36" s="76">
        <f t="shared" si="5"/>
        <v>0.28943000000000002</v>
      </c>
      <c r="N36" s="76">
        <f t="shared" si="5"/>
        <v>59.431500000000007</v>
      </c>
      <c r="O36" s="76">
        <f t="shared" si="5"/>
        <v>422.90500000000003</v>
      </c>
      <c r="P36" s="76">
        <f t="shared" si="5"/>
        <v>0</v>
      </c>
      <c r="Q36" s="76">
        <f t="shared" si="10"/>
        <v>95.188749999999999</v>
      </c>
      <c r="R36" s="76">
        <f t="shared" si="11"/>
        <v>0</v>
      </c>
      <c r="S36" s="76">
        <f t="shared" si="11"/>
        <v>0.23463499999999998</v>
      </c>
      <c r="T36" s="76">
        <f t="shared" si="11"/>
        <v>0</v>
      </c>
      <c r="U36" s="76">
        <f t="shared" si="11"/>
        <v>0</v>
      </c>
      <c r="AB36" s="58"/>
      <c r="AC36" s="58"/>
      <c r="AD36" s="58"/>
      <c r="AE36" s="58"/>
      <c r="AF36" s="58"/>
      <c r="AG36" s="58"/>
      <c r="AH36" s="58"/>
      <c r="AI36" s="58"/>
    </row>
    <row r="37" spans="1:35" s="71" customFormat="1" ht="13" x14ac:dyDescent="0.35">
      <c r="A37" s="13">
        <f>I8</f>
        <v>16</v>
      </c>
      <c r="B37" s="15">
        <v>250</v>
      </c>
      <c r="C37" s="76">
        <f t="shared" si="6"/>
        <v>155.95500000000001</v>
      </c>
      <c r="D37" s="76">
        <f t="shared" si="7"/>
        <v>35.407405000000004</v>
      </c>
      <c r="E37" s="76">
        <f t="shared" si="8"/>
        <v>26.580492500000005</v>
      </c>
      <c r="F37" s="76">
        <f t="shared" si="9"/>
        <v>53.112372000000008</v>
      </c>
      <c r="G37" s="76">
        <f t="shared" si="5"/>
        <v>0.48472500000000002</v>
      </c>
      <c r="H37" s="76">
        <f t="shared" si="5"/>
        <v>2.3182499999999999</v>
      </c>
      <c r="I37" s="76">
        <f t="shared" si="5"/>
        <v>0.31190999999999997</v>
      </c>
      <c r="J37" s="76">
        <f t="shared" si="5"/>
        <v>4.0745E-3</v>
      </c>
      <c r="K37" s="76">
        <f t="shared" si="5"/>
        <v>5.058E-3</v>
      </c>
      <c r="L37" s="76">
        <f t="shared" si="5"/>
        <v>0.35968</v>
      </c>
      <c r="M37" s="76">
        <f t="shared" si="5"/>
        <v>0.28943000000000002</v>
      </c>
      <c r="N37" s="76">
        <f t="shared" si="5"/>
        <v>59.431500000000007</v>
      </c>
      <c r="O37" s="76">
        <f t="shared" si="5"/>
        <v>422.90500000000003</v>
      </c>
      <c r="P37" s="76">
        <f t="shared" si="5"/>
        <v>0</v>
      </c>
      <c r="Q37" s="76">
        <f t="shared" si="10"/>
        <v>95.188749999999999</v>
      </c>
      <c r="R37" s="76">
        <f t="shared" si="11"/>
        <v>0</v>
      </c>
      <c r="S37" s="76">
        <f t="shared" si="11"/>
        <v>0.23463499999999998</v>
      </c>
      <c r="T37" s="76">
        <f t="shared" si="11"/>
        <v>0</v>
      </c>
      <c r="U37" s="76">
        <f t="shared" si="11"/>
        <v>0</v>
      </c>
      <c r="AB37" s="58"/>
      <c r="AC37" s="58"/>
      <c r="AD37" s="58"/>
      <c r="AE37" s="58"/>
      <c r="AF37" s="58"/>
      <c r="AG37" s="58"/>
      <c r="AH37" s="58"/>
      <c r="AI37" s="58"/>
    </row>
    <row r="38" spans="1:35" s="71" customFormat="1" ht="13" x14ac:dyDescent="0.35">
      <c r="A38" s="13">
        <f>J8</f>
        <v>0</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Abercynrig 2</v>
      </c>
      <c r="C57" s="8" t="str">
        <f t="shared" ref="C57:U57" si="13">D8</f>
        <v>Abercynrig 10</v>
      </c>
      <c r="D57" s="8">
        <f t="shared" si="13"/>
        <v>1</v>
      </c>
      <c r="E57" s="8">
        <f t="shared" si="13"/>
        <v>2</v>
      </c>
      <c r="F57" s="8">
        <f t="shared" si="13"/>
        <v>10</v>
      </c>
      <c r="G57" s="8">
        <f t="shared" si="13"/>
        <v>11</v>
      </c>
      <c r="H57" s="8">
        <f t="shared" si="13"/>
        <v>16</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"&amp;(VLOOKUP(C14,Table245810[],6,FALSE))</f>
        <v>Medium/Clay I Grass</v>
      </c>
      <c r="C58" s="13" t="str">
        <f>D16&amp;" I "&amp;(VLOOKUP(D14,Table245810[],6,FALSE))</f>
        <v>Medium/Clay I Grass</v>
      </c>
      <c r="D58" s="13" t="str">
        <f>E16&amp;" I "&amp;(VLOOKUP(E14,Table245810[],6,FALSE))</f>
        <v>Medium/Clay I Arable</v>
      </c>
      <c r="E58" s="13" t="str">
        <f>F16&amp;" I "&amp;(VLOOKUP(F14,Table245810[],6,FALSE))</f>
        <v>Medium/Clay I Arable</v>
      </c>
      <c r="F58" s="13" t="str">
        <f>G16&amp;" I "&amp;(VLOOKUP(G14,Table245810[],6,FALSE))</f>
        <v>Medium/Clay I Grass</v>
      </c>
      <c r="G58" s="13" t="str">
        <f>H16&amp;" I "&amp;(VLOOKUP(H14,Table245810[],6,FALSE))</f>
        <v>Medium/Clay I Grass</v>
      </c>
      <c r="H58" s="13" t="str">
        <f>I16&amp;" I "&amp;(VLOOKUP(I14,Table245810[],6,FALSE))</f>
        <v>Medium/Clay I Grass</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0" t="s">
        <v>132</v>
      </c>
      <c r="B59" s="75">
        <f>VLOOKUP(C$14,Table245810[],5,FALSE)</f>
        <v>6.2</v>
      </c>
      <c r="C59" s="75">
        <f>VLOOKUP(D$14,Table245810[],5,FALSE)</f>
        <v>6.2</v>
      </c>
      <c r="D59" s="75">
        <f>VLOOKUP(E$14,Table245810[],5,FALSE)</f>
        <v>6.7</v>
      </c>
      <c r="E59" s="75">
        <f>VLOOKUP(F$14,Table245810[],5,FALSE)</f>
        <v>6.7</v>
      </c>
      <c r="F59" s="75">
        <f>VLOOKUP(G$14,Table245810[],5,FALSE)</f>
        <v>6.2</v>
      </c>
      <c r="G59" s="75">
        <f>VLOOKUP(H$14,Table245810[],5,FALSE)</f>
        <v>6.2</v>
      </c>
      <c r="H59" s="75">
        <f>VLOOKUP(I$14,Table245810[],5,FALSE)</f>
        <v>6.2</v>
      </c>
      <c r="I59" s="75" t="e">
        <f>VLOOKUP(J$14,Table245810[],5,FALSE)</f>
        <v>#N/A</v>
      </c>
      <c r="J59" s="75" t="e">
        <f>VLOOKUP(K$14,Table245810[],5,FALSE)</f>
        <v>#N/A</v>
      </c>
      <c r="K59" s="75" t="e">
        <f>VLOOKUP(L$14,Table245810[],5,FALSE)</f>
        <v>#N/A</v>
      </c>
      <c r="L59" s="75" t="e">
        <f>VLOOKUP(M$14,Table245810[],5,FALSE)</f>
        <v>#N/A</v>
      </c>
      <c r="M59" s="75" t="e">
        <f>VLOOKUP(N$14,Table245810[],5,FALSE)</f>
        <v>#N/A</v>
      </c>
      <c r="N59" s="75" t="e">
        <f>VLOOKUP(O$14,Table245810[],5,FALSE)</f>
        <v>#N/A</v>
      </c>
      <c r="O59" s="75" t="e">
        <f>VLOOKUP(P$14,Table245810[],5,FALSE)</f>
        <v>#N/A</v>
      </c>
      <c r="P59" s="75" t="e">
        <f>VLOOKUP(Q$14,Table245810[],5,FALSE)</f>
        <v>#N/A</v>
      </c>
      <c r="Q59" s="75" t="e">
        <f>VLOOKUP(R$14,Table245810[],5,FALSE)</f>
        <v>#N/A</v>
      </c>
      <c r="R59" s="75" t="e">
        <f>VLOOKUP(S$14,Table245810[],5,FALSE)</f>
        <v>#N/A</v>
      </c>
      <c r="S59" s="75" t="e">
        <f>VLOOKUP(T$14,Table245810[],5,FALSE)</f>
        <v>#N/A</v>
      </c>
      <c r="T59" s="75" t="e">
        <f>VLOOKUP(U$14,Table245810[],5,FALSE)</f>
        <v>#N/A</v>
      </c>
      <c r="U59" s="75" t="e">
        <f>VLOOKUP(V$14,Table245810[],5,FALSE)</f>
        <v>#N/A</v>
      </c>
    </row>
    <row r="60" spans="1:35" s="19" customFormat="1" ht="13" x14ac:dyDescent="0.3">
      <c r="A60" s="110" t="s">
        <v>4</v>
      </c>
      <c r="B60" s="75">
        <f>C10</f>
        <v>6.2</v>
      </c>
      <c r="C60" s="75">
        <f t="shared" ref="C60:U60" si="14">D10</f>
        <v>5.2</v>
      </c>
      <c r="D60" s="75">
        <f t="shared" si="14"/>
        <v>5.5</v>
      </c>
      <c r="E60" s="75">
        <f t="shared" si="14"/>
        <v>5</v>
      </c>
      <c r="F60" s="75">
        <f t="shared" si="14"/>
        <v>5.5</v>
      </c>
      <c r="G60" s="75">
        <f t="shared" si="14"/>
        <v>5.4</v>
      </c>
      <c r="H60" s="75">
        <f t="shared" si="14"/>
        <v>5.5</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8</v>
      </c>
      <c r="E61" s="75">
        <f t="shared" si="15"/>
        <v>8</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v>
      </c>
      <c r="C64" s="76">
        <f t="shared" ref="C64:U64" si="17">(C59-C60)*C61</f>
        <v>6</v>
      </c>
      <c r="D64" s="76">
        <f t="shared" si="17"/>
        <v>9.6000000000000014</v>
      </c>
      <c r="E64" s="76">
        <f t="shared" si="17"/>
        <v>13.600000000000001</v>
      </c>
      <c r="F64" s="76">
        <f t="shared" si="17"/>
        <v>4.2000000000000011</v>
      </c>
      <c r="G64" s="76">
        <f t="shared" si="17"/>
        <v>4.7999999999999989</v>
      </c>
      <c r="H64" s="76">
        <f t="shared" si="17"/>
        <v>4.2000000000000011</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v>
      </c>
      <c r="C65" s="76">
        <f t="shared" ref="C65:U65" si="18">C63-C64</f>
        <v>-6</v>
      </c>
      <c r="D65" s="76">
        <f t="shared" si="18"/>
        <v>-9.6000000000000014</v>
      </c>
      <c r="E65" s="76">
        <f t="shared" si="18"/>
        <v>-13.600000000000001</v>
      </c>
      <c r="F65" s="76">
        <f t="shared" si="18"/>
        <v>-4.2000000000000011</v>
      </c>
      <c r="G65" s="76">
        <f t="shared" si="18"/>
        <v>-4.7999999999999989</v>
      </c>
      <c r="H65" s="76">
        <f t="shared" si="18"/>
        <v>-4.2000000000000011</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I19" zoomScale="90" zoomScaleNormal="90" workbookViewId="0">
      <selection activeCell="P28" sqref="P27:P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Bryngwyn!C1:D1</f>
        <v>PAN-019774</v>
      </c>
      <c r="D1" s="142"/>
      <c r="E1" s="92" t="s">
        <v>45</v>
      </c>
      <c r="F1" s="38" t="str">
        <f>Bryngwyn!F1</f>
        <v>46.9 ha</v>
      </c>
      <c r="G1" s="124" t="s">
        <v>43</v>
      </c>
      <c r="H1" s="125"/>
      <c r="I1" s="117">
        <v>6.1</v>
      </c>
      <c r="J1" s="128" t="s">
        <v>153</v>
      </c>
      <c r="K1" s="128"/>
      <c r="L1" s="96">
        <v>276</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Bryngwyn!C2:D2</f>
        <v>EPR/GP3792SK</v>
      </c>
      <c r="D2" s="144"/>
      <c r="E2" s="92" t="s">
        <v>109</v>
      </c>
      <c r="F2" s="95" t="s">
        <v>166</v>
      </c>
      <c r="G2" s="126" t="s">
        <v>110</v>
      </c>
      <c r="H2" s="127"/>
      <c r="I2" s="117"/>
      <c r="J2" s="128" t="s">
        <v>158</v>
      </c>
      <c r="K2" s="128"/>
      <c r="L2" s="96">
        <v>1.1499999999999999</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Bryngwyn!C3:D3</f>
        <v xml:space="preserve">Mr Richard Evans </v>
      </c>
      <c r="D3" s="144"/>
      <c r="E3" s="92" t="s">
        <v>108</v>
      </c>
      <c r="F3" s="30" t="s">
        <v>78</v>
      </c>
      <c r="G3" s="128" t="s">
        <v>159</v>
      </c>
      <c r="H3" s="128"/>
      <c r="I3" s="117"/>
      <c r="J3" s="124" t="s">
        <v>154</v>
      </c>
      <c r="K3" s="125"/>
      <c r="L3" s="96">
        <f>(L1/(L2*10000))*100</f>
        <v>2.4</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1" t="str">
        <f>Bryngwyn!C4:D4</f>
        <v>Tylebrithos, Cantref, Brecon, LD3 8LR</v>
      </c>
      <c r="D4" s="142"/>
      <c r="E4" s="93" t="s">
        <v>1</v>
      </c>
      <c r="F4" s="119" t="s">
        <v>167</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Bryngwyn!C5:D5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t="str">
        <f>Bryngwyn!C8</f>
        <v>Abercynrig 2</v>
      </c>
      <c r="D8" s="59" t="str">
        <f>Bryngwyn!D8</f>
        <v>Abercynrig 10</v>
      </c>
      <c r="E8" s="59">
        <f>Bryngwyn!E8</f>
        <v>1</v>
      </c>
      <c r="F8" s="59">
        <f>Bryngwyn!F8</f>
        <v>2</v>
      </c>
      <c r="G8" s="59">
        <f>Bryngwyn!G8</f>
        <v>10</v>
      </c>
      <c r="H8" s="59">
        <f>Bryngwyn!H8</f>
        <v>11</v>
      </c>
      <c r="I8" s="59">
        <f>Bryngwyn!I8</f>
        <v>16</v>
      </c>
      <c r="J8" s="59">
        <f>Bryngwyn!J8</f>
        <v>0</v>
      </c>
      <c r="K8" s="59">
        <f>Bryngwyn!K8</f>
        <v>0</v>
      </c>
      <c r="L8" s="59">
        <f>Bryngwyn!L8</f>
        <v>0</v>
      </c>
      <c r="M8" s="59">
        <f>Bryngwyn!M8</f>
        <v>0</v>
      </c>
      <c r="N8" s="59">
        <f>Bryngwyn!N8</f>
        <v>0</v>
      </c>
      <c r="O8" s="59">
        <f>Bryngwyn!O8</f>
        <v>0</v>
      </c>
      <c r="P8" s="59">
        <f>Bryngwyn!P8</f>
        <v>0</v>
      </c>
      <c r="Q8" s="59">
        <f>Bryngwyn!Q8</f>
        <v>0</v>
      </c>
      <c r="R8" s="59">
        <f>Bryngwyn!R8</f>
        <v>0</v>
      </c>
      <c r="S8" s="59">
        <f>Bryngwyn!S8</f>
        <v>0</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Bryngwyn!C9</f>
        <v>Moderate</v>
      </c>
      <c r="D9" s="59" t="str">
        <f>Bryngwyn!D9</f>
        <v xml:space="preserve">Moderate </v>
      </c>
      <c r="E9" s="59">
        <f>Bryngwyn!E9</f>
        <v>1</v>
      </c>
      <c r="F9" s="59">
        <f>Bryngwyn!F9</f>
        <v>1</v>
      </c>
      <c r="G9" s="59" t="str">
        <f>Bryngwyn!G9</f>
        <v>Moderate</v>
      </c>
      <c r="H9" s="59" t="str">
        <f>Bryngwyn!H9</f>
        <v xml:space="preserve">Moderate </v>
      </c>
      <c r="I9" s="59" t="str">
        <f>Bryngwyn!I9</f>
        <v xml:space="preserve">Moderate </v>
      </c>
      <c r="J9" s="59">
        <f>Bryngwyn!J9</f>
        <v>0</v>
      </c>
      <c r="K9" s="59">
        <f>Bryngwyn!K9</f>
        <v>0</v>
      </c>
      <c r="L9" s="59">
        <f>Bryngwyn!L9</f>
        <v>0</v>
      </c>
      <c r="M9" s="59">
        <f>Bryngwyn!M9</f>
        <v>0</v>
      </c>
      <c r="N9" s="59">
        <f>Bryngwyn!N9</f>
        <v>0</v>
      </c>
      <c r="O9" s="59">
        <f>Bryngwyn!O9</f>
        <v>0</v>
      </c>
      <c r="P9" s="59">
        <f>Bryngwyn!P9</f>
        <v>0</v>
      </c>
      <c r="Q9" s="59">
        <f>Bryngwyn!Q9</f>
        <v>0</v>
      </c>
      <c r="R9" s="59">
        <f>Bryngwyn!R9</f>
        <v>0</v>
      </c>
      <c r="S9" s="59">
        <f>Bryngwyn!S9</f>
        <v>0</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Bryngwyn!C10</f>
        <v>6.2</v>
      </c>
      <c r="D10" s="59">
        <f>Bryngwyn!D10</f>
        <v>5.2</v>
      </c>
      <c r="E10" s="59">
        <f>Bryngwyn!E10</f>
        <v>5.5</v>
      </c>
      <c r="F10" s="59">
        <f>Bryngwyn!F10</f>
        <v>5</v>
      </c>
      <c r="G10" s="59">
        <f>Bryngwyn!G10</f>
        <v>5.5</v>
      </c>
      <c r="H10" s="59">
        <f>Bryngwyn!H10</f>
        <v>5.4</v>
      </c>
      <c r="I10" s="59">
        <f>Bryngwyn!I10</f>
        <v>5.5</v>
      </c>
      <c r="J10" s="59">
        <f>Bryngwyn!J10</f>
        <v>0</v>
      </c>
      <c r="K10" s="59">
        <f>Bryngwyn!K10</f>
        <v>0</v>
      </c>
      <c r="L10" s="59">
        <f>Bryngwyn!L10</f>
        <v>0</v>
      </c>
      <c r="M10" s="59">
        <f>Bryngwyn!M10</f>
        <v>0</v>
      </c>
      <c r="N10" s="59">
        <f>Bryngwyn!N10</f>
        <v>0</v>
      </c>
      <c r="O10" s="59">
        <f>Bryngwyn!O10</f>
        <v>0</v>
      </c>
      <c r="P10" s="59">
        <f>Bryngwyn!P10</f>
        <v>0</v>
      </c>
      <c r="Q10" s="59">
        <f>Bryngwyn!Q10</f>
        <v>0</v>
      </c>
      <c r="R10" s="59">
        <f>Bryngwyn!R10</f>
        <v>0</v>
      </c>
      <c r="S10" s="59">
        <f>Bryngwyn!S10</f>
        <v>0</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Bryngwyn!C11</f>
        <v>3</v>
      </c>
      <c r="D11" s="59">
        <f>Bryngwyn!D11</f>
        <v>3</v>
      </c>
      <c r="E11" s="59">
        <f>Bryngwyn!E11</f>
        <v>3</v>
      </c>
      <c r="F11" s="59">
        <f>Bryngwyn!F11</f>
        <v>4</v>
      </c>
      <c r="G11" s="59">
        <f>Bryngwyn!G11</f>
        <v>2</v>
      </c>
      <c r="H11" s="59">
        <f>Bryngwyn!H11</f>
        <v>2</v>
      </c>
      <c r="I11" s="59">
        <f>Bryngwyn!I11</f>
        <v>3</v>
      </c>
      <c r="J11" s="59">
        <f>Bryngwyn!J11</f>
        <v>0</v>
      </c>
      <c r="K11" s="59">
        <f>Bryngwyn!K11</f>
        <v>0</v>
      </c>
      <c r="L11" s="59">
        <f>Bryngwyn!L11</f>
        <v>0</v>
      </c>
      <c r="M11" s="59">
        <f>Bryngwyn!M11</f>
        <v>0</v>
      </c>
      <c r="N11" s="59">
        <f>Bryngwyn!N11</f>
        <v>0</v>
      </c>
      <c r="O11" s="59">
        <f>Bryngwyn!O11</f>
        <v>0</v>
      </c>
      <c r="P11" s="59">
        <f>Bryngwyn!P11</f>
        <v>0</v>
      </c>
      <c r="Q11" s="59">
        <f>Bryngwyn!Q11</f>
        <v>0</v>
      </c>
      <c r="R11" s="59">
        <f>Bryngwyn!R11</f>
        <v>0</v>
      </c>
      <c r="S11" s="59">
        <f>Bryngwyn!S11</f>
        <v>0</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Bryngwyn!C12</f>
        <v>2</v>
      </c>
      <c r="D12" s="59">
        <f>Bryngwyn!D12</f>
        <v>1</v>
      </c>
      <c r="E12" s="59">
        <f>Bryngwyn!E12</f>
        <v>2</v>
      </c>
      <c r="F12" s="59">
        <f>Bryngwyn!F12</f>
        <v>1</v>
      </c>
      <c r="G12" s="59">
        <f>Bryngwyn!G12</f>
        <v>1</v>
      </c>
      <c r="H12" s="59">
        <f>Bryngwyn!H12</f>
        <v>1</v>
      </c>
      <c r="I12" s="59">
        <f>Bryngwyn!I12</f>
        <v>1</v>
      </c>
      <c r="J12" s="59">
        <f>Bryngwyn!J12</f>
        <v>0</v>
      </c>
      <c r="K12" s="59">
        <f>Bryngwyn!K12</f>
        <v>0</v>
      </c>
      <c r="L12" s="59">
        <f>Bryngwyn!L12</f>
        <v>0</v>
      </c>
      <c r="M12" s="59">
        <f>Bryngwyn!M12</f>
        <v>0</v>
      </c>
      <c r="N12" s="59">
        <f>Bryngwyn!N12</f>
        <v>0</v>
      </c>
      <c r="O12" s="59">
        <f>Bryngwyn!O12</f>
        <v>0</v>
      </c>
      <c r="P12" s="59">
        <f>Bryngwyn!P12</f>
        <v>0</v>
      </c>
      <c r="Q12" s="59">
        <f>Bryngwyn!Q12</f>
        <v>0</v>
      </c>
      <c r="R12" s="59">
        <f>Bryngwyn!R12</f>
        <v>0</v>
      </c>
      <c r="S12" s="59">
        <f>Bryngwyn!S12</f>
        <v>0</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Bryngwyn!C13</f>
        <v>3</v>
      </c>
      <c r="D13" s="59">
        <f>Bryngwyn!D13</f>
        <v>2</v>
      </c>
      <c r="E13" s="59">
        <f>Bryngwyn!E13</f>
        <v>3</v>
      </c>
      <c r="F13" s="59">
        <f>Bryngwyn!F13</f>
        <v>2</v>
      </c>
      <c r="G13" s="59">
        <f>Bryngwyn!G13</f>
        <v>2</v>
      </c>
      <c r="H13" s="59">
        <f>Bryngwyn!H13</f>
        <v>2</v>
      </c>
      <c r="I13" s="59">
        <f>Bryngwyn!I13</f>
        <v>3</v>
      </c>
      <c r="J13" s="59">
        <f>Bryngwyn!J13</f>
        <v>0</v>
      </c>
      <c r="K13" s="59">
        <f>Bryngwyn!K13</f>
        <v>0</v>
      </c>
      <c r="L13" s="59">
        <f>Bryngwyn!L13</f>
        <v>0</v>
      </c>
      <c r="M13" s="59">
        <f>Bryngwyn!M13</f>
        <v>0</v>
      </c>
      <c r="N13" s="59">
        <f>Bryngwyn!N13</f>
        <v>0</v>
      </c>
      <c r="O13" s="59">
        <f>Bryngwyn!O13</f>
        <v>0</v>
      </c>
      <c r="P13" s="59">
        <f>Bryngwyn!P13</f>
        <v>0</v>
      </c>
      <c r="Q13" s="59">
        <f>Bryngwyn!Q13</f>
        <v>0</v>
      </c>
      <c r="R13" s="59">
        <f>Bryngwyn!R13</f>
        <v>0</v>
      </c>
      <c r="S13" s="59">
        <f>Bryngwyn!S13</f>
        <v>0</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Bryngwyn!C14</f>
        <v xml:space="preserve">Grass Silage (25% DM) </v>
      </c>
      <c r="D14" s="101" t="str">
        <f>Bryngwyn!D14</f>
        <v xml:space="preserve">Grass Silage (25% DM) </v>
      </c>
      <c r="E14" s="101" t="str">
        <f>Bryngwyn!E14</f>
        <v>Winter barley/triticale/rye</v>
      </c>
      <c r="F14" s="101" t="str">
        <f>Bryngwyn!F14</f>
        <v>Winter barley/triticale/rye</v>
      </c>
      <c r="G14" s="101" t="str">
        <f>Bryngwyn!G14</f>
        <v xml:space="preserve">Grass Silage (25% DM) </v>
      </c>
      <c r="H14" s="101" t="str">
        <f>Bryngwyn!H14</f>
        <v xml:space="preserve">Grass Silage (25% DM) </v>
      </c>
      <c r="I14" s="101" t="str">
        <f>Bryngwyn!I14</f>
        <v xml:space="preserve">Grass Silage (25% DM) </v>
      </c>
      <c r="J14" s="101">
        <f>Bryngwyn!J14</f>
        <v>0</v>
      </c>
      <c r="K14" s="101">
        <f>Bryngwyn!K14</f>
        <v>0</v>
      </c>
      <c r="L14" s="101">
        <f>Bryngwyn!L14</f>
        <v>0</v>
      </c>
      <c r="M14" s="101">
        <f>Bryngwyn!M14</f>
        <v>0</v>
      </c>
      <c r="N14" s="101">
        <f>Bryngwyn!N14</f>
        <v>0</v>
      </c>
      <c r="O14" s="101">
        <f>Bryngwyn!O14</f>
        <v>0</v>
      </c>
      <c r="P14" s="101">
        <f>Bryngwyn!P14</f>
        <v>0</v>
      </c>
      <c r="Q14" s="101">
        <f>Bryngwyn!Q14</f>
        <v>0</v>
      </c>
      <c r="R14" s="101">
        <f>Bryngwyn!R14</f>
        <v>0</v>
      </c>
      <c r="S14" s="101">
        <f>Bryngwyn!S14</f>
        <v>0</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6" t="s">
        <v>9</v>
      </c>
      <c r="B15" s="136"/>
      <c r="C15" s="59">
        <f>Bryngwyn!C15</f>
        <v>38</v>
      </c>
      <c r="D15" s="59">
        <f>Bryngwyn!D15</f>
        <v>38</v>
      </c>
      <c r="E15" s="59">
        <f>Bryngwyn!E15</f>
        <v>6.5</v>
      </c>
      <c r="F15" s="59">
        <f>Bryngwyn!F15</f>
        <v>6.5</v>
      </c>
      <c r="G15" s="59">
        <f>Bryngwyn!G15</f>
        <v>38</v>
      </c>
      <c r="H15" s="59">
        <f>Bryngwyn!H15</f>
        <v>38</v>
      </c>
      <c r="I15" s="59">
        <f>Bryngwyn!I15</f>
        <v>38</v>
      </c>
      <c r="J15" s="59">
        <f>Bryngwyn!J15</f>
        <v>0</v>
      </c>
      <c r="K15" s="59">
        <f>Bryngwyn!K15</f>
        <v>0</v>
      </c>
      <c r="L15" s="59">
        <f>Bryngwyn!L15</f>
        <v>0</v>
      </c>
      <c r="M15" s="59">
        <f>Bryngwyn!M15</f>
        <v>0</v>
      </c>
      <c r="N15" s="59">
        <f>Bryngwyn!N15</f>
        <v>0</v>
      </c>
      <c r="O15" s="59">
        <f>Bryngwyn!O15</f>
        <v>0</v>
      </c>
      <c r="P15" s="59">
        <f>Bryngwyn!P15</f>
        <v>0</v>
      </c>
      <c r="Q15" s="59">
        <f>Bryngwyn!Q15</f>
        <v>0</v>
      </c>
      <c r="R15" s="59">
        <f>Bryngwyn!R15</f>
        <v>0</v>
      </c>
      <c r="S15" s="59">
        <f>Bryngwyn!S15</f>
        <v>0</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f>Bryngwyn!J16</f>
        <v>0</v>
      </c>
      <c r="K16" s="102">
        <f>Bryngwyn!K16</f>
        <v>0</v>
      </c>
      <c r="L16" s="102">
        <f>Bryngwyn!L16</f>
        <v>0</v>
      </c>
      <c r="M16" s="102">
        <f>Bryngwyn!M16</f>
        <v>0</v>
      </c>
      <c r="N16" s="102">
        <f>Bryngwyn!N16</f>
        <v>0</v>
      </c>
      <c r="O16" s="102">
        <f>Bryngwyn!O16</f>
        <v>0</v>
      </c>
      <c r="P16" s="102">
        <f>Bryngwyn!P16</f>
        <v>0</v>
      </c>
      <c r="Q16" s="102">
        <f>Bryngwyn!Q16</f>
        <v>0</v>
      </c>
      <c r="R16" s="102">
        <f>Bryngwyn!R16</f>
        <v>0</v>
      </c>
      <c r="S16" s="102">
        <f>Bryngwyn!S16</f>
        <v>0</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64.599999999999994</v>
      </c>
      <c r="D17" s="27">
        <f t="shared" ref="D17:V17" si="0">(VLOOKUP(D$14,$AI2:$AK26,2,FALSE))*D$15</f>
        <v>64.599999999999994</v>
      </c>
      <c r="E17" s="27">
        <f t="shared" si="0"/>
        <v>55.25</v>
      </c>
      <c r="F17" s="27">
        <f t="shared" si="0"/>
        <v>55.25</v>
      </c>
      <c r="G17" s="27">
        <f t="shared" si="0"/>
        <v>64.599999999999994</v>
      </c>
      <c r="H17" s="27">
        <f t="shared" si="0"/>
        <v>64.599999999999994</v>
      </c>
      <c r="I17" s="27">
        <f t="shared" si="0"/>
        <v>64.599999999999994</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7.6725590000000006</v>
      </c>
      <c r="D18" s="16">
        <f>$D32</f>
        <v>7.6725590000000006</v>
      </c>
      <c r="E18" s="16">
        <f>$D33</f>
        <v>7.6725590000000006</v>
      </c>
      <c r="F18" s="16">
        <f>$D34</f>
        <v>7.6725590000000006</v>
      </c>
      <c r="G18" s="16">
        <f>$D35</f>
        <v>7.6725590000000006</v>
      </c>
      <c r="H18" s="16">
        <f>$D36</f>
        <v>7.6725590000000006</v>
      </c>
      <c r="I18" s="16">
        <f>$D37</f>
        <v>7.6725590000000006</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-56.927440999999995</v>
      </c>
      <c r="D19" s="16">
        <f t="shared" ref="D19:V19" si="1">D18-D17</f>
        <v>-56.927440999999995</v>
      </c>
      <c r="E19" s="16">
        <f t="shared" si="1"/>
        <v>-47.577441</v>
      </c>
      <c r="F19" s="16">
        <f t="shared" si="1"/>
        <v>-47.577441</v>
      </c>
      <c r="G19" s="16">
        <f t="shared" si="1"/>
        <v>-56.927440999999995</v>
      </c>
      <c r="H19" s="16">
        <f t="shared" si="1"/>
        <v>-56.927440999999995</v>
      </c>
      <c r="I19" s="16">
        <f t="shared" si="1"/>
        <v>-56.927440999999995</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228</v>
      </c>
      <c r="D21" s="27">
        <f t="shared" ref="D21:V21" si="2">(VLOOKUP(D$14,$AI2:$AK26,3,FALSE))*D$15</f>
        <v>228</v>
      </c>
      <c r="E21" s="27">
        <f t="shared" si="2"/>
        <v>68.25</v>
      </c>
      <c r="F21" s="27">
        <f t="shared" si="2"/>
        <v>68.25</v>
      </c>
      <c r="G21" s="27">
        <f t="shared" si="2"/>
        <v>228</v>
      </c>
      <c r="H21" s="27">
        <f t="shared" si="2"/>
        <v>228</v>
      </c>
      <c r="I21" s="27">
        <f t="shared" si="2"/>
        <v>228</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4.158455</v>
      </c>
      <c r="D22" s="16">
        <f>$E32</f>
        <v>4.158455</v>
      </c>
      <c r="E22" s="16">
        <f>$E33</f>
        <v>4.158455</v>
      </c>
      <c r="F22" s="16">
        <f>$E34</f>
        <v>4.158455</v>
      </c>
      <c r="G22" s="16">
        <f>$E35</f>
        <v>4.158455</v>
      </c>
      <c r="H22" s="16">
        <f>$E36</f>
        <v>4.158455</v>
      </c>
      <c r="I22" s="16">
        <f>$E37</f>
        <v>4.158455</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-223.841545</v>
      </c>
      <c r="D23" s="16">
        <f t="shared" ref="D23:V23" si="3">D22-D21</f>
        <v>-223.841545</v>
      </c>
      <c r="E23" s="16">
        <f t="shared" si="3"/>
        <v>-64.091544999999996</v>
      </c>
      <c r="F23" s="16">
        <f t="shared" si="3"/>
        <v>-64.091544999999996</v>
      </c>
      <c r="G23" s="16">
        <f t="shared" si="3"/>
        <v>-223.841545</v>
      </c>
      <c r="H23" s="16">
        <f t="shared" si="3"/>
        <v>-223.841545</v>
      </c>
      <c r="I23" s="16">
        <f t="shared" si="3"/>
        <v>-223.841545</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t="s">
        <v>55</v>
      </c>
      <c r="S27" s="106" t="s">
        <v>55</v>
      </c>
      <c r="T27" s="106"/>
      <c r="U27" s="106"/>
    </row>
    <row r="28" spans="1:40" s="56" customFormat="1" x14ac:dyDescent="0.35">
      <c r="A28" s="107"/>
      <c r="B28" s="23">
        <v>3.4</v>
      </c>
      <c r="C28" s="15">
        <v>1.1499999999999999</v>
      </c>
      <c r="D28" s="15">
        <v>3.9399999999999998E-2</v>
      </c>
      <c r="E28" s="15">
        <v>4.0599999999999997E-2</v>
      </c>
      <c r="F28" s="15">
        <v>634</v>
      </c>
      <c r="G28" s="15">
        <v>32.799999999999997</v>
      </c>
      <c r="H28" s="15">
        <v>188</v>
      </c>
      <c r="I28" s="15">
        <v>30.4</v>
      </c>
      <c r="J28" s="15">
        <v>0.88</v>
      </c>
      <c r="K28" s="15">
        <v>0.6</v>
      </c>
      <c r="L28" s="15">
        <v>12</v>
      </c>
      <c r="M28" s="15">
        <v>4.83</v>
      </c>
      <c r="N28" s="15">
        <v>3330</v>
      </c>
      <c r="O28" s="15">
        <v>432000</v>
      </c>
      <c r="P28" s="15"/>
      <c r="Q28" s="15">
        <v>6920</v>
      </c>
      <c r="R28" s="15"/>
      <c r="S28" s="15">
        <v>35</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Abercynrig 2</v>
      </c>
      <c r="B31" s="15">
        <v>250</v>
      </c>
      <c r="C31" s="76">
        <f>IF(C$27="%w/w SAR",((C$28*10)*$B31),IF(C$27="%w/w DM",(((C$28*10)*($B$28/100))*$B31),IF(C$27="kg/t SAR",(C$28*$B31),IF(C$27="kg/t DM",((C$28*($B$28/100))*$B31),IF(C$27="mg/kg SAR",((C$28*0.001)*$B31),IF(C$27="mg/kg DM",(((C$28*0.001)*($B$28/100))*$B31),0))))))</f>
        <v>97.75</v>
      </c>
      <c r="D31" s="76">
        <f>(IF(D$27="%w/w SAR",((D$28*10)*$B31),IF(D$27="%w/w DM",(((D$28*10)*($B$28/100))*$B31),IF(D$27="kg/t SAR",(D$28*$B31),IF(D$27="kg/t DM",((D$28*($B$28/100))*$B31),IF(D$27="mg/kg SAR",((D$28*0.001)*$B31),IF(D$27="mg/kg DM",(((D$28*0.001)*($B$28/100))*$B31),"0")))))))*2.291</f>
        <v>7.6725590000000006</v>
      </c>
      <c r="E31" s="76">
        <f>(IF(E$27="%w/w SAR",((E$28*10)*$B31),IF(E$27="%w/w DM",(((E$28*10)*($B$28/100))*$B31),IF(E$27="kg/t SAR",(E$28*$B31),IF(E$27="kg/t DM",((E$28*($B$28/100))*$B31),IF(E$27="mg/kg SAR",((E$28*0.001)*$B31),IF(E$27="mg/kg DM",(((E$28*0.001)*($B$28/100))*$B31),"0")))))))*1.205</f>
        <v>4.158455</v>
      </c>
      <c r="F31" s="76">
        <f>(IF(F$27="%w/w SAR",((F$28*10)*$B31),IF(F$27="%w/w DM",(((F$28*10)*($B$28/100))*$B31),IF(F$27="kg/t SAR",(F$28*$B31),IF(F$27="kg/t DM",((F$28*($B$28/100))*$B31),IF(F$27="mg/kg SAR",((F$28*0.001)*$B31),IF(F$27="mg/kg DM",(((F$28*0.001)*($B$28/100))*$B31),"0")))))))*1.658</f>
        <v>8.9349620000000005</v>
      </c>
      <c r="G31" s="76">
        <f t="shared" ref="G31:P46" si="5">IF(G$27="%w/w SAR",((G$28*10)*$B31),IF(G$27="%w/w DM",(((G$28*10)*($B$28/100))*$B31),IF(G$27="kg/t SAR",(G$28*$B31),IF(G$27="kg/t DM",((G$28*($B$28/100))*$B31),IF(G$27="mg/kg SAR",((G$28*0.001)*$B31),IF(G$27="mg/kg DM",(((G$28*0.001)*($B$28/100))*$B31),0))))))</f>
        <v>0.27879999999999999</v>
      </c>
      <c r="H31" s="76">
        <f t="shared" si="5"/>
        <v>1.5980000000000001</v>
      </c>
      <c r="I31" s="76">
        <f t="shared" si="5"/>
        <v>0.25840000000000002</v>
      </c>
      <c r="J31" s="76">
        <f t="shared" si="5"/>
        <v>7.4800000000000005E-3</v>
      </c>
      <c r="K31" s="76">
        <f t="shared" si="5"/>
        <v>5.1000000000000004E-3</v>
      </c>
      <c r="L31" s="76">
        <f t="shared" si="5"/>
        <v>0.10200000000000001</v>
      </c>
      <c r="M31" s="76">
        <f t="shared" si="5"/>
        <v>4.1055000000000008E-2</v>
      </c>
      <c r="N31" s="76">
        <f t="shared" si="5"/>
        <v>28.305000000000003</v>
      </c>
      <c r="O31" s="76">
        <f t="shared" si="5"/>
        <v>3672</v>
      </c>
      <c r="P31" s="76">
        <f t="shared" si="5"/>
        <v>0</v>
      </c>
      <c r="Q31" s="76">
        <f>(IF(Q$27="%w/w SAR",((Q$28*10)*$B31),IF(Q$27="%w/w DM",(((Q$28*10)*($B$28/100))*$B31),IF(Q$27="kg/t SAR",(Q$28*$B31),IF(Q$27="kg/t DM",((Q$28*($B$28/100))*$B31),IF(Q$27="mg/kg SAR",((Q$28*0.001)*$B31),IF(Q$27="mg/kg DM",(((Q$28*0.001)*($B$28/100))*$B31),0)))))))*2.5</f>
        <v>147.05000000000001</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0.2975000000000001</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Abercynrig 10</v>
      </c>
      <c r="B32" s="15">
        <v>250</v>
      </c>
      <c r="C32" s="76">
        <f t="shared" ref="C32:C50" si="6">IF(C$27="%w/w SAR",((C$28*10)*$B32),IF(C$27="%w/w DM",(((C$28*10)*($B$28/100))*$B32),IF(C$27="kg/t SAR",(C$28*$B32),IF(C$27="kg/t DM",((C$28*($B$28/100))*$B32),IF(C$27="mg/kg SAR",((C$28*0.001)*$B32),IF(C$27="mg/kg DM",(((C$28*0.001)*($B$28/100))*$B32),0))))))</f>
        <v>97.75</v>
      </c>
      <c r="D32" s="76">
        <f t="shared" ref="D32:D50" si="7">(IF(D$27="%w/w SAR",((D$28*10)*$B32),IF(D$27="%w/w DM",(((D$28*10)*($B$28/100))*$B32),IF(D$27="kg/t SAR",(D$28*$B32),IF(D$27="kg/t DM",((D$28*($B$28/100))*$B32),IF(D$27="mg/kg SAR",((D$28*0.001)*$B32),IF(D$27="mg/kg DM",(((D$28*0.001)*($B$28/100))*$B32),"0")))))))*2.291</f>
        <v>7.6725590000000006</v>
      </c>
      <c r="E32" s="76">
        <f t="shared" ref="E32:E50" si="8">(IF(E$27="%w/w SAR",((E$28*10)*$B32),IF(E$27="%w/w DM",(((E$28*10)*($B$28/100))*$B32),IF(E$27="kg/t SAR",(E$28*$B32),IF(E$27="kg/t DM",((E$28*($B$28/100))*$B32),IF(E$27="mg/kg SAR",((E$28*0.001)*$B32),IF(E$27="mg/kg DM",(((E$28*0.001)*($B$28/100))*$B32),"0")))))))*1.205</f>
        <v>4.158455</v>
      </c>
      <c r="F32" s="76">
        <f t="shared" ref="F32:F50" si="9">(IF(F$27="%w/w SAR",((F$28*10)*$B32),IF(F$27="%w/w DM",(((F$28*10)*($B$28/100))*$B32),IF(F$27="kg/t SAR",(F$28*$B32),IF(F$27="kg/t DM",((F$28*($B$28/100))*$B32),IF(F$27="mg/kg SAR",((F$28*0.001)*$B32),IF(F$27="mg/kg DM",(((F$28*0.001)*($B$28/100))*$B32),"0")))))))*1.658</f>
        <v>8.9349620000000005</v>
      </c>
      <c r="G32" s="76">
        <f t="shared" si="5"/>
        <v>0.27879999999999999</v>
      </c>
      <c r="H32" s="76">
        <f t="shared" si="5"/>
        <v>1.5980000000000001</v>
      </c>
      <c r="I32" s="76">
        <f t="shared" si="5"/>
        <v>0.25840000000000002</v>
      </c>
      <c r="J32" s="76">
        <f t="shared" si="5"/>
        <v>7.4800000000000005E-3</v>
      </c>
      <c r="K32" s="76">
        <f t="shared" si="5"/>
        <v>5.1000000000000004E-3</v>
      </c>
      <c r="L32" s="76">
        <f t="shared" si="5"/>
        <v>0.10200000000000001</v>
      </c>
      <c r="M32" s="76">
        <f t="shared" si="5"/>
        <v>4.1055000000000008E-2</v>
      </c>
      <c r="N32" s="76">
        <f t="shared" si="5"/>
        <v>28.305000000000003</v>
      </c>
      <c r="O32" s="76">
        <f t="shared" si="5"/>
        <v>3672</v>
      </c>
      <c r="P32" s="76">
        <f t="shared" si="5"/>
        <v>0</v>
      </c>
      <c r="Q32" s="76">
        <f t="shared" ref="Q32:Q50" si="10">(IF(Q$27="%w/w SAR",((Q$28*10)*$B32),IF(Q$27="%w/w DM",(((Q$28*10)*($B$28/100))*$B32),IF(Q$27="kg/t SAR",(Q$28*$B32),IF(Q$27="kg/t DM",((Q$28*($B$28/100))*$B32),IF(Q$27="mg/kg SAR",((Q$28*0.001)*$B32),IF(Q$27="mg/kg DM",(((Q$28*0.001)*($B$28/100))*$B32),0)))))))*2.5</f>
        <v>147.05000000000001</v>
      </c>
      <c r="R32" s="76">
        <f t="shared" ref="R32:U50" si="11">IF(R$27="%w/w SAR",((R$28*10)*$B32),IF(R$27="%w/w DM",(((R$28*10)*($B$28/100))*$B32),IF(R$27="kg/t SAR",(R$28*$B32),IF(R$27="kg/t DM",((R$28*($B$28/100))*$B32),IF(R$27="mg/kg SAR",((R$28*0.001)*$B32),IF(R$27="mg/kg DM",(((R$28*0.001)*($B$28/100))*$B32),0))))))</f>
        <v>0</v>
      </c>
      <c r="S32" s="76">
        <f t="shared" si="11"/>
        <v>0.2975000000000001</v>
      </c>
      <c r="T32" s="76">
        <f t="shared" si="11"/>
        <v>0</v>
      </c>
      <c r="U32" s="76">
        <f t="shared" si="11"/>
        <v>0</v>
      </c>
      <c r="AB32" s="58"/>
      <c r="AC32" s="58"/>
      <c r="AD32" s="58"/>
      <c r="AE32" s="58"/>
      <c r="AF32" s="58"/>
      <c r="AG32" s="58"/>
      <c r="AH32" s="58"/>
      <c r="AI32" s="58"/>
    </row>
    <row r="33" spans="1:35" s="71" customFormat="1" ht="13" x14ac:dyDescent="0.35">
      <c r="A33" s="13">
        <f>E8</f>
        <v>1</v>
      </c>
      <c r="B33" s="15">
        <v>250</v>
      </c>
      <c r="C33" s="76">
        <f t="shared" si="6"/>
        <v>97.75</v>
      </c>
      <c r="D33" s="76">
        <f t="shared" si="7"/>
        <v>7.6725590000000006</v>
      </c>
      <c r="E33" s="76">
        <f t="shared" si="8"/>
        <v>4.158455</v>
      </c>
      <c r="F33" s="76">
        <f t="shared" si="9"/>
        <v>8.9349620000000005</v>
      </c>
      <c r="G33" s="76">
        <f t="shared" si="5"/>
        <v>0.27879999999999999</v>
      </c>
      <c r="H33" s="76">
        <f t="shared" si="5"/>
        <v>1.5980000000000001</v>
      </c>
      <c r="I33" s="76">
        <f t="shared" si="5"/>
        <v>0.25840000000000002</v>
      </c>
      <c r="J33" s="76">
        <f t="shared" si="5"/>
        <v>7.4800000000000005E-3</v>
      </c>
      <c r="K33" s="76">
        <f t="shared" si="5"/>
        <v>5.1000000000000004E-3</v>
      </c>
      <c r="L33" s="76">
        <f t="shared" si="5"/>
        <v>0.10200000000000001</v>
      </c>
      <c r="M33" s="76">
        <f t="shared" si="5"/>
        <v>4.1055000000000008E-2</v>
      </c>
      <c r="N33" s="76">
        <f t="shared" si="5"/>
        <v>28.305000000000003</v>
      </c>
      <c r="O33" s="76">
        <f t="shared" si="5"/>
        <v>3672</v>
      </c>
      <c r="P33" s="76">
        <f t="shared" si="5"/>
        <v>0</v>
      </c>
      <c r="Q33" s="76">
        <f t="shared" si="10"/>
        <v>147.05000000000001</v>
      </c>
      <c r="R33" s="76">
        <f t="shared" si="11"/>
        <v>0</v>
      </c>
      <c r="S33" s="76">
        <f t="shared" si="11"/>
        <v>0.2975000000000001</v>
      </c>
      <c r="T33" s="76">
        <f t="shared" si="11"/>
        <v>0</v>
      </c>
      <c r="U33" s="76">
        <f t="shared" si="11"/>
        <v>0</v>
      </c>
      <c r="AB33" s="58"/>
      <c r="AC33" s="58"/>
      <c r="AD33" s="58"/>
      <c r="AE33" s="58"/>
      <c r="AF33" s="58"/>
      <c r="AG33" s="58"/>
      <c r="AH33" s="58"/>
      <c r="AI33" s="58"/>
    </row>
    <row r="34" spans="1:35" s="71" customFormat="1" ht="13" x14ac:dyDescent="0.35">
      <c r="A34" s="13">
        <f>F8</f>
        <v>2</v>
      </c>
      <c r="B34" s="15">
        <v>250</v>
      </c>
      <c r="C34" s="76">
        <f t="shared" si="6"/>
        <v>97.75</v>
      </c>
      <c r="D34" s="76">
        <f t="shared" si="7"/>
        <v>7.6725590000000006</v>
      </c>
      <c r="E34" s="76">
        <f t="shared" si="8"/>
        <v>4.158455</v>
      </c>
      <c r="F34" s="76">
        <f t="shared" si="9"/>
        <v>8.9349620000000005</v>
      </c>
      <c r="G34" s="76">
        <f t="shared" si="5"/>
        <v>0.27879999999999999</v>
      </c>
      <c r="H34" s="76">
        <f t="shared" si="5"/>
        <v>1.5980000000000001</v>
      </c>
      <c r="I34" s="76">
        <f t="shared" si="5"/>
        <v>0.25840000000000002</v>
      </c>
      <c r="J34" s="76">
        <f t="shared" si="5"/>
        <v>7.4800000000000005E-3</v>
      </c>
      <c r="K34" s="76">
        <f t="shared" si="5"/>
        <v>5.1000000000000004E-3</v>
      </c>
      <c r="L34" s="76">
        <f t="shared" si="5"/>
        <v>0.10200000000000001</v>
      </c>
      <c r="M34" s="76">
        <f t="shared" si="5"/>
        <v>4.1055000000000008E-2</v>
      </c>
      <c r="N34" s="76">
        <f t="shared" si="5"/>
        <v>28.305000000000003</v>
      </c>
      <c r="O34" s="76">
        <f t="shared" si="5"/>
        <v>3672</v>
      </c>
      <c r="P34" s="76">
        <f t="shared" si="5"/>
        <v>0</v>
      </c>
      <c r="Q34" s="76">
        <f t="shared" si="10"/>
        <v>147.05000000000001</v>
      </c>
      <c r="R34" s="76">
        <f t="shared" si="11"/>
        <v>0</v>
      </c>
      <c r="S34" s="76">
        <f t="shared" si="11"/>
        <v>0.2975000000000001</v>
      </c>
      <c r="T34" s="76">
        <f t="shared" si="11"/>
        <v>0</v>
      </c>
      <c r="U34" s="76">
        <f t="shared" si="11"/>
        <v>0</v>
      </c>
      <c r="AB34" s="58"/>
      <c r="AC34" s="58"/>
      <c r="AD34" s="58"/>
      <c r="AE34" s="58"/>
      <c r="AF34" s="58"/>
      <c r="AG34" s="58"/>
      <c r="AH34" s="58"/>
      <c r="AI34" s="58"/>
    </row>
    <row r="35" spans="1:35" s="71" customFormat="1" ht="13" x14ac:dyDescent="0.35">
      <c r="A35" s="13">
        <f>G8</f>
        <v>10</v>
      </c>
      <c r="B35" s="15">
        <v>250</v>
      </c>
      <c r="C35" s="76">
        <f t="shared" si="6"/>
        <v>97.75</v>
      </c>
      <c r="D35" s="76">
        <f t="shared" si="7"/>
        <v>7.6725590000000006</v>
      </c>
      <c r="E35" s="76">
        <f t="shared" si="8"/>
        <v>4.158455</v>
      </c>
      <c r="F35" s="76">
        <f t="shared" si="9"/>
        <v>8.9349620000000005</v>
      </c>
      <c r="G35" s="76">
        <f t="shared" si="5"/>
        <v>0.27879999999999999</v>
      </c>
      <c r="H35" s="76">
        <f t="shared" si="5"/>
        <v>1.5980000000000001</v>
      </c>
      <c r="I35" s="76">
        <f t="shared" si="5"/>
        <v>0.25840000000000002</v>
      </c>
      <c r="J35" s="76">
        <f t="shared" si="5"/>
        <v>7.4800000000000005E-3</v>
      </c>
      <c r="K35" s="76">
        <f t="shared" si="5"/>
        <v>5.1000000000000004E-3</v>
      </c>
      <c r="L35" s="76">
        <f t="shared" si="5"/>
        <v>0.10200000000000001</v>
      </c>
      <c r="M35" s="76">
        <f t="shared" si="5"/>
        <v>4.1055000000000008E-2</v>
      </c>
      <c r="N35" s="76">
        <f t="shared" si="5"/>
        <v>28.305000000000003</v>
      </c>
      <c r="O35" s="76">
        <f t="shared" si="5"/>
        <v>3672</v>
      </c>
      <c r="P35" s="76">
        <f t="shared" si="5"/>
        <v>0</v>
      </c>
      <c r="Q35" s="76">
        <f t="shared" si="10"/>
        <v>147.05000000000001</v>
      </c>
      <c r="R35" s="76">
        <f t="shared" si="11"/>
        <v>0</v>
      </c>
      <c r="S35" s="76">
        <f t="shared" si="11"/>
        <v>0.2975000000000001</v>
      </c>
      <c r="T35" s="76">
        <f t="shared" si="11"/>
        <v>0</v>
      </c>
      <c r="U35" s="76">
        <f t="shared" si="11"/>
        <v>0</v>
      </c>
      <c r="AB35" s="58"/>
      <c r="AC35" s="58"/>
      <c r="AD35" s="58"/>
      <c r="AE35" s="58"/>
      <c r="AF35" s="58"/>
      <c r="AG35" s="58"/>
      <c r="AH35" s="58"/>
      <c r="AI35" s="58"/>
    </row>
    <row r="36" spans="1:35" s="71" customFormat="1" ht="13" x14ac:dyDescent="0.35">
      <c r="A36" s="13">
        <f>H8</f>
        <v>11</v>
      </c>
      <c r="B36" s="15">
        <v>250</v>
      </c>
      <c r="C36" s="76">
        <f t="shared" si="6"/>
        <v>97.75</v>
      </c>
      <c r="D36" s="76">
        <f t="shared" si="7"/>
        <v>7.6725590000000006</v>
      </c>
      <c r="E36" s="76">
        <f t="shared" si="8"/>
        <v>4.158455</v>
      </c>
      <c r="F36" s="76">
        <f t="shared" si="9"/>
        <v>8.9349620000000005</v>
      </c>
      <c r="G36" s="76">
        <f t="shared" si="5"/>
        <v>0.27879999999999999</v>
      </c>
      <c r="H36" s="76">
        <f t="shared" si="5"/>
        <v>1.5980000000000001</v>
      </c>
      <c r="I36" s="76">
        <f t="shared" si="5"/>
        <v>0.25840000000000002</v>
      </c>
      <c r="J36" s="76">
        <f t="shared" si="5"/>
        <v>7.4800000000000005E-3</v>
      </c>
      <c r="K36" s="76">
        <f t="shared" si="5"/>
        <v>5.1000000000000004E-3</v>
      </c>
      <c r="L36" s="76">
        <f t="shared" si="5"/>
        <v>0.10200000000000001</v>
      </c>
      <c r="M36" s="76">
        <f t="shared" si="5"/>
        <v>4.1055000000000008E-2</v>
      </c>
      <c r="N36" s="76">
        <f t="shared" si="5"/>
        <v>28.305000000000003</v>
      </c>
      <c r="O36" s="76">
        <f t="shared" si="5"/>
        <v>3672</v>
      </c>
      <c r="P36" s="76">
        <f t="shared" si="5"/>
        <v>0</v>
      </c>
      <c r="Q36" s="76">
        <f t="shared" si="10"/>
        <v>147.05000000000001</v>
      </c>
      <c r="R36" s="76">
        <f t="shared" si="11"/>
        <v>0</v>
      </c>
      <c r="S36" s="76">
        <f t="shared" si="11"/>
        <v>0.2975000000000001</v>
      </c>
      <c r="T36" s="76">
        <f t="shared" si="11"/>
        <v>0</v>
      </c>
      <c r="U36" s="76">
        <f t="shared" si="11"/>
        <v>0</v>
      </c>
      <c r="AB36" s="58"/>
      <c r="AC36" s="58"/>
      <c r="AD36" s="58"/>
      <c r="AE36" s="58"/>
      <c r="AF36" s="58"/>
      <c r="AG36" s="58"/>
      <c r="AH36" s="58"/>
      <c r="AI36" s="58"/>
    </row>
    <row r="37" spans="1:35" s="71" customFormat="1" ht="13" x14ac:dyDescent="0.35">
      <c r="A37" s="13">
        <f>I8</f>
        <v>16</v>
      </c>
      <c r="B37" s="15">
        <v>250</v>
      </c>
      <c r="C37" s="76">
        <f t="shared" si="6"/>
        <v>97.75</v>
      </c>
      <c r="D37" s="76">
        <f t="shared" si="7"/>
        <v>7.6725590000000006</v>
      </c>
      <c r="E37" s="76">
        <f t="shared" si="8"/>
        <v>4.158455</v>
      </c>
      <c r="F37" s="76">
        <f t="shared" si="9"/>
        <v>8.9349620000000005</v>
      </c>
      <c r="G37" s="76">
        <f t="shared" si="5"/>
        <v>0.27879999999999999</v>
      </c>
      <c r="H37" s="76">
        <f t="shared" si="5"/>
        <v>1.5980000000000001</v>
      </c>
      <c r="I37" s="76">
        <f t="shared" si="5"/>
        <v>0.25840000000000002</v>
      </c>
      <c r="J37" s="76">
        <f t="shared" si="5"/>
        <v>7.4800000000000005E-3</v>
      </c>
      <c r="K37" s="76">
        <f t="shared" si="5"/>
        <v>5.1000000000000004E-3</v>
      </c>
      <c r="L37" s="76">
        <f t="shared" si="5"/>
        <v>0.10200000000000001</v>
      </c>
      <c r="M37" s="76">
        <f t="shared" si="5"/>
        <v>4.1055000000000008E-2</v>
      </c>
      <c r="N37" s="76">
        <f t="shared" si="5"/>
        <v>28.305000000000003</v>
      </c>
      <c r="O37" s="76">
        <f t="shared" si="5"/>
        <v>3672</v>
      </c>
      <c r="P37" s="76">
        <f t="shared" si="5"/>
        <v>0</v>
      </c>
      <c r="Q37" s="76">
        <f t="shared" si="10"/>
        <v>147.05000000000001</v>
      </c>
      <c r="R37" s="76">
        <f t="shared" si="11"/>
        <v>0</v>
      </c>
      <c r="S37" s="76">
        <f t="shared" si="11"/>
        <v>0.2975000000000001</v>
      </c>
      <c r="T37" s="76">
        <f t="shared" si="11"/>
        <v>0</v>
      </c>
      <c r="U37" s="76">
        <f t="shared" si="11"/>
        <v>0</v>
      </c>
      <c r="AB37" s="58"/>
      <c r="AC37" s="58"/>
      <c r="AD37" s="58"/>
      <c r="AE37" s="58"/>
      <c r="AF37" s="58"/>
      <c r="AG37" s="58"/>
      <c r="AH37" s="58"/>
      <c r="AI37" s="58"/>
    </row>
    <row r="38" spans="1:35" s="71" customFormat="1" ht="13" x14ac:dyDescent="0.35">
      <c r="A38" s="13">
        <f>J8</f>
        <v>0</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Abercynrig 2</v>
      </c>
      <c r="C57" s="8" t="str">
        <f t="shared" ref="C57:U57" si="13">D8</f>
        <v>Abercynrig 10</v>
      </c>
      <c r="D57" s="8">
        <f t="shared" si="13"/>
        <v>1</v>
      </c>
      <c r="E57" s="8">
        <f t="shared" si="13"/>
        <v>2</v>
      </c>
      <c r="F57" s="8">
        <f t="shared" si="13"/>
        <v>10</v>
      </c>
      <c r="G57" s="8">
        <f t="shared" si="13"/>
        <v>11</v>
      </c>
      <c r="H57" s="8">
        <f t="shared" si="13"/>
        <v>16</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"&amp;(VLOOKUP(C14,Table2458[],6,FALSE))</f>
        <v>Medium/Clay I Grass</v>
      </c>
      <c r="C58" s="13" t="str">
        <f>D16&amp;" I "&amp;(VLOOKUP(D14,Table2458[],6,FALSE))</f>
        <v>Medium/Clay I Grass</v>
      </c>
      <c r="D58" s="13" t="str">
        <f>E16&amp;" I "&amp;(VLOOKUP(E14,Table2458[],6,FALSE))</f>
        <v>Medium/Clay I Arable</v>
      </c>
      <c r="E58" s="13" t="str">
        <f>F16&amp;" I "&amp;(VLOOKUP(F14,Table2458[],6,FALSE))</f>
        <v>Medium/Clay I Arable</v>
      </c>
      <c r="F58" s="13" t="str">
        <f>G16&amp;" I "&amp;(VLOOKUP(G14,Table2458[],6,FALSE))</f>
        <v>Medium/Clay I Grass</v>
      </c>
      <c r="G58" s="13" t="str">
        <f>H16&amp;" I "&amp;(VLOOKUP(H14,Table2458[],6,FALSE))</f>
        <v>Medium/Clay I Grass</v>
      </c>
      <c r="H58" s="13" t="str">
        <f>I16&amp;" I "&amp;(VLOOKUP(I14,Table2458[],6,FALSE))</f>
        <v>Medium/Clay I Grass</v>
      </c>
      <c r="I58" s="13" t="e">
        <f>J16&amp;" I "&amp;(VLOOKUP(J14,Table2458[],6,FALSE))</f>
        <v>#N/A</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0" t="s">
        <v>132</v>
      </c>
      <c r="B59" s="75">
        <f>VLOOKUP(C$14,Table2458[],5,FALSE)</f>
        <v>6.2</v>
      </c>
      <c r="C59" s="75">
        <f>VLOOKUP(D$14,Table2458[],5,FALSE)</f>
        <v>6.2</v>
      </c>
      <c r="D59" s="75">
        <f>VLOOKUP(E$14,Table2458[],5,FALSE)</f>
        <v>6.7</v>
      </c>
      <c r="E59" s="75">
        <f>VLOOKUP(F$14,Table2458[],5,FALSE)</f>
        <v>6.7</v>
      </c>
      <c r="F59" s="75">
        <f>VLOOKUP(G$14,Table2458[],5,FALSE)</f>
        <v>6.2</v>
      </c>
      <c r="G59" s="75">
        <f>VLOOKUP(H$14,Table2458[],5,FALSE)</f>
        <v>6.2</v>
      </c>
      <c r="H59" s="75">
        <f>VLOOKUP(I$14,Table2458[],5,FALSE)</f>
        <v>6.2</v>
      </c>
      <c r="I59" s="75" t="e">
        <f>VLOOKUP(J$14,Table2458[],5,FALSE)</f>
        <v>#N/A</v>
      </c>
      <c r="J59" s="75" t="e">
        <f>VLOOKUP(K$14,Table2458[],5,FALSE)</f>
        <v>#N/A</v>
      </c>
      <c r="K59" s="75" t="e">
        <f>VLOOKUP(L$14,Table2458[],5,FALSE)</f>
        <v>#N/A</v>
      </c>
      <c r="L59" s="75" t="e">
        <f>VLOOKUP(M$14,Table2458[],5,FALSE)</f>
        <v>#N/A</v>
      </c>
      <c r="M59" s="75" t="e">
        <f>VLOOKUP(N$14,Table2458[],5,FALSE)</f>
        <v>#N/A</v>
      </c>
      <c r="N59" s="75" t="e">
        <f>VLOOKUP(O$14,Table2458[],5,FALSE)</f>
        <v>#N/A</v>
      </c>
      <c r="O59" s="75" t="e">
        <f>VLOOKUP(P$14,Table2458[],5,FALSE)</f>
        <v>#N/A</v>
      </c>
      <c r="P59" s="75" t="e">
        <f>VLOOKUP(Q$14,Table2458[],5,FALSE)</f>
        <v>#N/A</v>
      </c>
      <c r="Q59" s="75" t="e">
        <f>VLOOKUP(R$14,Table2458[],5,FALSE)</f>
        <v>#N/A</v>
      </c>
      <c r="R59" s="75" t="e">
        <f>VLOOKUP(S$14,Table2458[],5,FALSE)</f>
        <v>#N/A</v>
      </c>
      <c r="S59" s="75" t="e">
        <f>VLOOKUP(T$14,Table2458[],5,FALSE)</f>
        <v>#N/A</v>
      </c>
      <c r="T59" s="75" t="e">
        <f>VLOOKUP(U$14,Table2458[],5,FALSE)</f>
        <v>#N/A</v>
      </c>
      <c r="U59" s="75" t="e">
        <f>VLOOKUP(V$14,Table2458[],5,FALSE)</f>
        <v>#N/A</v>
      </c>
    </row>
    <row r="60" spans="1:35" s="19" customFormat="1" ht="13" x14ac:dyDescent="0.3">
      <c r="A60" s="110" t="s">
        <v>4</v>
      </c>
      <c r="B60" s="75">
        <f>C10</f>
        <v>6.2</v>
      </c>
      <c r="C60" s="75">
        <f t="shared" ref="C60:U60" si="14">D10</f>
        <v>5.2</v>
      </c>
      <c r="D60" s="75">
        <f t="shared" si="14"/>
        <v>5.5</v>
      </c>
      <c r="E60" s="75">
        <f t="shared" si="14"/>
        <v>5</v>
      </c>
      <c r="F60" s="75">
        <f t="shared" si="14"/>
        <v>5.5</v>
      </c>
      <c r="G60" s="75">
        <f t="shared" si="14"/>
        <v>5.4</v>
      </c>
      <c r="H60" s="75">
        <f t="shared" si="14"/>
        <v>5.5</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8</v>
      </c>
      <c r="E61" s="75">
        <f t="shared" si="15"/>
        <v>8</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v>
      </c>
      <c r="C64" s="76">
        <f t="shared" ref="C64:U64" si="17">(C59-C60)*C61</f>
        <v>6</v>
      </c>
      <c r="D64" s="76">
        <f t="shared" si="17"/>
        <v>9.6000000000000014</v>
      </c>
      <c r="E64" s="76">
        <f t="shared" si="17"/>
        <v>13.600000000000001</v>
      </c>
      <c r="F64" s="76">
        <f t="shared" si="17"/>
        <v>4.2000000000000011</v>
      </c>
      <c r="G64" s="76">
        <f t="shared" si="17"/>
        <v>4.7999999999999989</v>
      </c>
      <c r="H64" s="76">
        <f t="shared" si="17"/>
        <v>4.2000000000000011</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v>
      </c>
      <c r="C65" s="76">
        <f t="shared" ref="C65:U65" si="18">C63-C64</f>
        <v>-6</v>
      </c>
      <c r="D65" s="76">
        <f t="shared" si="18"/>
        <v>-9.6000000000000014</v>
      </c>
      <c r="E65" s="76">
        <f t="shared" si="18"/>
        <v>-13.600000000000001</v>
      </c>
      <c r="F65" s="76">
        <f t="shared" si="18"/>
        <v>-4.2000000000000011</v>
      </c>
      <c r="G65" s="76">
        <f t="shared" si="18"/>
        <v>-4.7999999999999989</v>
      </c>
      <c r="H65" s="76">
        <f t="shared" si="18"/>
        <v>-4.2000000000000011</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A10" zoomScale="90" zoomScaleNormal="90" workbookViewId="0">
      <selection activeCell="P28" sqref="P27:P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Bryngwyn!C1:D1</f>
        <v>PAN-019774</v>
      </c>
      <c r="D1" s="142"/>
      <c r="E1" s="92" t="s">
        <v>45</v>
      </c>
      <c r="F1" s="38" t="str">
        <f>Bryngwyn!F1</f>
        <v>46.9 ha</v>
      </c>
      <c r="G1" s="124" t="s">
        <v>43</v>
      </c>
      <c r="H1" s="125"/>
      <c r="I1" s="117">
        <v>6.7</v>
      </c>
      <c r="J1" s="128" t="s">
        <v>153</v>
      </c>
      <c r="K1" s="128"/>
      <c r="L1" s="96">
        <v>250</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Bryngwyn!C2:D2</f>
        <v>EPR/GP3792SK</v>
      </c>
      <c r="D2" s="144"/>
      <c r="E2" s="92" t="s">
        <v>109</v>
      </c>
      <c r="F2" s="95" t="s">
        <v>166</v>
      </c>
      <c r="G2" s="126" t="s">
        <v>110</v>
      </c>
      <c r="H2" s="127"/>
      <c r="I2" s="117"/>
      <c r="J2" s="128" t="s">
        <v>158</v>
      </c>
      <c r="K2" s="128"/>
      <c r="L2" s="96">
        <v>1.08</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Bryngwyn!C3:D3</f>
        <v xml:space="preserve">Mr Richard Evans </v>
      </c>
      <c r="D3" s="144"/>
      <c r="E3" s="92" t="s">
        <v>108</v>
      </c>
      <c r="F3" s="30" t="s">
        <v>78</v>
      </c>
      <c r="G3" s="128" t="s">
        <v>159</v>
      </c>
      <c r="H3" s="128"/>
      <c r="I3" s="117"/>
      <c r="J3" s="124" t="s">
        <v>154</v>
      </c>
      <c r="K3" s="125"/>
      <c r="L3" s="96">
        <f>(L1/(L2*10000))*100</f>
        <v>2.3148148148148149</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1" t="str">
        <f>Bryngwyn!C4:D4</f>
        <v>Tylebrithos, Cantref, Brecon, LD3 8LR</v>
      </c>
      <c r="D4" s="142"/>
      <c r="E4" s="93" t="s">
        <v>1</v>
      </c>
      <c r="F4" s="119" t="s">
        <v>167</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Bryngwyn!C5:D5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t="str">
        <f>Bryngwyn!C8</f>
        <v>Abercynrig 2</v>
      </c>
      <c r="D8" s="59" t="str">
        <f>Bryngwyn!D8</f>
        <v>Abercynrig 10</v>
      </c>
      <c r="E8" s="59">
        <f>Bryngwyn!E8</f>
        <v>1</v>
      </c>
      <c r="F8" s="59">
        <f>Bryngwyn!F8</f>
        <v>2</v>
      </c>
      <c r="G8" s="59">
        <f>Bryngwyn!G8</f>
        <v>10</v>
      </c>
      <c r="H8" s="59">
        <f>Bryngwyn!H8</f>
        <v>11</v>
      </c>
      <c r="I8" s="59">
        <f>Bryngwyn!I8</f>
        <v>16</v>
      </c>
      <c r="J8" s="59">
        <f>Bryngwyn!J8</f>
        <v>0</v>
      </c>
      <c r="K8" s="59">
        <f>Bryngwyn!K8</f>
        <v>0</v>
      </c>
      <c r="L8" s="59">
        <f>Bryngwyn!L8</f>
        <v>0</v>
      </c>
      <c r="M8" s="59">
        <f>Bryngwyn!M8</f>
        <v>0</v>
      </c>
      <c r="N8" s="59">
        <f>Bryngwyn!N8</f>
        <v>0</v>
      </c>
      <c r="O8" s="59">
        <f>Bryngwyn!O8</f>
        <v>0</v>
      </c>
      <c r="P8" s="59">
        <f>Bryngwyn!P8</f>
        <v>0</v>
      </c>
      <c r="Q8" s="59">
        <f>Bryngwyn!Q8</f>
        <v>0</v>
      </c>
      <c r="R8" s="59">
        <f>Bryngwyn!R8</f>
        <v>0</v>
      </c>
      <c r="S8" s="59">
        <f>Bryngwyn!S8</f>
        <v>0</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Bryngwyn!C9</f>
        <v>Moderate</v>
      </c>
      <c r="D9" s="59" t="str">
        <f>Bryngwyn!D9</f>
        <v xml:space="preserve">Moderate </v>
      </c>
      <c r="E9" s="59">
        <f>Bryngwyn!E9</f>
        <v>1</v>
      </c>
      <c r="F9" s="59">
        <f>Bryngwyn!F9</f>
        <v>1</v>
      </c>
      <c r="G9" s="59" t="str">
        <f>Bryngwyn!G9</f>
        <v>Moderate</v>
      </c>
      <c r="H9" s="59" t="str">
        <f>Bryngwyn!H9</f>
        <v xml:space="preserve">Moderate </v>
      </c>
      <c r="I9" s="59" t="str">
        <f>Bryngwyn!I9</f>
        <v xml:space="preserve">Moderate </v>
      </c>
      <c r="J9" s="59">
        <f>Bryngwyn!J9</f>
        <v>0</v>
      </c>
      <c r="K9" s="59">
        <f>Bryngwyn!K9</f>
        <v>0</v>
      </c>
      <c r="L9" s="59">
        <f>Bryngwyn!L9</f>
        <v>0</v>
      </c>
      <c r="M9" s="59">
        <f>Bryngwyn!M9</f>
        <v>0</v>
      </c>
      <c r="N9" s="59">
        <f>Bryngwyn!N9</f>
        <v>0</v>
      </c>
      <c r="O9" s="59">
        <f>Bryngwyn!O9</f>
        <v>0</v>
      </c>
      <c r="P9" s="59">
        <f>Bryngwyn!P9</f>
        <v>0</v>
      </c>
      <c r="Q9" s="59">
        <f>Bryngwyn!Q9</f>
        <v>0</v>
      </c>
      <c r="R9" s="59">
        <f>Bryngwyn!R9</f>
        <v>0</v>
      </c>
      <c r="S9" s="59">
        <f>Bryngwyn!S9</f>
        <v>0</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Bryngwyn!C10</f>
        <v>6.2</v>
      </c>
      <c r="D10" s="59">
        <f>Bryngwyn!D10</f>
        <v>5.2</v>
      </c>
      <c r="E10" s="59">
        <f>Bryngwyn!E10</f>
        <v>5.5</v>
      </c>
      <c r="F10" s="59">
        <f>Bryngwyn!F10</f>
        <v>5</v>
      </c>
      <c r="G10" s="59">
        <f>Bryngwyn!G10</f>
        <v>5.5</v>
      </c>
      <c r="H10" s="59">
        <f>Bryngwyn!H10</f>
        <v>5.4</v>
      </c>
      <c r="I10" s="59">
        <f>Bryngwyn!I10</f>
        <v>5.5</v>
      </c>
      <c r="J10" s="59">
        <f>Bryngwyn!J10</f>
        <v>0</v>
      </c>
      <c r="K10" s="59">
        <f>Bryngwyn!K10</f>
        <v>0</v>
      </c>
      <c r="L10" s="59">
        <f>Bryngwyn!L10</f>
        <v>0</v>
      </c>
      <c r="M10" s="59">
        <f>Bryngwyn!M10</f>
        <v>0</v>
      </c>
      <c r="N10" s="59">
        <f>Bryngwyn!N10</f>
        <v>0</v>
      </c>
      <c r="O10" s="59">
        <f>Bryngwyn!O10</f>
        <v>0</v>
      </c>
      <c r="P10" s="59">
        <f>Bryngwyn!P10</f>
        <v>0</v>
      </c>
      <c r="Q10" s="59">
        <f>Bryngwyn!Q10</f>
        <v>0</v>
      </c>
      <c r="R10" s="59">
        <f>Bryngwyn!R10</f>
        <v>0</v>
      </c>
      <c r="S10" s="59">
        <f>Bryngwyn!S10</f>
        <v>0</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Bryngwyn!C11</f>
        <v>3</v>
      </c>
      <c r="D11" s="59">
        <f>Bryngwyn!D11</f>
        <v>3</v>
      </c>
      <c r="E11" s="59">
        <f>Bryngwyn!E11</f>
        <v>3</v>
      </c>
      <c r="F11" s="59">
        <f>Bryngwyn!F11</f>
        <v>4</v>
      </c>
      <c r="G11" s="59">
        <f>Bryngwyn!G11</f>
        <v>2</v>
      </c>
      <c r="H11" s="59">
        <f>Bryngwyn!H11</f>
        <v>2</v>
      </c>
      <c r="I11" s="59">
        <f>Bryngwyn!I11</f>
        <v>3</v>
      </c>
      <c r="J11" s="59">
        <f>Bryngwyn!J11</f>
        <v>0</v>
      </c>
      <c r="K11" s="59">
        <f>Bryngwyn!K11</f>
        <v>0</v>
      </c>
      <c r="L11" s="59">
        <f>Bryngwyn!L11</f>
        <v>0</v>
      </c>
      <c r="M11" s="59">
        <f>Bryngwyn!M11</f>
        <v>0</v>
      </c>
      <c r="N11" s="59">
        <f>Bryngwyn!N11</f>
        <v>0</v>
      </c>
      <c r="O11" s="59">
        <f>Bryngwyn!O11</f>
        <v>0</v>
      </c>
      <c r="P11" s="59">
        <f>Bryngwyn!P11</f>
        <v>0</v>
      </c>
      <c r="Q11" s="59">
        <f>Bryngwyn!Q11</f>
        <v>0</v>
      </c>
      <c r="R11" s="59">
        <f>Bryngwyn!R11</f>
        <v>0</v>
      </c>
      <c r="S11" s="59">
        <f>Bryngwyn!S11</f>
        <v>0</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Bryngwyn!C12</f>
        <v>2</v>
      </c>
      <c r="D12" s="59">
        <f>Bryngwyn!D12</f>
        <v>1</v>
      </c>
      <c r="E12" s="59">
        <f>Bryngwyn!E12</f>
        <v>2</v>
      </c>
      <c r="F12" s="59">
        <f>Bryngwyn!F12</f>
        <v>1</v>
      </c>
      <c r="G12" s="59">
        <f>Bryngwyn!G12</f>
        <v>1</v>
      </c>
      <c r="H12" s="59">
        <f>Bryngwyn!H12</f>
        <v>1</v>
      </c>
      <c r="I12" s="59">
        <f>Bryngwyn!I12</f>
        <v>1</v>
      </c>
      <c r="J12" s="59">
        <f>Bryngwyn!J12</f>
        <v>0</v>
      </c>
      <c r="K12" s="59">
        <f>Bryngwyn!K12</f>
        <v>0</v>
      </c>
      <c r="L12" s="59">
        <f>Bryngwyn!L12</f>
        <v>0</v>
      </c>
      <c r="M12" s="59">
        <f>Bryngwyn!M12</f>
        <v>0</v>
      </c>
      <c r="N12" s="59">
        <f>Bryngwyn!N12</f>
        <v>0</v>
      </c>
      <c r="O12" s="59">
        <f>Bryngwyn!O12</f>
        <v>0</v>
      </c>
      <c r="P12" s="59">
        <f>Bryngwyn!P12</f>
        <v>0</v>
      </c>
      <c r="Q12" s="59">
        <f>Bryngwyn!Q12</f>
        <v>0</v>
      </c>
      <c r="R12" s="59">
        <f>Bryngwyn!R12</f>
        <v>0</v>
      </c>
      <c r="S12" s="59">
        <f>Bryngwyn!S12</f>
        <v>0</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Bryngwyn!C13</f>
        <v>3</v>
      </c>
      <c r="D13" s="59">
        <f>Bryngwyn!D13</f>
        <v>2</v>
      </c>
      <c r="E13" s="59">
        <f>Bryngwyn!E13</f>
        <v>3</v>
      </c>
      <c r="F13" s="59">
        <f>Bryngwyn!F13</f>
        <v>2</v>
      </c>
      <c r="G13" s="59">
        <f>Bryngwyn!G13</f>
        <v>2</v>
      </c>
      <c r="H13" s="59">
        <f>Bryngwyn!H13</f>
        <v>2</v>
      </c>
      <c r="I13" s="59">
        <f>Bryngwyn!I13</f>
        <v>3</v>
      </c>
      <c r="J13" s="59">
        <f>Bryngwyn!J13</f>
        <v>0</v>
      </c>
      <c r="K13" s="59">
        <f>Bryngwyn!K13</f>
        <v>0</v>
      </c>
      <c r="L13" s="59">
        <f>Bryngwyn!L13</f>
        <v>0</v>
      </c>
      <c r="M13" s="59">
        <f>Bryngwyn!M13</f>
        <v>0</v>
      </c>
      <c r="N13" s="59">
        <f>Bryngwyn!N13</f>
        <v>0</v>
      </c>
      <c r="O13" s="59">
        <f>Bryngwyn!O13</f>
        <v>0</v>
      </c>
      <c r="P13" s="59">
        <f>Bryngwyn!P13</f>
        <v>0</v>
      </c>
      <c r="Q13" s="59">
        <f>Bryngwyn!Q13</f>
        <v>0</v>
      </c>
      <c r="R13" s="59">
        <f>Bryngwyn!R13</f>
        <v>0</v>
      </c>
      <c r="S13" s="59">
        <f>Bryngwyn!S13</f>
        <v>0</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Bryngwyn!C14</f>
        <v xml:space="preserve">Grass Silage (25% DM) </v>
      </c>
      <c r="D14" s="101" t="str">
        <f>Bryngwyn!D14</f>
        <v xml:space="preserve">Grass Silage (25% DM) </v>
      </c>
      <c r="E14" s="101" t="str">
        <f>Bryngwyn!E14</f>
        <v>Winter barley/triticale/rye</v>
      </c>
      <c r="F14" s="101" t="str">
        <f>Bryngwyn!F14</f>
        <v>Winter barley/triticale/rye</v>
      </c>
      <c r="G14" s="101" t="str">
        <f>Bryngwyn!G14</f>
        <v xml:space="preserve">Grass Silage (25% DM) </v>
      </c>
      <c r="H14" s="101" t="str">
        <f>Bryngwyn!H14</f>
        <v xml:space="preserve">Grass Silage (25% DM) </v>
      </c>
      <c r="I14" s="101" t="str">
        <f>Bryngwyn!I14</f>
        <v xml:space="preserve">Grass Silage (25% DM) </v>
      </c>
      <c r="J14" s="101">
        <f>Bryngwyn!J14</f>
        <v>0</v>
      </c>
      <c r="K14" s="101">
        <f>Bryngwyn!K14</f>
        <v>0</v>
      </c>
      <c r="L14" s="101">
        <f>Bryngwyn!L14</f>
        <v>0</v>
      </c>
      <c r="M14" s="101">
        <f>Bryngwyn!M14</f>
        <v>0</v>
      </c>
      <c r="N14" s="101">
        <f>Bryngwyn!N14</f>
        <v>0</v>
      </c>
      <c r="O14" s="101">
        <f>Bryngwyn!O14</f>
        <v>0</v>
      </c>
      <c r="P14" s="101">
        <f>Bryngwyn!P14</f>
        <v>0</v>
      </c>
      <c r="Q14" s="101">
        <f>Bryngwyn!Q14</f>
        <v>0</v>
      </c>
      <c r="R14" s="101">
        <f>Bryngwyn!R14</f>
        <v>0</v>
      </c>
      <c r="S14" s="101">
        <f>Bryngwyn!S14</f>
        <v>0</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6" t="s">
        <v>9</v>
      </c>
      <c r="B15" s="136"/>
      <c r="C15" s="59">
        <f>Bryngwyn!C15</f>
        <v>38</v>
      </c>
      <c r="D15" s="59">
        <f>Bryngwyn!D15</f>
        <v>38</v>
      </c>
      <c r="E15" s="59">
        <f>Bryngwyn!E15</f>
        <v>6.5</v>
      </c>
      <c r="F15" s="59">
        <f>Bryngwyn!F15</f>
        <v>6.5</v>
      </c>
      <c r="G15" s="59">
        <f>Bryngwyn!G15</f>
        <v>38</v>
      </c>
      <c r="H15" s="59">
        <f>Bryngwyn!H15</f>
        <v>38</v>
      </c>
      <c r="I15" s="59">
        <f>Bryngwyn!I15</f>
        <v>38</v>
      </c>
      <c r="J15" s="59">
        <f>Bryngwyn!J15</f>
        <v>0</v>
      </c>
      <c r="K15" s="59">
        <f>Bryngwyn!K15</f>
        <v>0</v>
      </c>
      <c r="L15" s="59">
        <f>Bryngwyn!L15</f>
        <v>0</v>
      </c>
      <c r="M15" s="59">
        <f>Bryngwyn!M15</f>
        <v>0</v>
      </c>
      <c r="N15" s="59">
        <f>Bryngwyn!N15</f>
        <v>0</v>
      </c>
      <c r="O15" s="59">
        <f>Bryngwyn!O15</f>
        <v>0</v>
      </c>
      <c r="P15" s="59">
        <f>Bryngwyn!P15</f>
        <v>0</v>
      </c>
      <c r="Q15" s="59">
        <f>Bryngwyn!Q15</f>
        <v>0</v>
      </c>
      <c r="R15" s="59">
        <f>Bryngwyn!R15</f>
        <v>0</v>
      </c>
      <c r="S15" s="59">
        <f>Bryngwyn!S15</f>
        <v>0</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f>Bryngwyn!J16</f>
        <v>0</v>
      </c>
      <c r="K16" s="102">
        <f>Bryngwyn!K16</f>
        <v>0</v>
      </c>
      <c r="L16" s="102">
        <f>Bryngwyn!L16</f>
        <v>0</v>
      </c>
      <c r="M16" s="102">
        <f>Bryngwyn!M16</f>
        <v>0</v>
      </c>
      <c r="N16" s="102">
        <f>Bryngwyn!N16</f>
        <v>0</v>
      </c>
      <c r="O16" s="102">
        <f>Bryngwyn!O16</f>
        <v>0</v>
      </c>
      <c r="P16" s="102">
        <f>Bryngwyn!P16</f>
        <v>0</v>
      </c>
      <c r="Q16" s="102">
        <f>Bryngwyn!Q16</f>
        <v>0</v>
      </c>
      <c r="R16" s="102">
        <f>Bryngwyn!R16</f>
        <v>0</v>
      </c>
      <c r="S16" s="102">
        <f>Bryngwyn!S16</f>
        <v>0</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64.599999999999994</v>
      </c>
      <c r="D17" s="27">
        <f t="shared" ref="D17:V17" si="0">(VLOOKUP(D$14,$AI2:$AK26,2,FALSE))*D$15</f>
        <v>64.599999999999994</v>
      </c>
      <c r="E17" s="27">
        <f t="shared" si="0"/>
        <v>55.25</v>
      </c>
      <c r="F17" s="27">
        <f t="shared" si="0"/>
        <v>55.25</v>
      </c>
      <c r="G17" s="27">
        <f t="shared" si="0"/>
        <v>64.599999999999994</v>
      </c>
      <c r="H17" s="27">
        <f t="shared" si="0"/>
        <v>64.599999999999994</v>
      </c>
      <c r="I17" s="27">
        <f t="shared" si="0"/>
        <v>64.599999999999994</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24.412896</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-40.187103999999991</v>
      </c>
      <c r="D19" s="16">
        <f t="shared" ref="D19:V19" si="1">D18-D17</f>
        <v>-64.599999999999994</v>
      </c>
      <c r="E19" s="16">
        <f t="shared" si="1"/>
        <v>-55.25</v>
      </c>
      <c r="F19" s="16">
        <f t="shared" si="1"/>
        <v>-55.25</v>
      </c>
      <c r="G19" s="16">
        <f t="shared" si="1"/>
        <v>-64.599999999999994</v>
      </c>
      <c r="H19" s="16">
        <f t="shared" si="1"/>
        <v>-64.599999999999994</v>
      </c>
      <c r="I19" s="16">
        <f t="shared" si="1"/>
        <v>-64.599999999999994</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DECREASE</v>
      </c>
      <c r="D20" s="25" t="str">
        <f>IF($B32="","",IF(D$19&gt;=0,"INCREASE","DECREASE"))</f>
        <v/>
      </c>
      <c r="E20" s="25" t="str">
        <f>IF($B33="","",IF(E$19&gt;=0,"INCREASE","DECREASE"))</f>
        <v/>
      </c>
      <c r="F20" s="25" t="str">
        <f>IF($B34="","",IF(F$19&gt;=0,"INCREASE","DECREASE"))</f>
        <v/>
      </c>
      <c r="G20" s="25" t="str">
        <f>IF($B35="","",IF(G$19&gt;=0,"INCREASE","DECREASE"))</f>
        <v/>
      </c>
      <c r="H20" s="25" t="str">
        <f>IF($B36="","",IF(H$19&gt;=0,"INCREASE","DECREASE"))</f>
        <v/>
      </c>
      <c r="I20" s="25" t="str">
        <f>IF($B37="","",IF(I$19&gt;=0,"INCREASE","DECREASE"))</f>
        <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228</v>
      </c>
      <c r="D21" s="27">
        <f t="shared" ref="D21:V21" si="2">(VLOOKUP(D$14,$AI2:$AK26,3,FALSE))*D$15</f>
        <v>228</v>
      </c>
      <c r="E21" s="27">
        <f t="shared" si="2"/>
        <v>68.25</v>
      </c>
      <c r="F21" s="27">
        <f t="shared" si="2"/>
        <v>68.25</v>
      </c>
      <c r="G21" s="27">
        <f t="shared" si="2"/>
        <v>228</v>
      </c>
      <c r="H21" s="27">
        <f t="shared" si="2"/>
        <v>228</v>
      </c>
      <c r="I21" s="27">
        <f t="shared" si="2"/>
        <v>228</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5.4176800000000007</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-222.58232000000001</v>
      </c>
      <c r="D23" s="16">
        <f t="shared" ref="D23:V23" si="3">D22-D21</f>
        <v>-228</v>
      </c>
      <c r="E23" s="16">
        <f t="shared" si="3"/>
        <v>-68.25</v>
      </c>
      <c r="F23" s="16">
        <f t="shared" si="3"/>
        <v>-68.25</v>
      </c>
      <c r="G23" s="16">
        <f t="shared" si="3"/>
        <v>-228</v>
      </c>
      <c r="H23" s="16">
        <f t="shared" si="3"/>
        <v>-228</v>
      </c>
      <c r="I23" s="16">
        <f t="shared" si="3"/>
        <v>-228</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t="s">
        <v>55</v>
      </c>
      <c r="S27" s="106" t="s">
        <v>55</v>
      </c>
      <c r="T27" s="106"/>
      <c r="U27" s="106"/>
    </row>
    <row r="28" spans="1:40" s="56" customFormat="1" x14ac:dyDescent="0.35">
      <c r="A28" s="107"/>
      <c r="B28" s="23">
        <v>6.4</v>
      </c>
      <c r="C28" s="15">
        <v>1.08</v>
      </c>
      <c r="D28" s="15">
        <v>6.6600000000000006E-2</v>
      </c>
      <c r="E28" s="15">
        <v>2.81E-2</v>
      </c>
      <c r="F28" s="15">
        <v>911</v>
      </c>
      <c r="G28" s="15">
        <v>21.9</v>
      </c>
      <c r="H28" s="15">
        <v>46.5</v>
      </c>
      <c r="I28" s="15">
        <v>6.2</v>
      </c>
      <c r="J28" s="15">
        <v>0.63</v>
      </c>
      <c r="K28" s="15">
        <v>0.32</v>
      </c>
      <c r="L28" s="15">
        <v>8.6999999999999993</v>
      </c>
      <c r="M28" s="15">
        <v>4.5999999999999996</v>
      </c>
      <c r="N28" s="15">
        <v>119000</v>
      </c>
      <c r="O28" s="15">
        <v>5070</v>
      </c>
      <c r="P28" s="15"/>
      <c r="Q28" s="15">
        <v>5880</v>
      </c>
      <c r="R28" s="15"/>
      <c r="S28" s="15">
        <v>41.5</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Abercynrig 2</v>
      </c>
      <c r="B31" s="15">
        <v>250</v>
      </c>
      <c r="C31" s="76">
        <f>IF(C$27="%w/w SAR",((C$28*10)*$B31),IF(C$27="%w/w DM",(((C$28*10)*($B$28/100))*$B31),IF(C$27="kg/t SAR",(C$28*$B31),IF(C$27="kg/t DM",((C$28*($B$28/100))*$B31),IF(C$27="mg/kg SAR",((C$28*0.001)*$B31),IF(C$27="mg/kg DM",(((C$28*0.001)*($B$28/100))*$B31),0))))))</f>
        <v>172.8</v>
      </c>
      <c r="D31" s="76">
        <f>(IF(D$27="%w/w SAR",((D$28*10)*$B31),IF(D$27="%w/w DM",(((D$28*10)*($B$28/100))*$B31),IF(D$27="kg/t SAR",(D$28*$B31),IF(D$27="kg/t DM",((D$28*($B$28/100))*$B31),IF(D$27="mg/kg SAR",((D$28*0.001)*$B31),IF(D$27="mg/kg DM",(((D$28*0.001)*($B$28/100))*$B31),"0")))))))*2.291</f>
        <v>24.412896</v>
      </c>
      <c r="E31" s="76">
        <f>(IF(E$27="%w/w SAR",((E$28*10)*$B31),IF(E$27="%w/w DM",(((E$28*10)*($B$28/100))*$B31),IF(E$27="kg/t SAR",(E$28*$B31),IF(E$27="kg/t DM",((E$28*($B$28/100))*$B31),IF(E$27="mg/kg SAR",((E$28*0.001)*$B31),IF(E$27="mg/kg DM",(((E$28*0.001)*($B$28/100))*$B31),"0")))))))*1.205</f>
        <v>5.4176800000000007</v>
      </c>
      <c r="F31" s="76">
        <f>(IF(F$27="%w/w SAR",((F$28*10)*$B31),IF(F$27="%w/w DM",(((F$28*10)*($B$28/100))*$B31),IF(F$27="kg/t SAR",(F$28*$B31),IF(F$27="kg/t DM",((F$28*($B$28/100))*$B31),IF(F$27="mg/kg SAR",((F$28*0.001)*$B31),IF(F$27="mg/kg DM",(((F$28*0.001)*($B$28/100))*$B31),"0")))))))*1.658</f>
        <v>24.167007999999999</v>
      </c>
      <c r="G31" s="76">
        <f t="shared" ref="G31:P46" si="5">IF(G$27="%w/w SAR",((G$28*10)*$B31),IF(G$27="%w/w DM",(((G$28*10)*($B$28/100))*$B31),IF(G$27="kg/t SAR",(G$28*$B31),IF(G$27="kg/t DM",((G$28*($B$28/100))*$B31),IF(G$27="mg/kg SAR",((G$28*0.001)*$B31),IF(G$27="mg/kg DM",(((G$28*0.001)*($B$28/100))*$B31),0))))))</f>
        <v>0.35039999999999999</v>
      </c>
      <c r="H31" s="76">
        <f t="shared" si="5"/>
        <v>0.74399999999999999</v>
      </c>
      <c r="I31" s="76">
        <f t="shared" si="5"/>
        <v>9.920000000000001E-2</v>
      </c>
      <c r="J31" s="76">
        <f t="shared" si="5"/>
        <v>1.008E-2</v>
      </c>
      <c r="K31" s="76">
        <f t="shared" si="5"/>
        <v>5.1200000000000004E-3</v>
      </c>
      <c r="L31" s="76">
        <f t="shared" si="5"/>
        <v>0.13919999999999999</v>
      </c>
      <c r="M31" s="76">
        <f t="shared" si="5"/>
        <v>7.3599999999999999E-2</v>
      </c>
      <c r="N31" s="76">
        <f t="shared" si="5"/>
        <v>1904.0000000000002</v>
      </c>
      <c r="O31" s="76">
        <f t="shared" si="5"/>
        <v>81.12</v>
      </c>
      <c r="P31" s="76">
        <f t="shared" si="5"/>
        <v>0</v>
      </c>
      <c r="Q31" s="76">
        <f>(IF(Q$27="%w/w SAR",((Q$28*10)*$B31),IF(Q$27="%w/w DM",(((Q$28*10)*($B$28/100))*$B31),IF(Q$27="kg/t SAR",(Q$28*$B31),IF(Q$27="kg/t DM",((Q$28*($B$28/100))*$B31),IF(Q$27="mg/kg SAR",((Q$28*0.001)*$B31),IF(Q$27="mg/kg DM",(((Q$28*0.001)*($B$28/100))*$B31),0)))))))*2.5</f>
        <v>235.2</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0.66400000000000015</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Abercynrig 10</v>
      </c>
      <c r="B32" s="15"/>
      <c r="C32" s="76">
        <f t="shared" ref="C32:C50" si="6">IF(C$27="%w/w SAR",((C$28*10)*$B32),IF(C$27="%w/w DM",(((C$28*10)*($B$28/100))*$B32),IF(C$27="kg/t SAR",(C$28*$B32),IF(C$27="kg/t DM",((C$28*($B$28/100))*$B32),IF(C$27="mg/kg SAR",((C$28*0.001)*$B32),IF(C$27="mg/kg DM",(((C$28*0.001)*($B$28/100))*$B32),0))))))</f>
        <v>0</v>
      </c>
      <c r="D32" s="76">
        <f t="shared" ref="D32:D50" si="7">(IF(D$27="%w/w SAR",((D$28*10)*$B32),IF(D$27="%w/w DM",(((D$28*10)*($B$28/100))*$B32),IF(D$27="kg/t SAR",(D$28*$B32),IF(D$27="kg/t DM",((D$28*($B$28/100))*$B32),IF(D$27="mg/kg SAR",((D$28*0.001)*$B32),IF(D$27="mg/kg DM",(((D$28*0.001)*($B$28/100))*$B32),"0")))))))*2.291</f>
        <v>0</v>
      </c>
      <c r="E32" s="76">
        <f t="shared" ref="E32:E50" si="8">(IF(E$27="%w/w SAR",((E$28*10)*$B32),IF(E$27="%w/w DM",(((E$28*10)*($B$28/100))*$B32),IF(E$27="kg/t SAR",(E$28*$B32),IF(E$27="kg/t DM",((E$28*($B$28/100))*$B32),IF(E$27="mg/kg SAR",((E$28*0.001)*$B32),IF(E$27="mg/kg DM",(((E$28*0.001)*($B$28/100))*$B32),"0")))))))*1.205</f>
        <v>0</v>
      </c>
      <c r="F32" s="76">
        <f t="shared" ref="F32:F50" si="9">(IF(F$27="%w/w SAR",((F$28*10)*$B32),IF(F$27="%w/w DM",(((F$28*10)*($B$28/100))*$B32),IF(F$27="kg/t SAR",(F$28*$B32),IF(F$27="kg/t DM",((F$28*($B$28/100))*$B32),IF(F$27="mg/kg SAR",((F$28*0.001)*$B32),IF(F$27="mg/kg DM",(((F$28*0.001)*($B$28/100))*$B32),"0")))))))*1.658</f>
        <v>0</v>
      </c>
      <c r="G32" s="76">
        <f t="shared" si="5"/>
        <v>0</v>
      </c>
      <c r="H32" s="76">
        <f t="shared" si="5"/>
        <v>0</v>
      </c>
      <c r="I32" s="76">
        <f t="shared" si="5"/>
        <v>0</v>
      </c>
      <c r="J32" s="76">
        <f t="shared" si="5"/>
        <v>0</v>
      </c>
      <c r="K32" s="76">
        <f t="shared" si="5"/>
        <v>0</v>
      </c>
      <c r="L32" s="76">
        <f t="shared" si="5"/>
        <v>0</v>
      </c>
      <c r="M32" s="76">
        <f t="shared" si="5"/>
        <v>0</v>
      </c>
      <c r="N32" s="76">
        <f t="shared" si="5"/>
        <v>0</v>
      </c>
      <c r="O32" s="76">
        <f t="shared" si="5"/>
        <v>0</v>
      </c>
      <c r="P32" s="76">
        <f t="shared" si="5"/>
        <v>0</v>
      </c>
      <c r="Q32" s="76">
        <f t="shared" ref="Q32:Q50" si="10">(IF(Q$27="%w/w SAR",((Q$28*10)*$B32),IF(Q$27="%w/w DM",(((Q$28*10)*($B$28/100))*$B32),IF(Q$27="kg/t SAR",(Q$28*$B32),IF(Q$27="kg/t DM",((Q$28*($B$28/100))*$B32),IF(Q$27="mg/kg SAR",((Q$28*0.001)*$B32),IF(Q$27="mg/kg DM",(((Q$28*0.001)*($B$28/100))*$B32),0)))))))*2.5</f>
        <v>0</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1</v>
      </c>
      <c r="B33" s="15"/>
      <c r="C33" s="76">
        <f t="shared" si="6"/>
        <v>0</v>
      </c>
      <c r="D33" s="76">
        <f t="shared" si="7"/>
        <v>0</v>
      </c>
      <c r="E33" s="76">
        <f t="shared" si="8"/>
        <v>0</v>
      </c>
      <c r="F33" s="76">
        <f t="shared" si="9"/>
        <v>0</v>
      </c>
      <c r="G33" s="76">
        <f t="shared" si="5"/>
        <v>0</v>
      </c>
      <c r="H33" s="76">
        <f t="shared" si="5"/>
        <v>0</v>
      </c>
      <c r="I33" s="76">
        <f t="shared" si="5"/>
        <v>0</v>
      </c>
      <c r="J33" s="76">
        <f t="shared" si="5"/>
        <v>0</v>
      </c>
      <c r="K33" s="76">
        <f t="shared" si="5"/>
        <v>0</v>
      </c>
      <c r="L33" s="76">
        <f t="shared" si="5"/>
        <v>0</v>
      </c>
      <c r="M33" s="76">
        <f t="shared" si="5"/>
        <v>0</v>
      </c>
      <c r="N33" s="76">
        <f t="shared" si="5"/>
        <v>0</v>
      </c>
      <c r="O33" s="76">
        <f t="shared" si="5"/>
        <v>0</v>
      </c>
      <c r="P33" s="76">
        <f t="shared" si="5"/>
        <v>0</v>
      </c>
      <c r="Q33" s="76">
        <f t="shared" si="10"/>
        <v>0</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2</v>
      </c>
      <c r="B34" s="15"/>
      <c r="C34" s="76">
        <f t="shared" si="6"/>
        <v>0</v>
      </c>
      <c r="D34" s="76">
        <f t="shared" si="7"/>
        <v>0</v>
      </c>
      <c r="E34" s="76">
        <f t="shared" si="8"/>
        <v>0</v>
      </c>
      <c r="F34" s="76">
        <f t="shared" si="9"/>
        <v>0</v>
      </c>
      <c r="G34" s="76">
        <f t="shared" si="5"/>
        <v>0</v>
      </c>
      <c r="H34" s="76">
        <f t="shared" si="5"/>
        <v>0</v>
      </c>
      <c r="I34" s="76">
        <f t="shared" si="5"/>
        <v>0</v>
      </c>
      <c r="J34" s="76">
        <f t="shared" si="5"/>
        <v>0</v>
      </c>
      <c r="K34" s="76">
        <f t="shared" si="5"/>
        <v>0</v>
      </c>
      <c r="L34" s="76">
        <f t="shared" si="5"/>
        <v>0</v>
      </c>
      <c r="M34" s="76">
        <f t="shared" si="5"/>
        <v>0</v>
      </c>
      <c r="N34" s="76">
        <f t="shared" si="5"/>
        <v>0</v>
      </c>
      <c r="O34" s="76">
        <f t="shared" si="5"/>
        <v>0</v>
      </c>
      <c r="P34" s="76">
        <f t="shared" si="5"/>
        <v>0</v>
      </c>
      <c r="Q34" s="76">
        <f t="shared" si="10"/>
        <v>0</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10</v>
      </c>
      <c r="B35" s="15"/>
      <c r="C35" s="76">
        <f t="shared" si="6"/>
        <v>0</v>
      </c>
      <c r="D35" s="76">
        <f t="shared" si="7"/>
        <v>0</v>
      </c>
      <c r="E35" s="76">
        <f t="shared" si="8"/>
        <v>0</v>
      </c>
      <c r="F35" s="76">
        <f t="shared" si="9"/>
        <v>0</v>
      </c>
      <c r="G35" s="76">
        <f t="shared" si="5"/>
        <v>0</v>
      </c>
      <c r="H35" s="76">
        <f t="shared" si="5"/>
        <v>0</v>
      </c>
      <c r="I35" s="76">
        <f t="shared" si="5"/>
        <v>0</v>
      </c>
      <c r="J35" s="76">
        <f t="shared" si="5"/>
        <v>0</v>
      </c>
      <c r="K35" s="76">
        <f t="shared" si="5"/>
        <v>0</v>
      </c>
      <c r="L35" s="76">
        <f t="shared" si="5"/>
        <v>0</v>
      </c>
      <c r="M35" s="76">
        <f t="shared" si="5"/>
        <v>0</v>
      </c>
      <c r="N35" s="76">
        <f t="shared" si="5"/>
        <v>0</v>
      </c>
      <c r="O35" s="76">
        <f t="shared" si="5"/>
        <v>0</v>
      </c>
      <c r="P35" s="76">
        <f t="shared" si="5"/>
        <v>0</v>
      </c>
      <c r="Q35" s="76">
        <f t="shared" si="10"/>
        <v>0</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11</v>
      </c>
      <c r="B36" s="15"/>
      <c r="C36" s="76">
        <f t="shared" si="6"/>
        <v>0</v>
      </c>
      <c r="D36" s="76">
        <f t="shared" si="7"/>
        <v>0</v>
      </c>
      <c r="E36" s="76">
        <f t="shared" si="8"/>
        <v>0</v>
      </c>
      <c r="F36" s="76">
        <f t="shared" si="9"/>
        <v>0</v>
      </c>
      <c r="G36" s="76">
        <f t="shared" si="5"/>
        <v>0</v>
      </c>
      <c r="H36" s="76">
        <f t="shared" si="5"/>
        <v>0</v>
      </c>
      <c r="I36" s="76">
        <f t="shared" si="5"/>
        <v>0</v>
      </c>
      <c r="J36" s="76">
        <f t="shared" si="5"/>
        <v>0</v>
      </c>
      <c r="K36" s="76">
        <f t="shared" si="5"/>
        <v>0</v>
      </c>
      <c r="L36" s="76">
        <f t="shared" si="5"/>
        <v>0</v>
      </c>
      <c r="M36" s="76">
        <f t="shared" si="5"/>
        <v>0</v>
      </c>
      <c r="N36" s="76">
        <f t="shared" si="5"/>
        <v>0</v>
      </c>
      <c r="O36" s="76">
        <f t="shared" si="5"/>
        <v>0</v>
      </c>
      <c r="P36" s="76">
        <f t="shared" si="5"/>
        <v>0</v>
      </c>
      <c r="Q36" s="76">
        <f t="shared" si="10"/>
        <v>0</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16</v>
      </c>
      <c r="B37" s="15"/>
      <c r="C37" s="76">
        <f t="shared" si="6"/>
        <v>0</v>
      </c>
      <c r="D37" s="76">
        <f t="shared" si="7"/>
        <v>0</v>
      </c>
      <c r="E37" s="76">
        <f t="shared" si="8"/>
        <v>0</v>
      </c>
      <c r="F37" s="76">
        <f t="shared" si="9"/>
        <v>0</v>
      </c>
      <c r="G37" s="76">
        <f t="shared" si="5"/>
        <v>0</v>
      </c>
      <c r="H37" s="76">
        <f t="shared" si="5"/>
        <v>0</v>
      </c>
      <c r="I37" s="76">
        <f t="shared" si="5"/>
        <v>0</v>
      </c>
      <c r="J37" s="76">
        <f t="shared" si="5"/>
        <v>0</v>
      </c>
      <c r="K37" s="76">
        <f t="shared" si="5"/>
        <v>0</v>
      </c>
      <c r="L37" s="76">
        <f t="shared" si="5"/>
        <v>0</v>
      </c>
      <c r="M37" s="76">
        <f t="shared" si="5"/>
        <v>0</v>
      </c>
      <c r="N37" s="76">
        <f t="shared" si="5"/>
        <v>0</v>
      </c>
      <c r="O37" s="76">
        <f t="shared" si="5"/>
        <v>0</v>
      </c>
      <c r="P37" s="76">
        <f t="shared" si="5"/>
        <v>0</v>
      </c>
      <c r="Q37" s="76">
        <f t="shared" si="10"/>
        <v>0</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0</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Abercynrig 2</v>
      </c>
      <c r="C57" s="8" t="str">
        <f t="shared" ref="C57:U57" si="13">D8</f>
        <v>Abercynrig 10</v>
      </c>
      <c r="D57" s="8">
        <f t="shared" si="13"/>
        <v>1</v>
      </c>
      <c r="E57" s="8">
        <f t="shared" si="13"/>
        <v>2</v>
      </c>
      <c r="F57" s="8">
        <f t="shared" si="13"/>
        <v>10</v>
      </c>
      <c r="G57" s="8">
        <f t="shared" si="13"/>
        <v>11</v>
      </c>
      <c r="H57" s="8">
        <f t="shared" si="13"/>
        <v>16</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"&amp;(VLOOKUP(C14,Table24581113[],6,FALSE))</f>
        <v>Medium/Clay I Grass</v>
      </c>
      <c r="C58" s="13" t="str">
        <f>D16&amp;" I "&amp;(VLOOKUP(D14,Table24581113[],6,FALSE))</f>
        <v>Medium/Clay I Grass</v>
      </c>
      <c r="D58" s="13" t="str">
        <f>E16&amp;" I "&amp;(VLOOKUP(E14,Table24581113[],6,FALSE))</f>
        <v>Medium/Clay I Arable</v>
      </c>
      <c r="E58" s="13" t="str">
        <f>F16&amp;" I "&amp;(VLOOKUP(F14,Table24581113[],6,FALSE))</f>
        <v>Medium/Clay I Arable</v>
      </c>
      <c r="F58" s="13" t="str">
        <f>G16&amp;" I "&amp;(VLOOKUP(G14,Table24581113[],6,FALSE))</f>
        <v>Medium/Clay I Grass</v>
      </c>
      <c r="G58" s="13" t="str">
        <f>H16&amp;" I "&amp;(VLOOKUP(H14,Table24581113[],6,FALSE))</f>
        <v>Medium/Clay I Grass</v>
      </c>
      <c r="H58" s="13" t="str">
        <f>I16&amp;" I "&amp;(VLOOKUP(I14,Table24581113[],6,FALSE))</f>
        <v>Medium/Clay I Grass</v>
      </c>
      <c r="I58" s="13" t="e">
        <f>J16&amp;" I "&amp;(VLOOKUP(J14,Table24581113[],6,FALSE))</f>
        <v>#N/A</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0" t="s">
        <v>132</v>
      </c>
      <c r="B59" s="75">
        <f>VLOOKUP(C$14,Table24581113[],5,FALSE)</f>
        <v>6.2</v>
      </c>
      <c r="C59" s="75">
        <f>VLOOKUP(D$14,Table24581113[],5,FALSE)</f>
        <v>6.2</v>
      </c>
      <c r="D59" s="75">
        <f>VLOOKUP(E$14,Table24581113[],5,FALSE)</f>
        <v>6.7</v>
      </c>
      <c r="E59" s="75">
        <f>VLOOKUP(F$14,Table24581113[],5,FALSE)</f>
        <v>6.7</v>
      </c>
      <c r="F59" s="75">
        <f>VLOOKUP(G$14,Table24581113[],5,FALSE)</f>
        <v>6.2</v>
      </c>
      <c r="G59" s="75">
        <f>VLOOKUP(H$14,Table24581113[],5,FALSE)</f>
        <v>6.2</v>
      </c>
      <c r="H59" s="75">
        <f>VLOOKUP(I$14,Table24581113[],5,FALSE)</f>
        <v>6.2</v>
      </c>
      <c r="I59" s="75" t="e">
        <f>VLOOKUP(J$14,Table24581113[],5,FALSE)</f>
        <v>#N/A</v>
      </c>
      <c r="J59" s="75" t="e">
        <f>VLOOKUP(K$14,Table24581113[],5,FALSE)</f>
        <v>#N/A</v>
      </c>
      <c r="K59" s="75" t="e">
        <f>VLOOKUP(L$14,Table24581113[],5,FALSE)</f>
        <v>#N/A</v>
      </c>
      <c r="L59" s="75" t="e">
        <f>VLOOKUP(M$14,Table24581113[],5,FALSE)</f>
        <v>#N/A</v>
      </c>
      <c r="M59" s="75" t="e">
        <f>VLOOKUP(N$14,Table24581113[],5,FALSE)</f>
        <v>#N/A</v>
      </c>
      <c r="N59" s="75" t="e">
        <f>VLOOKUP(O$14,Table24581113[],5,FALSE)</f>
        <v>#N/A</v>
      </c>
      <c r="O59" s="75" t="e">
        <f>VLOOKUP(P$14,Table24581113[],5,FALSE)</f>
        <v>#N/A</v>
      </c>
      <c r="P59" s="75" t="e">
        <f>VLOOKUP(Q$14,Table24581113[],5,FALSE)</f>
        <v>#N/A</v>
      </c>
      <c r="Q59" s="75" t="e">
        <f>VLOOKUP(R$14,Table24581113[],5,FALSE)</f>
        <v>#N/A</v>
      </c>
      <c r="R59" s="75" t="e">
        <f>VLOOKUP(S$14,Table24581113[],5,FALSE)</f>
        <v>#N/A</v>
      </c>
      <c r="S59" s="75" t="e">
        <f>VLOOKUP(T$14,Table24581113[],5,FALSE)</f>
        <v>#N/A</v>
      </c>
      <c r="T59" s="75" t="e">
        <f>VLOOKUP(U$14,Table24581113[],5,FALSE)</f>
        <v>#N/A</v>
      </c>
      <c r="U59" s="75" t="e">
        <f>VLOOKUP(V$14,Table24581113[],5,FALSE)</f>
        <v>#N/A</v>
      </c>
    </row>
    <row r="60" spans="1:35" s="19" customFormat="1" ht="13" x14ac:dyDescent="0.3">
      <c r="A60" s="110" t="s">
        <v>4</v>
      </c>
      <c r="B60" s="75">
        <f>C10</f>
        <v>6.2</v>
      </c>
      <c r="C60" s="75">
        <f t="shared" ref="C60:U60" si="14">D10</f>
        <v>5.2</v>
      </c>
      <c r="D60" s="75">
        <f t="shared" si="14"/>
        <v>5.5</v>
      </c>
      <c r="E60" s="75">
        <f t="shared" si="14"/>
        <v>5</v>
      </c>
      <c r="F60" s="75">
        <f t="shared" si="14"/>
        <v>5.5</v>
      </c>
      <c r="G60" s="75">
        <f t="shared" si="14"/>
        <v>5.4</v>
      </c>
      <c r="H60" s="75">
        <f t="shared" si="14"/>
        <v>5.5</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8</v>
      </c>
      <c r="E61" s="75">
        <f t="shared" si="15"/>
        <v>8</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0</v>
      </c>
      <c r="D62" s="76">
        <f>B33</f>
        <v>0</v>
      </c>
      <c r="E62" s="76">
        <f>B34</f>
        <v>0</v>
      </c>
      <c r="F62" s="76">
        <f>B35</f>
        <v>0</v>
      </c>
      <c r="G62" s="76">
        <f>B36</f>
        <v>0</v>
      </c>
      <c r="H62" s="76">
        <f>B37</f>
        <v>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v>
      </c>
      <c r="C64" s="76">
        <f t="shared" ref="C64:U64" si="17">(C59-C60)*C61</f>
        <v>6</v>
      </c>
      <c r="D64" s="76">
        <f t="shared" si="17"/>
        <v>9.6000000000000014</v>
      </c>
      <c r="E64" s="76">
        <f t="shared" si="17"/>
        <v>13.600000000000001</v>
      </c>
      <c r="F64" s="76">
        <f t="shared" si="17"/>
        <v>4.2000000000000011</v>
      </c>
      <c r="G64" s="76">
        <f t="shared" si="17"/>
        <v>4.7999999999999989</v>
      </c>
      <c r="H64" s="76">
        <f t="shared" si="17"/>
        <v>4.2000000000000011</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v>
      </c>
      <c r="C65" s="76">
        <f t="shared" ref="C65:U65" si="18">C63-C64</f>
        <v>-6</v>
      </c>
      <c r="D65" s="76">
        <f t="shared" si="18"/>
        <v>-9.6000000000000014</v>
      </c>
      <c r="E65" s="76">
        <f t="shared" si="18"/>
        <v>-13.600000000000001</v>
      </c>
      <c r="F65" s="76">
        <f t="shared" si="18"/>
        <v>-4.2000000000000011</v>
      </c>
      <c r="G65" s="76">
        <f t="shared" si="18"/>
        <v>-4.7999999999999989</v>
      </c>
      <c r="H65" s="76">
        <f t="shared" si="18"/>
        <v>-4.2000000000000011</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opLeftCell="A19" zoomScale="90" zoomScaleNormal="90" workbookViewId="0">
      <selection activeCell="J42" sqref="J4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Bryngwyn!C1:D1</f>
        <v>PAN-019774</v>
      </c>
      <c r="D1" s="142"/>
      <c r="E1" s="92" t="s">
        <v>45</v>
      </c>
      <c r="F1" s="38" t="str">
        <f>Bryngwyn!F1</f>
        <v>46.9 ha</v>
      </c>
      <c r="G1" s="124" t="s">
        <v>43</v>
      </c>
      <c r="H1" s="125"/>
      <c r="I1" s="117">
        <v>6.4</v>
      </c>
      <c r="J1" s="128" t="s">
        <v>153</v>
      </c>
      <c r="K1" s="128"/>
      <c r="L1" s="96">
        <v>314</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Bryngwyn!C2:D2</f>
        <v>EPR/GP3792SK</v>
      </c>
      <c r="D2" s="144"/>
      <c r="E2" s="92" t="s">
        <v>109</v>
      </c>
      <c r="F2" s="95" t="s">
        <v>166</v>
      </c>
      <c r="G2" s="126" t="s">
        <v>110</v>
      </c>
      <c r="H2" s="127"/>
      <c r="I2" s="117"/>
      <c r="J2" s="128" t="s">
        <v>158</v>
      </c>
      <c r="K2" s="128"/>
      <c r="L2" s="96">
        <v>1.22</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Bryngwyn!C3:D3</f>
        <v xml:space="preserve">Mr Richard Evans </v>
      </c>
      <c r="D3" s="144"/>
      <c r="E3" s="92" t="s">
        <v>108</v>
      </c>
      <c r="F3" s="30" t="s">
        <v>78</v>
      </c>
      <c r="G3" s="128" t="s">
        <v>159</v>
      </c>
      <c r="H3" s="128"/>
      <c r="I3" s="117"/>
      <c r="J3" s="124" t="s">
        <v>154</v>
      </c>
      <c r="K3" s="125"/>
      <c r="L3" s="96">
        <f>(L1/(L2*10000))*100</f>
        <v>2.5737704918032787</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1" t="str">
        <f>Bryngwyn!C4:D4</f>
        <v>Tylebrithos, Cantref, Brecon, LD3 8LR</v>
      </c>
      <c r="D4" s="142"/>
      <c r="E4" s="93" t="s">
        <v>1</v>
      </c>
      <c r="F4" s="119" t="s">
        <v>167</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Bryngwyn!C5:D5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t="str">
        <f>Bryngwyn!C8</f>
        <v>Abercynrig 2</v>
      </c>
      <c r="D8" s="59" t="str">
        <f>Bryngwyn!D8</f>
        <v>Abercynrig 10</v>
      </c>
      <c r="E8" s="59">
        <f>Bryngwyn!E8</f>
        <v>1</v>
      </c>
      <c r="F8" s="59">
        <f>Bryngwyn!F8</f>
        <v>2</v>
      </c>
      <c r="G8" s="59">
        <f>Bryngwyn!G8</f>
        <v>10</v>
      </c>
      <c r="H8" s="59">
        <f>Bryngwyn!H8</f>
        <v>11</v>
      </c>
      <c r="I8" s="59">
        <f>Bryngwyn!I8</f>
        <v>16</v>
      </c>
      <c r="J8" s="59">
        <f>Bryngwyn!J8</f>
        <v>0</v>
      </c>
      <c r="K8" s="59">
        <f>Bryngwyn!K8</f>
        <v>0</v>
      </c>
      <c r="L8" s="59">
        <f>Bryngwyn!L8</f>
        <v>0</v>
      </c>
      <c r="M8" s="59">
        <f>Bryngwyn!M8</f>
        <v>0</v>
      </c>
      <c r="N8" s="59">
        <f>Bryngwyn!N8</f>
        <v>0</v>
      </c>
      <c r="O8" s="59">
        <f>Bryngwyn!O8</f>
        <v>0</v>
      </c>
      <c r="P8" s="59">
        <f>Bryngwyn!P8</f>
        <v>0</v>
      </c>
      <c r="Q8" s="59">
        <f>Bryngwyn!Q8</f>
        <v>0</v>
      </c>
      <c r="R8" s="59">
        <f>Bryngwyn!R8</f>
        <v>0</v>
      </c>
      <c r="S8" s="59">
        <f>Bryngwyn!S8</f>
        <v>0</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Bryngwyn!C9</f>
        <v>Moderate</v>
      </c>
      <c r="D9" s="59" t="str">
        <f>Bryngwyn!D9</f>
        <v xml:space="preserve">Moderate </v>
      </c>
      <c r="E9" s="59">
        <f>Bryngwyn!E9</f>
        <v>1</v>
      </c>
      <c r="F9" s="59">
        <f>Bryngwyn!F9</f>
        <v>1</v>
      </c>
      <c r="G9" s="59" t="str">
        <f>Bryngwyn!G9</f>
        <v>Moderate</v>
      </c>
      <c r="H9" s="59" t="str">
        <f>Bryngwyn!H9</f>
        <v xml:space="preserve">Moderate </v>
      </c>
      <c r="I9" s="59" t="str">
        <f>Bryngwyn!I9</f>
        <v xml:space="preserve">Moderate </v>
      </c>
      <c r="J9" s="59">
        <f>Bryngwyn!J9</f>
        <v>0</v>
      </c>
      <c r="K9" s="59">
        <f>Bryngwyn!K9</f>
        <v>0</v>
      </c>
      <c r="L9" s="59">
        <f>Bryngwyn!L9</f>
        <v>0</v>
      </c>
      <c r="M9" s="59">
        <f>Bryngwyn!M9</f>
        <v>0</v>
      </c>
      <c r="N9" s="59">
        <f>Bryngwyn!N9</f>
        <v>0</v>
      </c>
      <c r="O9" s="59">
        <f>Bryngwyn!O9</f>
        <v>0</v>
      </c>
      <c r="P9" s="59">
        <f>Bryngwyn!P9</f>
        <v>0</v>
      </c>
      <c r="Q9" s="59">
        <f>Bryngwyn!Q9</f>
        <v>0</v>
      </c>
      <c r="R9" s="59">
        <f>Bryngwyn!R9</f>
        <v>0</v>
      </c>
      <c r="S9" s="59">
        <f>Bryngwyn!S9</f>
        <v>0</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Bryngwyn!C10</f>
        <v>6.2</v>
      </c>
      <c r="D10" s="59">
        <f>Bryngwyn!D10</f>
        <v>5.2</v>
      </c>
      <c r="E10" s="59">
        <f>Bryngwyn!E10</f>
        <v>5.5</v>
      </c>
      <c r="F10" s="59">
        <f>Bryngwyn!F10</f>
        <v>5</v>
      </c>
      <c r="G10" s="59">
        <f>Bryngwyn!G10</f>
        <v>5.5</v>
      </c>
      <c r="H10" s="59">
        <f>Bryngwyn!H10</f>
        <v>5.4</v>
      </c>
      <c r="I10" s="59">
        <f>Bryngwyn!I10</f>
        <v>5.5</v>
      </c>
      <c r="J10" s="59">
        <f>Bryngwyn!J10</f>
        <v>0</v>
      </c>
      <c r="K10" s="59">
        <f>Bryngwyn!K10</f>
        <v>0</v>
      </c>
      <c r="L10" s="59">
        <f>Bryngwyn!L10</f>
        <v>0</v>
      </c>
      <c r="M10" s="59">
        <f>Bryngwyn!M10</f>
        <v>0</v>
      </c>
      <c r="N10" s="59">
        <f>Bryngwyn!N10</f>
        <v>0</v>
      </c>
      <c r="O10" s="59">
        <f>Bryngwyn!O10</f>
        <v>0</v>
      </c>
      <c r="P10" s="59">
        <f>Bryngwyn!P10</f>
        <v>0</v>
      </c>
      <c r="Q10" s="59">
        <f>Bryngwyn!Q10</f>
        <v>0</v>
      </c>
      <c r="R10" s="59">
        <f>Bryngwyn!R10</f>
        <v>0</v>
      </c>
      <c r="S10" s="59">
        <f>Bryngwyn!S10</f>
        <v>0</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Bryngwyn!C11</f>
        <v>3</v>
      </c>
      <c r="D11" s="59">
        <f>Bryngwyn!D11</f>
        <v>3</v>
      </c>
      <c r="E11" s="59">
        <f>Bryngwyn!E11</f>
        <v>3</v>
      </c>
      <c r="F11" s="59">
        <f>Bryngwyn!F11</f>
        <v>4</v>
      </c>
      <c r="G11" s="59">
        <f>Bryngwyn!G11</f>
        <v>2</v>
      </c>
      <c r="H11" s="59">
        <f>Bryngwyn!H11</f>
        <v>2</v>
      </c>
      <c r="I11" s="59">
        <f>Bryngwyn!I11</f>
        <v>3</v>
      </c>
      <c r="J11" s="59">
        <f>Bryngwyn!J11</f>
        <v>0</v>
      </c>
      <c r="K11" s="59">
        <f>Bryngwyn!K11</f>
        <v>0</v>
      </c>
      <c r="L11" s="59">
        <f>Bryngwyn!L11</f>
        <v>0</v>
      </c>
      <c r="M11" s="59">
        <f>Bryngwyn!M11</f>
        <v>0</v>
      </c>
      <c r="N11" s="59">
        <f>Bryngwyn!N11</f>
        <v>0</v>
      </c>
      <c r="O11" s="59">
        <f>Bryngwyn!O11</f>
        <v>0</v>
      </c>
      <c r="P11" s="59">
        <f>Bryngwyn!P11</f>
        <v>0</v>
      </c>
      <c r="Q11" s="59">
        <f>Bryngwyn!Q11</f>
        <v>0</v>
      </c>
      <c r="R11" s="59">
        <f>Bryngwyn!R11</f>
        <v>0</v>
      </c>
      <c r="S11" s="59">
        <f>Bryngwyn!S11</f>
        <v>0</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Bryngwyn!C12</f>
        <v>2</v>
      </c>
      <c r="D12" s="59">
        <f>Bryngwyn!D12</f>
        <v>1</v>
      </c>
      <c r="E12" s="59">
        <f>Bryngwyn!E12</f>
        <v>2</v>
      </c>
      <c r="F12" s="59">
        <f>Bryngwyn!F12</f>
        <v>1</v>
      </c>
      <c r="G12" s="59">
        <f>Bryngwyn!G12</f>
        <v>1</v>
      </c>
      <c r="H12" s="59">
        <f>Bryngwyn!H12</f>
        <v>1</v>
      </c>
      <c r="I12" s="59">
        <f>Bryngwyn!I12</f>
        <v>1</v>
      </c>
      <c r="J12" s="59">
        <f>Bryngwyn!J12</f>
        <v>0</v>
      </c>
      <c r="K12" s="59">
        <f>Bryngwyn!K12</f>
        <v>0</v>
      </c>
      <c r="L12" s="59">
        <f>Bryngwyn!L12</f>
        <v>0</v>
      </c>
      <c r="M12" s="59">
        <f>Bryngwyn!M12</f>
        <v>0</v>
      </c>
      <c r="N12" s="59">
        <f>Bryngwyn!N12</f>
        <v>0</v>
      </c>
      <c r="O12" s="59">
        <f>Bryngwyn!O12</f>
        <v>0</v>
      </c>
      <c r="P12" s="59">
        <f>Bryngwyn!P12</f>
        <v>0</v>
      </c>
      <c r="Q12" s="59">
        <f>Bryngwyn!Q12</f>
        <v>0</v>
      </c>
      <c r="R12" s="59">
        <f>Bryngwyn!R12</f>
        <v>0</v>
      </c>
      <c r="S12" s="59">
        <f>Bryngwyn!S12</f>
        <v>0</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Bryngwyn!C13</f>
        <v>3</v>
      </c>
      <c r="D13" s="59">
        <f>Bryngwyn!D13</f>
        <v>2</v>
      </c>
      <c r="E13" s="59">
        <f>Bryngwyn!E13</f>
        <v>3</v>
      </c>
      <c r="F13" s="59">
        <f>Bryngwyn!F13</f>
        <v>2</v>
      </c>
      <c r="G13" s="59">
        <f>Bryngwyn!G13</f>
        <v>2</v>
      </c>
      <c r="H13" s="59">
        <f>Bryngwyn!H13</f>
        <v>2</v>
      </c>
      <c r="I13" s="59">
        <f>Bryngwyn!I13</f>
        <v>3</v>
      </c>
      <c r="J13" s="59">
        <f>Bryngwyn!J13</f>
        <v>0</v>
      </c>
      <c r="K13" s="59">
        <f>Bryngwyn!K13</f>
        <v>0</v>
      </c>
      <c r="L13" s="59">
        <f>Bryngwyn!L13</f>
        <v>0</v>
      </c>
      <c r="M13" s="59">
        <f>Bryngwyn!M13</f>
        <v>0</v>
      </c>
      <c r="N13" s="59">
        <f>Bryngwyn!N13</f>
        <v>0</v>
      </c>
      <c r="O13" s="59">
        <f>Bryngwyn!O13</f>
        <v>0</v>
      </c>
      <c r="P13" s="59">
        <f>Bryngwyn!P13</f>
        <v>0</v>
      </c>
      <c r="Q13" s="59">
        <f>Bryngwyn!Q13</f>
        <v>0</v>
      </c>
      <c r="R13" s="59">
        <f>Bryngwyn!R13</f>
        <v>0</v>
      </c>
      <c r="S13" s="59">
        <f>Bryngwyn!S13</f>
        <v>0</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Bryngwyn!C14</f>
        <v xml:space="preserve">Grass Silage (25% DM) </v>
      </c>
      <c r="D14" s="101" t="str">
        <f>Bryngwyn!D14</f>
        <v xml:space="preserve">Grass Silage (25% DM) </v>
      </c>
      <c r="E14" s="101" t="str">
        <f>Bryngwyn!E14</f>
        <v>Winter barley/triticale/rye</v>
      </c>
      <c r="F14" s="101" t="str">
        <f>Bryngwyn!F14</f>
        <v>Winter barley/triticale/rye</v>
      </c>
      <c r="G14" s="101" t="str">
        <f>Bryngwyn!G14</f>
        <v xml:space="preserve">Grass Silage (25% DM) </v>
      </c>
      <c r="H14" s="101" t="str">
        <f>Bryngwyn!H14</f>
        <v xml:space="preserve">Grass Silage (25% DM) </v>
      </c>
      <c r="I14" s="101" t="str">
        <f>Bryngwyn!I14</f>
        <v xml:space="preserve">Grass Silage (25% DM) </v>
      </c>
      <c r="J14" s="101">
        <f>Bryngwyn!J14</f>
        <v>0</v>
      </c>
      <c r="K14" s="101">
        <f>Bryngwyn!K14</f>
        <v>0</v>
      </c>
      <c r="L14" s="101">
        <f>Bryngwyn!L14</f>
        <v>0</v>
      </c>
      <c r="M14" s="101">
        <f>Bryngwyn!M14</f>
        <v>0</v>
      </c>
      <c r="N14" s="101">
        <f>Bryngwyn!N14</f>
        <v>0</v>
      </c>
      <c r="O14" s="101">
        <f>Bryngwyn!O14</f>
        <v>0</v>
      </c>
      <c r="P14" s="101">
        <f>Bryngwyn!P14</f>
        <v>0</v>
      </c>
      <c r="Q14" s="101">
        <f>Bryngwyn!Q14</f>
        <v>0</v>
      </c>
      <c r="R14" s="101">
        <f>Bryngwyn!R14</f>
        <v>0</v>
      </c>
      <c r="S14" s="101">
        <f>Bryngwyn!S14</f>
        <v>0</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6" t="s">
        <v>9</v>
      </c>
      <c r="B15" s="136"/>
      <c r="C15" s="59">
        <f>Bryngwyn!C15</f>
        <v>38</v>
      </c>
      <c r="D15" s="59">
        <f>Bryngwyn!D15</f>
        <v>38</v>
      </c>
      <c r="E15" s="59">
        <f>Bryngwyn!E15</f>
        <v>6.5</v>
      </c>
      <c r="F15" s="59">
        <f>Bryngwyn!F15</f>
        <v>6.5</v>
      </c>
      <c r="G15" s="59">
        <f>Bryngwyn!G15</f>
        <v>38</v>
      </c>
      <c r="H15" s="59">
        <f>Bryngwyn!H15</f>
        <v>38</v>
      </c>
      <c r="I15" s="59">
        <f>Bryngwyn!I15</f>
        <v>38</v>
      </c>
      <c r="J15" s="59">
        <f>Bryngwyn!J15</f>
        <v>0</v>
      </c>
      <c r="K15" s="59">
        <f>Bryngwyn!K15</f>
        <v>0</v>
      </c>
      <c r="L15" s="59">
        <f>Bryngwyn!L15</f>
        <v>0</v>
      </c>
      <c r="M15" s="59">
        <f>Bryngwyn!M15</f>
        <v>0</v>
      </c>
      <c r="N15" s="59">
        <f>Bryngwyn!N15</f>
        <v>0</v>
      </c>
      <c r="O15" s="59">
        <f>Bryngwyn!O15</f>
        <v>0</v>
      </c>
      <c r="P15" s="59">
        <f>Bryngwyn!P15</f>
        <v>0</v>
      </c>
      <c r="Q15" s="59">
        <f>Bryngwyn!Q15</f>
        <v>0</v>
      </c>
      <c r="R15" s="59">
        <f>Bryngwyn!R15</f>
        <v>0</v>
      </c>
      <c r="S15" s="59">
        <f>Bryngwyn!S15</f>
        <v>0</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f>Bryngwyn!J16</f>
        <v>0</v>
      </c>
      <c r="K16" s="102">
        <f>Bryngwyn!K16</f>
        <v>0</v>
      </c>
      <c r="L16" s="102">
        <f>Bryngwyn!L16</f>
        <v>0</v>
      </c>
      <c r="M16" s="102">
        <f>Bryngwyn!M16</f>
        <v>0</v>
      </c>
      <c r="N16" s="102">
        <f>Bryngwyn!N16</f>
        <v>0</v>
      </c>
      <c r="O16" s="102">
        <f>Bryngwyn!O16</f>
        <v>0</v>
      </c>
      <c r="P16" s="102">
        <f>Bryngwyn!P16</f>
        <v>0</v>
      </c>
      <c r="Q16" s="102">
        <f>Bryngwyn!Q16</f>
        <v>0</v>
      </c>
      <c r="R16" s="102">
        <f>Bryngwyn!R16</f>
        <v>0</v>
      </c>
      <c r="S16" s="102">
        <f>Bryngwyn!S16</f>
        <v>0</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64.599999999999994</v>
      </c>
      <c r="D17" s="27">
        <f t="shared" ref="D17:V17" si="0">(VLOOKUP(D$14,$AI2:$AK26,2,FALSE))*D$15</f>
        <v>64.599999999999994</v>
      </c>
      <c r="E17" s="27">
        <f t="shared" si="0"/>
        <v>55.25</v>
      </c>
      <c r="F17" s="27">
        <f t="shared" si="0"/>
        <v>55.25</v>
      </c>
      <c r="G17" s="27">
        <f t="shared" si="0"/>
        <v>64.599999999999994</v>
      </c>
      <c r="H17" s="27">
        <f t="shared" si="0"/>
        <v>64.599999999999994</v>
      </c>
      <c r="I17" s="27">
        <f t="shared" si="0"/>
        <v>64.599999999999994</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31.560815999999999</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-33.039183999999992</v>
      </c>
      <c r="D19" s="16">
        <f t="shared" ref="D19:V19" si="1">D18-D17</f>
        <v>-64.599999999999994</v>
      </c>
      <c r="E19" s="16">
        <f t="shared" si="1"/>
        <v>-55.25</v>
      </c>
      <c r="F19" s="16">
        <f t="shared" si="1"/>
        <v>-55.25</v>
      </c>
      <c r="G19" s="16">
        <f t="shared" si="1"/>
        <v>-64.599999999999994</v>
      </c>
      <c r="H19" s="16">
        <f t="shared" si="1"/>
        <v>-64.599999999999994</v>
      </c>
      <c r="I19" s="16">
        <f t="shared" si="1"/>
        <v>-64.599999999999994</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DECREASE</v>
      </c>
      <c r="D20" s="25" t="str">
        <f>IF($B32="","",IF(D$19&gt;=0,"INCREASE","DECREASE"))</f>
        <v/>
      </c>
      <c r="E20" s="25" t="str">
        <f>IF($B33="","",IF(E$19&gt;=0,"INCREASE","DECREASE"))</f>
        <v/>
      </c>
      <c r="F20" s="25" t="str">
        <f>IF($B34="","",IF(F$19&gt;=0,"INCREASE","DECREASE"))</f>
        <v/>
      </c>
      <c r="G20" s="25" t="str">
        <f>IF($B35="","",IF(G$19&gt;=0,"INCREASE","DECREASE"))</f>
        <v/>
      </c>
      <c r="H20" s="25" t="str">
        <f>IF($B36="","",IF(H$19&gt;=0,"INCREASE","DECREASE"))</f>
        <v/>
      </c>
      <c r="I20" s="25" t="str">
        <f>IF($B37="","",IF(I$19&gt;=0,"INCREASE","DECREASE"))</f>
        <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228</v>
      </c>
      <c r="D21" s="27">
        <f t="shared" ref="D21:V21" si="2">(VLOOKUP(D$14,$AI2:$AK26,3,FALSE))*D$15</f>
        <v>228</v>
      </c>
      <c r="E21" s="27">
        <f t="shared" si="2"/>
        <v>68.25</v>
      </c>
      <c r="F21" s="27">
        <f t="shared" si="2"/>
        <v>68.25</v>
      </c>
      <c r="G21" s="27">
        <f t="shared" si="2"/>
        <v>228</v>
      </c>
      <c r="H21" s="27">
        <f t="shared" si="2"/>
        <v>228</v>
      </c>
      <c r="I21" s="27">
        <f t="shared" si="2"/>
        <v>228</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7.0377422500000009</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-220.96225774999999</v>
      </c>
      <c r="D23" s="16">
        <f t="shared" ref="D23:V23" si="3">D22-D21</f>
        <v>-228</v>
      </c>
      <c r="E23" s="16">
        <f t="shared" si="3"/>
        <v>-68.25</v>
      </c>
      <c r="F23" s="16">
        <f t="shared" si="3"/>
        <v>-68.25</v>
      </c>
      <c r="G23" s="16">
        <f t="shared" si="3"/>
        <v>-228</v>
      </c>
      <c r="H23" s="16">
        <f t="shared" si="3"/>
        <v>-228</v>
      </c>
      <c r="I23" s="16">
        <f t="shared" si="3"/>
        <v>-228</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t="s">
        <v>55</v>
      </c>
      <c r="S27" s="106" t="s">
        <v>55</v>
      </c>
      <c r="T27" s="106"/>
      <c r="U27" s="106"/>
    </row>
    <row r="28" spans="1:40" s="56" customFormat="1" x14ac:dyDescent="0.35">
      <c r="A28" s="107"/>
      <c r="B28" s="23">
        <v>2.87</v>
      </c>
      <c r="C28" s="15">
        <v>1.22</v>
      </c>
      <c r="D28" s="15">
        <v>0.192</v>
      </c>
      <c r="E28" s="15">
        <v>8.14E-2</v>
      </c>
      <c r="F28" s="15">
        <v>839</v>
      </c>
      <c r="G28" s="15">
        <v>27.2</v>
      </c>
      <c r="H28" s="15">
        <v>55.2</v>
      </c>
      <c r="I28" s="15">
        <v>4.57</v>
      </c>
      <c r="J28" s="15">
        <v>0.52</v>
      </c>
      <c r="K28" s="15">
        <v>0.71</v>
      </c>
      <c r="L28" s="15">
        <v>5.0999999999999996</v>
      </c>
      <c r="M28" s="15">
        <v>7.19</v>
      </c>
      <c r="N28" s="15">
        <v>174000</v>
      </c>
      <c r="O28" s="15">
        <v>7480</v>
      </c>
      <c r="P28" s="15"/>
      <c r="Q28" s="15">
        <v>7340</v>
      </c>
      <c r="R28" s="15"/>
      <c r="S28" s="15">
        <v>60.5</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Abercynrig 2</v>
      </c>
      <c r="B31" s="15">
        <v>250</v>
      </c>
      <c r="C31" s="76">
        <f>IF(C$27="%w/w SAR",((C$28*10)*$B31),IF(C$27="%w/w DM",(((C$28*10)*($B$28/100))*$B31),IF(C$27="kg/t SAR",(C$28*$B31),IF(C$27="kg/t DM",((C$28*($B$28/100))*$B31),IF(C$27="mg/kg SAR",((C$28*0.001)*$B31),IF(C$27="mg/kg DM",(((C$28*0.001)*($B$28/100))*$B31),0))))))</f>
        <v>87.534999999999982</v>
      </c>
      <c r="D31" s="76">
        <f>(IF(D$27="%w/w SAR",((D$28*10)*$B31),IF(D$27="%w/w DM",(((D$28*10)*($B$28/100))*$B31),IF(D$27="kg/t SAR",(D$28*$B31),IF(D$27="kg/t DM",((D$28*($B$28/100))*$B31),IF(D$27="mg/kg SAR",((D$28*0.001)*$B31),IF(D$27="mg/kg DM",(((D$28*0.001)*($B$28/100))*$B31),"0")))))))*2.291</f>
        <v>31.560815999999999</v>
      </c>
      <c r="E31" s="76">
        <f>(IF(E$27="%w/w SAR",((E$28*10)*$B31),IF(E$27="%w/w DM",(((E$28*10)*($B$28/100))*$B31),IF(E$27="kg/t SAR",(E$28*$B31),IF(E$27="kg/t DM",((E$28*($B$28/100))*$B31),IF(E$27="mg/kg SAR",((E$28*0.001)*$B31),IF(E$27="mg/kg DM",(((E$28*0.001)*($B$28/100))*$B31),"0")))))))*1.205</f>
        <v>7.0377422500000009</v>
      </c>
      <c r="F31" s="76">
        <f>(IF(F$27="%w/w SAR",((F$28*10)*$B31),IF(F$27="%w/w DM",(((F$28*10)*($B$28/100))*$B31),IF(F$27="kg/t SAR",(F$28*$B31),IF(F$27="kg/t DM",((F$28*($B$28/100))*$B31),IF(F$27="mg/kg SAR",((F$28*0.001)*$B31),IF(F$27="mg/kg DM",(((F$28*0.001)*($B$28/100))*$B31),"0")))))))*1.658</f>
        <v>9.9808698499999977</v>
      </c>
      <c r="G31" s="76">
        <f t="shared" ref="G31:P46" si="5">IF(G$27="%w/w SAR",((G$28*10)*$B31),IF(G$27="%w/w DM",(((G$28*10)*($B$28/100))*$B31),IF(G$27="kg/t SAR",(G$28*$B31),IF(G$27="kg/t DM",((G$28*($B$28/100))*$B31),IF(G$27="mg/kg SAR",((G$28*0.001)*$B31),IF(G$27="mg/kg DM",(((G$28*0.001)*($B$28/100))*$B31),0))))))</f>
        <v>0.19516</v>
      </c>
      <c r="H31" s="76">
        <f t="shared" si="5"/>
        <v>0.39606000000000008</v>
      </c>
      <c r="I31" s="76">
        <f t="shared" si="5"/>
        <v>3.2789749999999999E-2</v>
      </c>
      <c r="J31" s="76">
        <f t="shared" si="5"/>
        <v>3.7310000000000004E-3</v>
      </c>
      <c r="K31" s="76">
        <f t="shared" si="5"/>
        <v>5.0942500000000007E-3</v>
      </c>
      <c r="L31" s="76">
        <f t="shared" si="5"/>
        <v>3.65925E-2</v>
      </c>
      <c r="M31" s="76">
        <f t="shared" si="5"/>
        <v>5.1588249999999995E-2</v>
      </c>
      <c r="N31" s="76">
        <f t="shared" si="5"/>
        <v>1248.45</v>
      </c>
      <c r="O31" s="76">
        <f t="shared" si="5"/>
        <v>53.669000000000004</v>
      </c>
      <c r="P31" s="76">
        <f t="shared" si="5"/>
        <v>0</v>
      </c>
      <c r="Q31" s="76">
        <f>(IF(Q$27="%w/w SAR",((Q$28*10)*$B31),IF(Q$27="%w/w DM",(((Q$28*10)*($B$28/100))*$B31),IF(Q$27="kg/t SAR",(Q$28*$B31),IF(Q$27="kg/t DM",((Q$28*($B$28/100))*$B31),IF(Q$27="mg/kg SAR",((Q$28*0.001)*$B31),IF(Q$27="mg/kg DM",(((Q$28*0.001)*($B$28/100))*$B31),0)))))))*2.5</f>
        <v>131.66125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0.43408750000000002</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Abercynrig 10</v>
      </c>
      <c r="B32" s="15"/>
      <c r="C32" s="76">
        <f t="shared" ref="C32:C50" si="6">IF(C$27="%w/w SAR",((C$28*10)*$B32),IF(C$27="%w/w DM",(((C$28*10)*($B$28/100))*$B32),IF(C$27="kg/t SAR",(C$28*$B32),IF(C$27="kg/t DM",((C$28*($B$28/100))*$B32),IF(C$27="mg/kg SAR",((C$28*0.001)*$B32),IF(C$27="mg/kg DM",(((C$28*0.001)*($B$28/100))*$B32),0))))))</f>
        <v>0</v>
      </c>
      <c r="D32" s="76">
        <f t="shared" ref="D32:D50" si="7">(IF(D$27="%w/w SAR",((D$28*10)*$B32),IF(D$27="%w/w DM",(((D$28*10)*($B$28/100))*$B32),IF(D$27="kg/t SAR",(D$28*$B32),IF(D$27="kg/t DM",((D$28*($B$28/100))*$B32),IF(D$27="mg/kg SAR",((D$28*0.001)*$B32),IF(D$27="mg/kg DM",(((D$28*0.001)*($B$28/100))*$B32),"0")))))))*2.291</f>
        <v>0</v>
      </c>
      <c r="E32" s="76">
        <f t="shared" ref="E32:E50" si="8">(IF(E$27="%w/w SAR",((E$28*10)*$B32),IF(E$27="%w/w DM",(((E$28*10)*($B$28/100))*$B32),IF(E$27="kg/t SAR",(E$28*$B32),IF(E$27="kg/t DM",((E$28*($B$28/100))*$B32),IF(E$27="mg/kg SAR",((E$28*0.001)*$B32),IF(E$27="mg/kg DM",(((E$28*0.001)*($B$28/100))*$B32),"0")))))))*1.205</f>
        <v>0</v>
      </c>
      <c r="F32" s="76">
        <f t="shared" ref="F32:F50" si="9">(IF(F$27="%w/w SAR",((F$28*10)*$B32),IF(F$27="%w/w DM",(((F$28*10)*($B$28/100))*$B32),IF(F$27="kg/t SAR",(F$28*$B32),IF(F$27="kg/t DM",((F$28*($B$28/100))*$B32),IF(F$27="mg/kg SAR",((F$28*0.001)*$B32),IF(F$27="mg/kg DM",(((F$28*0.001)*($B$28/100))*$B32),"0")))))))*1.658</f>
        <v>0</v>
      </c>
      <c r="G32" s="76">
        <f t="shared" si="5"/>
        <v>0</v>
      </c>
      <c r="H32" s="76">
        <f t="shared" si="5"/>
        <v>0</v>
      </c>
      <c r="I32" s="76">
        <f t="shared" si="5"/>
        <v>0</v>
      </c>
      <c r="J32" s="76">
        <f t="shared" si="5"/>
        <v>0</v>
      </c>
      <c r="K32" s="76">
        <f t="shared" si="5"/>
        <v>0</v>
      </c>
      <c r="L32" s="76">
        <f t="shared" si="5"/>
        <v>0</v>
      </c>
      <c r="M32" s="76">
        <f t="shared" si="5"/>
        <v>0</v>
      </c>
      <c r="N32" s="76">
        <f t="shared" si="5"/>
        <v>0</v>
      </c>
      <c r="O32" s="76">
        <f t="shared" si="5"/>
        <v>0</v>
      </c>
      <c r="P32" s="76">
        <f t="shared" si="5"/>
        <v>0</v>
      </c>
      <c r="Q32" s="76">
        <f t="shared" ref="Q32:Q50" si="10">(IF(Q$27="%w/w SAR",((Q$28*10)*$B32),IF(Q$27="%w/w DM",(((Q$28*10)*($B$28/100))*$B32),IF(Q$27="kg/t SAR",(Q$28*$B32),IF(Q$27="kg/t DM",((Q$28*($B$28/100))*$B32),IF(Q$27="mg/kg SAR",((Q$28*0.001)*$B32),IF(Q$27="mg/kg DM",(((Q$28*0.001)*($B$28/100))*$B32),0)))))))*2.5</f>
        <v>0</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1</v>
      </c>
      <c r="B33" s="15"/>
      <c r="C33" s="76">
        <f t="shared" si="6"/>
        <v>0</v>
      </c>
      <c r="D33" s="76">
        <f t="shared" si="7"/>
        <v>0</v>
      </c>
      <c r="E33" s="76">
        <f t="shared" si="8"/>
        <v>0</v>
      </c>
      <c r="F33" s="76">
        <f t="shared" si="9"/>
        <v>0</v>
      </c>
      <c r="G33" s="76">
        <f t="shared" si="5"/>
        <v>0</v>
      </c>
      <c r="H33" s="76">
        <f t="shared" si="5"/>
        <v>0</v>
      </c>
      <c r="I33" s="76">
        <f t="shared" si="5"/>
        <v>0</v>
      </c>
      <c r="J33" s="76">
        <f t="shared" si="5"/>
        <v>0</v>
      </c>
      <c r="K33" s="76">
        <f t="shared" si="5"/>
        <v>0</v>
      </c>
      <c r="L33" s="76">
        <f t="shared" si="5"/>
        <v>0</v>
      </c>
      <c r="M33" s="76">
        <f t="shared" si="5"/>
        <v>0</v>
      </c>
      <c r="N33" s="76">
        <f t="shared" si="5"/>
        <v>0</v>
      </c>
      <c r="O33" s="76">
        <f t="shared" si="5"/>
        <v>0</v>
      </c>
      <c r="P33" s="76">
        <f t="shared" si="5"/>
        <v>0</v>
      </c>
      <c r="Q33" s="76">
        <f t="shared" si="10"/>
        <v>0</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2</v>
      </c>
      <c r="B34" s="15"/>
      <c r="C34" s="76">
        <f t="shared" si="6"/>
        <v>0</v>
      </c>
      <c r="D34" s="76">
        <f t="shared" si="7"/>
        <v>0</v>
      </c>
      <c r="E34" s="76">
        <f t="shared" si="8"/>
        <v>0</v>
      </c>
      <c r="F34" s="76">
        <f t="shared" si="9"/>
        <v>0</v>
      </c>
      <c r="G34" s="76">
        <f t="shared" si="5"/>
        <v>0</v>
      </c>
      <c r="H34" s="76">
        <f t="shared" si="5"/>
        <v>0</v>
      </c>
      <c r="I34" s="76">
        <f t="shared" si="5"/>
        <v>0</v>
      </c>
      <c r="J34" s="76">
        <f t="shared" si="5"/>
        <v>0</v>
      </c>
      <c r="K34" s="76">
        <f t="shared" si="5"/>
        <v>0</v>
      </c>
      <c r="L34" s="76">
        <f t="shared" si="5"/>
        <v>0</v>
      </c>
      <c r="M34" s="76">
        <f t="shared" si="5"/>
        <v>0</v>
      </c>
      <c r="N34" s="76">
        <f t="shared" si="5"/>
        <v>0</v>
      </c>
      <c r="O34" s="76">
        <f t="shared" si="5"/>
        <v>0</v>
      </c>
      <c r="P34" s="76">
        <f t="shared" si="5"/>
        <v>0</v>
      </c>
      <c r="Q34" s="76">
        <f t="shared" si="10"/>
        <v>0</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10</v>
      </c>
      <c r="B35" s="15"/>
      <c r="C35" s="76">
        <f t="shared" si="6"/>
        <v>0</v>
      </c>
      <c r="D35" s="76">
        <f t="shared" si="7"/>
        <v>0</v>
      </c>
      <c r="E35" s="76">
        <f t="shared" si="8"/>
        <v>0</v>
      </c>
      <c r="F35" s="76">
        <f t="shared" si="9"/>
        <v>0</v>
      </c>
      <c r="G35" s="76">
        <f t="shared" si="5"/>
        <v>0</v>
      </c>
      <c r="H35" s="76">
        <f t="shared" si="5"/>
        <v>0</v>
      </c>
      <c r="I35" s="76">
        <f t="shared" si="5"/>
        <v>0</v>
      </c>
      <c r="J35" s="76">
        <f t="shared" si="5"/>
        <v>0</v>
      </c>
      <c r="K35" s="76">
        <f t="shared" si="5"/>
        <v>0</v>
      </c>
      <c r="L35" s="76">
        <f t="shared" si="5"/>
        <v>0</v>
      </c>
      <c r="M35" s="76">
        <f t="shared" si="5"/>
        <v>0</v>
      </c>
      <c r="N35" s="76">
        <f t="shared" si="5"/>
        <v>0</v>
      </c>
      <c r="O35" s="76">
        <f t="shared" si="5"/>
        <v>0</v>
      </c>
      <c r="P35" s="76">
        <f t="shared" si="5"/>
        <v>0</v>
      </c>
      <c r="Q35" s="76">
        <f t="shared" si="10"/>
        <v>0</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11</v>
      </c>
      <c r="B36" s="15"/>
      <c r="C36" s="76">
        <f t="shared" si="6"/>
        <v>0</v>
      </c>
      <c r="D36" s="76">
        <f t="shared" si="7"/>
        <v>0</v>
      </c>
      <c r="E36" s="76">
        <f t="shared" si="8"/>
        <v>0</v>
      </c>
      <c r="F36" s="76">
        <f t="shared" si="9"/>
        <v>0</v>
      </c>
      <c r="G36" s="76">
        <f t="shared" si="5"/>
        <v>0</v>
      </c>
      <c r="H36" s="76">
        <f t="shared" si="5"/>
        <v>0</v>
      </c>
      <c r="I36" s="76">
        <f t="shared" si="5"/>
        <v>0</v>
      </c>
      <c r="J36" s="76">
        <f t="shared" si="5"/>
        <v>0</v>
      </c>
      <c r="K36" s="76">
        <f t="shared" si="5"/>
        <v>0</v>
      </c>
      <c r="L36" s="76">
        <f t="shared" si="5"/>
        <v>0</v>
      </c>
      <c r="M36" s="76">
        <f t="shared" si="5"/>
        <v>0</v>
      </c>
      <c r="N36" s="76">
        <f t="shared" si="5"/>
        <v>0</v>
      </c>
      <c r="O36" s="76">
        <f t="shared" si="5"/>
        <v>0</v>
      </c>
      <c r="P36" s="76">
        <f t="shared" si="5"/>
        <v>0</v>
      </c>
      <c r="Q36" s="76">
        <f t="shared" si="10"/>
        <v>0</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16</v>
      </c>
      <c r="B37" s="15"/>
      <c r="C37" s="76">
        <f t="shared" si="6"/>
        <v>0</v>
      </c>
      <c r="D37" s="76">
        <f t="shared" si="7"/>
        <v>0</v>
      </c>
      <c r="E37" s="76">
        <f t="shared" si="8"/>
        <v>0</v>
      </c>
      <c r="F37" s="76">
        <f t="shared" si="9"/>
        <v>0</v>
      </c>
      <c r="G37" s="76">
        <f t="shared" si="5"/>
        <v>0</v>
      </c>
      <c r="H37" s="76">
        <f t="shared" si="5"/>
        <v>0</v>
      </c>
      <c r="I37" s="76">
        <f t="shared" si="5"/>
        <v>0</v>
      </c>
      <c r="J37" s="76">
        <f t="shared" si="5"/>
        <v>0</v>
      </c>
      <c r="K37" s="76">
        <f t="shared" si="5"/>
        <v>0</v>
      </c>
      <c r="L37" s="76">
        <f t="shared" si="5"/>
        <v>0</v>
      </c>
      <c r="M37" s="76">
        <f t="shared" si="5"/>
        <v>0</v>
      </c>
      <c r="N37" s="76">
        <f t="shared" si="5"/>
        <v>0</v>
      </c>
      <c r="O37" s="76">
        <f t="shared" si="5"/>
        <v>0</v>
      </c>
      <c r="P37" s="76">
        <f t="shared" si="5"/>
        <v>0</v>
      </c>
      <c r="Q37" s="76">
        <f t="shared" si="10"/>
        <v>0</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0</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Abercynrig 2</v>
      </c>
      <c r="C57" s="8" t="str">
        <f t="shared" ref="C57:U57" si="13">D8</f>
        <v>Abercynrig 10</v>
      </c>
      <c r="D57" s="8">
        <f t="shared" si="13"/>
        <v>1</v>
      </c>
      <c r="E57" s="8">
        <f t="shared" si="13"/>
        <v>2</v>
      </c>
      <c r="F57" s="8">
        <f t="shared" si="13"/>
        <v>10</v>
      </c>
      <c r="G57" s="8">
        <f t="shared" si="13"/>
        <v>11</v>
      </c>
      <c r="H57" s="8">
        <f t="shared" si="13"/>
        <v>16</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"&amp;(VLOOKUP(C14,Table24567[],6,FALSE))</f>
        <v>Medium/Clay I Grass</v>
      </c>
      <c r="C58" s="13" t="str">
        <f>D16&amp;" I "&amp;(VLOOKUP(D14,Table24567[],6,FALSE))</f>
        <v>Medium/Clay I Grass</v>
      </c>
      <c r="D58" s="13" t="str">
        <f>E16&amp;" I "&amp;(VLOOKUP(E14,Table24567[],6,FALSE))</f>
        <v>Medium/Clay I Arable</v>
      </c>
      <c r="E58" s="13" t="str">
        <f>F16&amp;" I "&amp;(VLOOKUP(F14,Table24567[],6,FALSE))</f>
        <v>Medium/Clay I Arable</v>
      </c>
      <c r="F58" s="13" t="str">
        <f>G16&amp;" I "&amp;(VLOOKUP(G14,Table24567[],6,FALSE))</f>
        <v>Medium/Clay I Grass</v>
      </c>
      <c r="G58" s="13" t="str">
        <f>H16&amp;" I "&amp;(VLOOKUP(H14,Table24567[],6,FALSE))</f>
        <v>Medium/Clay I Grass</v>
      </c>
      <c r="H58" s="13" t="str">
        <f>I16&amp;" I "&amp;(VLOOKUP(I14,Table24567[],6,FALSE))</f>
        <v>Medium/Clay I Grass</v>
      </c>
      <c r="I58" s="13" t="e">
        <f>J16&amp;" I "&amp;(VLOOKUP(J14,Table24567[],6,FALSE))</f>
        <v>#N/A</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0" t="s">
        <v>132</v>
      </c>
      <c r="B59" s="75">
        <f>VLOOKUP(C$14,Table24567[],5,FALSE)</f>
        <v>6.2</v>
      </c>
      <c r="C59" s="75">
        <f>VLOOKUP(D$14,Table24567[],5,FALSE)</f>
        <v>6.2</v>
      </c>
      <c r="D59" s="75">
        <f>VLOOKUP(E$14,Table24567[],5,FALSE)</f>
        <v>6.7</v>
      </c>
      <c r="E59" s="75">
        <f>VLOOKUP(F$14,Table24567[],5,FALSE)</f>
        <v>6.7</v>
      </c>
      <c r="F59" s="75">
        <f>VLOOKUP(G$14,Table24567[],5,FALSE)</f>
        <v>6.2</v>
      </c>
      <c r="G59" s="75">
        <f>VLOOKUP(H$14,Table24567[],5,FALSE)</f>
        <v>6.2</v>
      </c>
      <c r="H59" s="75">
        <f>VLOOKUP(I$14,Table24567[],5,FALSE)</f>
        <v>6.2</v>
      </c>
      <c r="I59" s="75" t="e">
        <f>VLOOKUP(J$14,Table24567[],5,FALSE)</f>
        <v>#N/A</v>
      </c>
      <c r="J59" s="75" t="e">
        <f>VLOOKUP(K$14,Table24567[],5,FALSE)</f>
        <v>#N/A</v>
      </c>
      <c r="K59" s="75" t="e">
        <f>VLOOKUP(L$14,Table24567[],5,FALSE)</f>
        <v>#N/A</v>
      </c>
      <c r="L59" s="75" t="e">
        <f>VLOOKUP(M$14,Table24567[],5,FALSE)</f>
        <v>#N/A</v>
      </c>
      <c r="M59" s="75" t="e">
        <f>VLOOKUP(N$14,Table24567[],5,FALSE)</f>
        <v>#N/A</v>
      </c>
      <c r="N59" s="75" t="e">
        <f>VLOOKUP(O$14,Table24567[],5,FALSE)</f>
        <v>#N/A</v>
      </c>
      <c r="O59" s="75" t="e">
        <f>VLOOKUP(P$14,Table24567[],5,FALSE)</f>
        <v>#N/A</v>
      </c>
      <c r="P59" s="75" t="e">
        <f>VLOOKUP(Q$14,Table24567[],5,FALSE)</f>
        <v>#N/A</v>
      </c>
      <c r="Q59" s="75" t="e">
        <f>VLOOKUP(R$14,Table24567[],5,FALSE)</f>
        <v>#N/A</v>
      </c>
      <c r="R59" s="75" t="e">
        <f>VLOOKUP(S$14,Table24567[],5,FALSE)</f>
        <v>#N/A</v>
      </c>
      <c r="S59" s="75" t="e">
        <f>VLOOKUP(T$14,Table24567[],5,FALSE)</f>
        <v>#N/A</v>
      </c>
      <c r="T59" s="75" t="e">
        <f>VLOOKUP(U$14,Table24567[],5,FALSE)</f>
        <v>#N/A</v>
      </c>
      <c r="U59" s="75" t="e">
        <f>VLOOKUP(V$14,Table24567[],5,FALSE)</f>
        <v>#N/A</v>
      </c>
    </row>
    <row r="60" spans="1:35" s="19" customFormat="1" ht="13" x14ac:dyDescent="0.3">
      <c r="A60" s="110" t="s">
        <v>4</v>
      </c>
      <c r="B60" s="75">
        <f>C10</f>
        <v>6.2</v>
      </c>
      <c r="C60" s="75">
        <f t="shared" ref="C60:U60" si="14">D10</f>
        <v>5.2</v>
      </c>
      <c r="D60" s="75">
        <f t="shared" si="14"/>
        <v>5.5</v>
      </c>
      <c r="E60" s="75">
        <f t="shared" si="14"/>
        <v>5</v>
      </c>
      <c r="F60" s="75">
        <f t="shared" si="14"/>
        <v>5.5</v>
      </c>
      <c r="G60" s="75">
        <f t="shared" si="14"/>
        <v>5.4</v>
      </c>
      <c r="H60" s="75">
        <f t="shared" si="14"/>
        <v>5.5</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8</v>
      </c>
      <c r="E61" s="75">
        <f t="shared" si="15"/>
        <v>8</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0</v>
      </c>
      <c r="D62" s="76">
        <f>B33</f>
        <v>0</v>
      </c>
      <c r="E62" s="76">
        <f>B34</f>
        <v>0</v>
      </c>
      <c r="F62" s="76">
        <f>B35</f>
        <v>0</v>
      </c>
      <c r="G62" s="76">
        <f>B36</f>
        <v>0</v>
      </c>
      <c r="H62" s="76">
        <f>B37</f>
        <v>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v>
      </c>
      <c r="C64" s="76">
        <f t="shared" ref="C64:U64" si="17">(C59-C60)*C61</f>
        <v>6</v>
      </c>
      <c r="D64" s="76">
        <f t="shared" si="17"/>
        <v>9.6000000000000014</v>
      </c>
      <c r="E64" s="76">
        <f t="shared" si="17"/>
        <v>13.600000000000001</v>
      </c>
      <c r="F64" s="76">
        <f t="shared" si="17"/>
        <v>4.2000000000000011</v>
      </c>
      <c r="G64" s="76">
        <f t="shared" si="17"/>
        <v>4.7999999999999989</v>
      </c>
      <c r="H64" s="76">
        <f t="shared" si="17"/>
        <v>4.2000000000000011</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v>
      </c>
      <c r="C65" s="76">
        <f t="shared" ref="C65:U65" si="18">C63-C64</f>
        <v>-6</v>
      </c>
      <c r="D65" s="76">
        <f t="shared" si="18"/>
        <v>-9.6000000000000014</v>
      </c>
      <c r="E65" s="76">
        <f t="shared" si="18"/>
        <v>-13.600000000000001</v>
      </c>
      <c r="F65" s="76">
        <f t="shared" si="18"/>
        <v>-4.2000000000000011</v>
      </c>
      <c r="G65" s="76">
        <f t="shared" si="18"/>
        <v>-4.7999999999999989</v>
      </c>
      <c r="H65" s="76">
        <f t="shared" si="18"/>
        <v>-4.2000000000000011</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abSelected="1" topLeftCell="E4" zoomScale="90" zoomScaleNormal="90" workbookViewId="0">
      <selection activeCell="J14" sqref="J1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Bryngwyn!C1:D1</f>
        <v>PAN-019774</v>
      </c>
      <c r="D1" s="142"/>
      <c r="E1" s="92" t="s">
        <v>45</v>
      </c>
      <c r="F1" s="38" t="str">
        <f>Bryngwyn!F1</f>
        <v>46.9 ha</v>
      </c>
      <c r="G1" s="124" t="s">
        <v>43</v>
      </c>
      <c r="H1" s="125"/>
      <c r="I1" s="117">
        <v>6.8</v>
      </c>
      <c r="J1" s="128" t="s">
        <v>153</v>
      </c>
      <c r="K1" s="128"/>
      <c r="L1" s="96">
        <v>255</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Bryngwyn!C2:D2</f>
        <v>EPR/GP3792SK</v>
      </c>
      <c r="D2" s="144"/>
      <c r="E2" s="92" t="s">
        <v>109</v>
      </c>
      <c r="F2" s="95" t="s">
        <v>166</v>
      </c>
      <c r="G2" s="126" t="s">
        <v>110</v>
      </c>
      <c r="H2" s="127"/>
      <c r="I2" s="117"/>
      <c r="J2" s="128" t="s">
        <v>158</v>
      </c>
      <c r="K2" s="128"/>
      <c r="L2" s="96">
        <v>0.65</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Bryngwyn!C3:D3</f>
        <v xml:space="preserve">Mr Richard Evans </v>
      </c>
      <c r="D3" s="144"/>
      <c r="E3" s="92" t="s">
        <v>108</v>
      </c>
      <c r="F3" s="30" t="s">
        <v>78</v>
      </c>
      <c r="G3" s="128" t="s">
        <v>159</v>
      </c>
      <c r="H3" s="128"/>
      <c r="I3" s="117"/>
      <c r="J3" s="124" t="s">
        <v>154</v>
      </c>
      <c r="K3" s="125"/>
      <c r="L3" s="96">
        <f>(L1/(L2*10000))*100</f>
        <v>3.9230769230769229</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1" t="str">
        <f>Bryngwyn!C4:D4</f>
        <v>Tylebrithos, Cantref, Brecon, LD3 8LR</v>
      </c>
      <c r="D4" s="142"/>
      <c r="E4" s="93" t="s">
        <v>1</v>
      </c>
      <c r="F4" s="119" t="s">
        <v>167</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Bryngwyn!C5:D5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t="str">
        <f>Bryngwyn!C8</f>
        <v>Abercynrig 2</v>
      </c>
      <c r="D8" s="59" t="str">
        <f>Bryngwyn!D8</f>
        <v>Abercynrig 10</v>
      </c>
      <c r="E8" s="59">
        <f>Bryngwyn!E8</f>
        <v>1</v>
      </c>
      <c r="F8" s="59">
        <f>Bryngwyn!F8</f>
        <v>2</v>
      </c>
      <c r="G8" s="59">
        <f>Bryngwyn!G8</f>
        <v>10</v>
      </c>
      <c r="H8" s="59">
        <f>Bryngwyn!H8</f>
        <v>11</v>
      </c>
      <c r="I8" s="59">
        <f>Bryngwyn!I8</f>
        <v>16</v>
      </c>
      <c r="J8" s="59">
        <f>Bryngwyn!J8</f>
        <v>0</v>
      </c>
      <c r="K8" s="59">
        <f>Bryngwyn!K8</f>
        <v>0</v>
      </c>
      <c r="L8" s="59">
        <f>Bryngwyn!L8</f>
        <v>0</v>
      </c>
      <c r="M8" s="59">
        <f>Bryngwyn!M8</f>
        <v>0</v>
      </c>
      <c r="N8" s="59">
        <f>Bryngwyn!N8</f>
        <v>0</v>
      </c>
      <c r="O8" s="59">
        <f>Bryngwyn!O8</f>
        <v>0</v>
      </c>
      <c r="P8" s="59">
        <f>Bryngwyn!P8</f>
        <v>0</v>
      </c>
      <c r="Q8" s="59">
        <f>Bryngwyn!Q8</f>
        <v>0</v>
      </c>
      <c r="R8" s="59">
        <f>Bryngwyn!R8</f>
        <v>0</v>
      </c>
      <c r="S8" s="59">
        <f>Bryngwyn!S8</f>
        <v>0</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Bryngwyn!C9</f>
        <v>Moderate</v>
      </c>
      <c r="D9" s="59" t="str">
        <f>Bryngwyn!D9</f>
        <v xml:space="preserve">Moderate </v>
      </c>
      <c r="E9" s="59">
        <f>Bryngwyn!E9</f>
        <v>1</v>
      </c>
      <c r="F9" s="59">
        <f>Bryngwyn!F9</f>
        <v>1</v>
      </c>
      <c r="G9" s="59" t="str">
        <f>Bryngwyn!G9</f>
        <v>Moderate</v>
      </c>
      <c r="H9" s="59" t="str">
        <f>Bryngwyn!H9</f>
        <v xml:space="preserve">Moderate </v>
      </c>
      <c r="I9" s="59" t="str">
        <f>Bryngwyn!I9</f>
        <v xml:space="preserve">Moderate </v>
      </c>
      <c r="J9" s="59">
        <f>Bryngwyn!J9</f>
        <v>0</v>
      </c>
      <c r="K9" s="59">
        <f>Bryngwyn!K9</f>
        <v>0</v>
      </c>
      <c r="L9" s="59">
        <f>Bryngwyn!L9</f>
        <v>0</v>
      </c>
      <c r="M9" s="59">
        <f>Bryngwyn!M9</f>
        <v>0</v>
      </c>
      <c r="N9" s="59">
        <f>Bryngwyn!N9</f>
        <v>0</v>
      </c>
      <c r="O9" s="59">
        <f>Bryngwyn!O9</f>
        <v>0</v>
      </c>
      <c r="P9" s="59">
        <f>Bryngwyn!P9</f>
        <v>0</v>
      </c>
      <c r="Q9" s="59">
        <f>Bryngwyn!Q9</f>
        <v>0</v>
      </c>
      <c r="R9" s="59">
        <f>Bryngwyn!R9</f>
        <v>0</v>
      </c>
      <c r="S9" s="59">
        <f>Bryngwyn!S9</f>
        <v>0</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Bryngwyn!C10</f>
        <v>6.2</v>
      </c>
      <c r="D10" s="59">
        <f>Bryngwyn!D10</f>
        <v>5.2</v>
      </c>
      <c r="E10" s="59">
        <f>Bryngwyn!E10</f>
        <v>5.5</v>
      </c>
      <c r="F10" s="59">
        <f>Bryngwyn!F10</f>
        <v>5</v>
      </c>
      <c r="G10" s="59">
        <f>Bryngwyn!G10</f>
        <v>5.5</v>
      </c>
      <c r="H10" s="59">
        <f>Bryngwyn!H10</f>
        <v>5.4</v>
      </c>
      <c r="I10" s="59">
        <f>Bryngwyn!I10</f>
        <v>5.5</v>
      </c>
      <c r="J10" s="59">
        <f>Bryngwyn!J10</f>
        <v>0</v>
      </c>
      <c r="K10" s="59">
        <f>Bryngwyn!K10</f>
        <v>0</v>
      </c>
      <c r="L10" s="59">
        <f>Bryngwyn!L10</f>
        <v>0</v>
      </c>
      <c r="M10" s="59">
        <f>Bryngwyn!M10</f>
        <v>0</v>
      </c>
      <c r="N10" s="59">
        <f>Bryngwyn!N10</f>
        <v>0</v>
      </c>
      <c r="O10" s="59">
        <f>Bryngwyn!O10</f>
        <v>0</v>
      </c>
      <c r="P10" s="59">
        <f>Bryngwyn!P10</f>
        <v>0</v>
      </c>
      <c r="Q10" s="59">
        <f>Bryngwyn!Q10</f>
        <v>0</v>
      </c>
      <c r="R10" s="59">
        <f>Bryngwyn!R10</f>
        <v>0</v>
      </c>
      <c r="S10" s="59">
        <f>Bryngwyn!S10</f>
        <v>0</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Bryngwyn!C11</f>
        <v>3</v>
      </c>
      <c r="D11" s="59">
        <f>Bryngwyn!D11</f>
        <v>3</v>
      </c>
      <c r="E11" s="59">
        <f>Bryngwyn!E11</f>
        <v>3</v>
      </c>
      <c r="F11" s="59">
        <f>Bryngwyn!F11</f>
        <v>4</v>
      </c>
      <c r="G11" s="59">
        <f>Bryngwyn!G11</f>
        <v>2</v>
      </c>
      <c r="H11" s="59">
        <f>Bryngwyn!H11</f>
        <v>2</v>
      </c>
      <c r="I11" s="59">
        <f>Bryngwyn!I11</f>
        <v>3</v>
      </c>
      <c r="J11" s="59">
        <f>Bryngwyn!J11</f>
        <v>0</v>
      </c>
      <c r="K11" s="59">
        <f>Bryngwyn!K11</f>
        <v>0</v>
      </c>
      <c r="L11" s="59">
        <f>Bryngwyn!L11</f>
        <v>0</v>
      </c>
      <c r="M11" s="59">
        <f>Bryngwyn!M11</f>
        <v>0</v>
      </c>
      <c r="N11" s="59">
        <f>Bryngwyn!N11</f>
        <v>0</v>
      </c>
      <c r="O11" s="59">
        <f>Bryngwyn!O11</f>
        <v>0</v>
      </c>
      <c r="P11" s="59">
        <f>Bryngwyn!P11</f>
        <v>0</v>
      </c>
      <c r="Q11" s="59">
        <f>Bryngwyn!Q11</f>
        <v>0</v>
      </c>
      <c r="R11" s="59">
        <f>Bryngwyn!R11</f>
        <v>0</v>
      </c>
      <c r="S11" s="59">
        <f>Bryngwyn!S11</f>
        <v>0</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Bryngwyn!C12</f>
        <v>2</v>
      </c>
      <c r="D12" s="59">
        <f>Bryngwyn!D12</f>
        <v>1</v>
      </c>
      <c r="E12" s="59">
        <f>Bryngwyn!E12</f>
        <v>2</v>
      </c>
      <c r="F12" s="59">
        <f>Bryngwyn!F12</f>
        <v>1</v>
      </c>
      <c r="G12" s="59">
        <f>Bryngwyn!G12</f>
        <v>1</v>
      </c>
      <c r="H12" s="59">
        <f>Bryngwyn!H12</f>
        <v>1</v>
      </c>
      <c r="I12" s="59">
        <f>Bryngwyn!I12</f>
        <v>1</v>
      </c>
      <c r="J12" s="59">
        <f>Bryngwyn!J12</f>
        <v>0</v>
      </c>
      <c r="K12" s="59">
        <f>Bryngwyn!K12</f>
        <v>0</v>
      </c>
      <c r="L12" s="59">
        <f>Bryngwyn!L12</f>
        <v>0</v>
      </c>
      <c r="M12" s="59">
        <f>Bryngwyn!M12</f>
        <v>0</v>
      </c>
      <c r="N12" s="59">
        <f>Bryngwyn!N12</f>
        <v>0</v>
      </c>
      <c r="O12" s="59">
        <f>Bryngwyn!O12</f>
        <v>0</v>
      </c>
      <c r="P12" s="59">
        <f>Bryngwyn!P12</f>
        <v>0</v>
      </c>
      <c r="Q12" s="59">
        <f>Bryngwyn!Q12</f>
        <v>0</v>
      </c>
      <c r="R12" s="59">
        <f>Bryngwyn!R12</f>
        <v>0</v>
      </c>
      <c r="S12" s="59">
        <f>Bryngwyn!S12</f>
        <v>0</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Bryngwyn!C13</f>
        <v>3</v>
      </c>
      <c r="D13" s="59">
        <f>Bryngwyn!D13</f>
        <v>2</v>
      </c>
      <c r="E13" s="59">
        <f>Bryngwyn!E13</f>
        <v>3</v>
      </c>
      <c r="F13" s="59">
        <f>Bryngwyn!F13</f>
        <v>2</v>
      </c>
      <c r="G13" s="59">
        <f>Bryngwyn!G13</f>
        <v>2</v>
      </c>
      <c r="H13" s="59">
        <f>Bryngwyn!H13</f>
        <v>2</v>
      </c>
      <c r="I13" s="59">
        <f>Bryngwyn!I13</f>
        <v>3</v>
      </c>
      <c r="J13" s="59">
        <f>Bryngwyn!J13</f>
        <v>0</v>
      </c>
      <c r="K13" s="59">
        <f>Bryngwyn!K13</f>
        <v>0</v>
      </c>
      <c r="L13" s="59">
        <f>Bryngwyn!L13</f>
        <v>0</v>
      </c>
      <c r="M13" s="59">
        <f>Bryngwyn!M13</f>
        <v>0</v>
      </c>
      <c r="N13" s="59">
        <f>Bryngwyn!N13</f>
        <v>0</v>
      </c>
      <c r="O13" s="59">
        <f>Bryngwyn!O13</f>
        <v>0</v>
      </c>
      <c r="P13" s="59">
        <f>Bryngwyn!P13</f>
        <v>0</v>
      </c>
      <c r="Q13" s="59">
        <f>Bryngwyn!Q13</f>
        <v>0</v>
      </c>
      <c r="R13" s="59">
        <f>Bryngwyn!R13</f>
        <v>0</v>
      </c>
      <c r="S13" s="59">
        <f>Bryngwyn!S13</f>
        <v>0</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Bryngwyn!C14</f>
        <v xml:space="preserve">Grass Silage (25% DM) </v>
      </c>
      <c r="D14" s="101" t="str">
        <f>Bryngwyn!D14</f>
        <v xml:space="preserve">Grass Silage (25% DM) </v>
      </c>
      <c r="E14" s="101" t="str">
        <f>Bryngwyn!E14</f>
        <v>Winter barley/triticale/rye</v>
      </c>
      <c r="F14" s="101" t="str">
        <f>Bryngwyn!F14</f>
        <v>Winter barley/triticale/rye</v>
      </c>
      <c r="G14" s="101" t="str">
        <f>Bryngwyn!G14</f>
        <v xml:space="preserve">Grass Silage (25% DM) </v>
      </c>
      <c r="H14" s="101" t="str">
        <f>Bryngwyn!H14</f>
        <v xml:space="preserve">Grass Silage (25% DM) </v>
      </c>
      <c r="I14" s="101" t="str">
        <f>Bryngwyn!I14</f>
        <v xml:space="preserve">Grass Silage (25% DM) </v>
      </c>
      <c r="J14" s="101">
        <f>Bryngwyn!J14</f>
        <v>0</v>
      </c>
      <c r="K14" s="101">
        <f>Bryngwyn!K14</f>
        <v>0</v>
      </c>
      <c r="L14" s="101">
        <f>Bryngwyn!L14</f>
        <v>0</v>
      </c>
      <c r="M14" s="101">
        <f>Bryngwyn!M14</f>
        <v>0</v>
      </c>
      <c r="N14" s="101">
        <f>Bryngwyn!N14</f>
        <v>0</v>
      </c>
      <c r="O14" s="101">
        <f>Bryngwyn!O14</f>
        <v>0</v>
      </c>
      <c r="P14" s="101">
        <f>Bryngwyn!P14</f>
        <v>0</v>
      </c>
      <c r="Q14" s="101">
        <f>Bryngwyn!Q14</f>
        <v>0</v>
      </c>
      <c r="R14" s="101">
        <f>Bryngwyn!R14</f>
        <v>0</v>
      </c>
      <c r="S14" s="101">
        <f>Bryngwyn!S14</f>
        <v>0</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6" t="s">
        <v>9</v>
      </c>
      <c r="B15" s="136"/>
      <c r="C15" s="59">
        <f>Bryngwyn!C15</f>
        <v>38</v>
      </c>
      <c r="D15" s="59">
        <f>Bryngwyn!D15</f>
        <v>38</v>
      </c>
      <c r="E15" s="59">
        <f>Bryngwyn!E15</f>
        <v>6.5</v>
      </c>
      <c r="F15" s="59">
        <f>Bryngwyn!F15</f>
        <v>6.5</v>
      </c>
      <c r="G15" s="59">
        <f>Bryngwyn!G15</f>
        <v>38</v>
      </c>
      <c r="H15" s="59">
        <f>Bryngwyn!H15</f>
        <v>38</v>
      </c>
      <c r="I15" s="59">
        <f>Bryngwyn!I15</f>
        <v>38</v>
      </c>
      <c r="J15" s="59">
        <f>Bryngwyn!J15</f>
        <v>0</v>
      </c>
      <c r="K15" s="59">
        <f>Bryngwyn!K15</f>
        <v>0</v>
      </c>
      <c r="L15" s="59">
        <f>Bryngwyn!L15</f>
        <v>0</v>
      </c>
      <c r="M15" s="59">
        <f>Bryngwyn!M15</f>
        <v>0</v>
      </c>
      <c r="N15" s="59">
        <f>Bryngwyn!N15</f>
        <v>0</v>
      </c>
      <c r="O15" s="59">
        <f>Bryngwyn!O15</f>
        <v>0</v>
      </c>
      <c r="P15" s="59">
        <f>Bryngwyn!P15</f>
        <v>0</v>
      </c>
      <c r="Q15" s="59">
        <f>Bryngwyn!Q15</f>
        <v>0</v>
      </c>
      <c r="R15" s="59">
        <f>Bryngwyn!R15</f>
        <v>0</v>
      </c>
      <c r="S15" s="59">
        <f>Bryngwyn!S15</f>
        <v>0</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f>Bryngwyn!J16</f>
        <v>0</v>
      </c>
      <c r="K16" s="102">
        <f>Bryngwyn!K16</f>
        <v>0</v>
      </c>
      <c r="L16" s="102">
        <f>Bryngwyn!L16</f>
        <v>0</v>
      </c>
      <c r="M16" s="102">
        <f>Bryngwyn!M16</f>
        <v>0</v>
      </c>
      <c r="N16" s="102">
        <f>Bryngwyn!N16</f>
        <v>0</v>
      </c>
      <c r="O16" s="102">
        <f>Bryngwyn!O16</f>
        <v>0</v>
      </c>
      <c r="P16" s="102">
        <f>Bryngwyn!P16</f>
        <v>0</v>
      </c>
      <c r="Q16" s="102">
        <f>Bryngwyn!Q16</f>
        <v>0</v>
      </c>
      <c r="R16" s="102">
        <f>Bryngwyn!R16</f>
        <v>0</v>
      </c>
      <c r="S16" s="102">
        <f>Bryngwyn!S16</f>
        <v>0</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64.599999999999994</v>
      </c>
      <c r="D17" s="27">
        <f t="shared" ref="D17:V17" si="0">(VLOOKUP(D$14,$AI2:$AK26,2,FALSE))*D$15</f>
        <v>64.599999999999994</v>
      </c>
      <c r="E17" s="27">
        <f t="shared" si="0"/>
        <v>55.25</v>
      </c>
      <c r="F17" s="27">
        <f t="shared" si="0"/>
        <v>55.25</v>
      </c>
      <c r="G17" s="27">
        <f t="shared" si="0"/>
        <v>64.599999999999994</v>
      </c>
      <c r="H17" s="27">
        <f t="shared" si="0"/>
        <v>64.599999999999994</v>
      </c>
      <c r="I17" s="27">
        <f t="shared" si="0"/>
        <v>64.599999999999994</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75.013612757999994</v>
      </c>
      <c r="D18" s="16">
        <f>$D32</f>
        <v>75.013612757999994</v>
      </c>
      <c r="E18" s="16">
        <f>$D33</f>
        <v>55.273188347999991</v>
      </c>
      <c r="F18" s="16">
        <f>$D34</f>
        <v>55.273188347999991</v>
      </c>
      <c r="G18" s="16">
        <f>$D35</f>
        <v>75.013612757999994</v>
      </c>
      <c r="H18" s="16">
        <f>$D36</f>
        <v>75.013612757999994</v>
      </c>
      <c r="I18" s="16">
        <f>$D37</f>
        <v>75.013612757999994</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10.413612757999999</v>
      </c>
      <c r="D19" s="16">
        <f t="shared" ref="D19:V19" si="1">D18-D17</f>
        <v>10.413612757999999</v>
      </c>
      <c r="E19" s="16">
        <f t="shared" si="1"/>
        <v>2.318834799999081E-2</v>
      </c>
      <c r="F19" s="16">
        <f t="shared" si="1"/>
        <v>2.318834799999081E-2</v>
      </c>
      <c r="G19" s="16">
        <f t="shared" si="1"/>
        <v>10.413612757999999</v>
      </c>
      <c r="H19" s="16">
        <f t="shared" si="1"/>
        <v>10.413612757999999</v>
      </c>
      <c r="I19" s="16">
        <f t="shared" si="1"/>
        <v>10.413612757999999</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INCREASE</v>
      </c>
      <c r="D20" s="25" t="str">
        <f>IF($B32="","",IF(D$19&gt;=0,"INCREASE","DECREASE"))</f>
        <v>INCREASE</v>
      </c>
      <c r="E20" s="25" t="str">
        <f>IF($B33="","",IF(E$19&gt;=0,"INCREASE","DECREASE"))</f>
        <v>INCREASE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228</v>
      </c>
      <c r="D21" s="27">
        <f t="shared" ref="D21:V21" si="2">(VLOOKUP(D$14,$AI2:$AK26,3,FALSE))*D$15</f>
        <v>228</v>
      </c>
      <c r="E21" s="27">
        <f t="shared" si="2"/>
        <v>68.25</v>
      </c>
      <c r="F21" s="27">
        <f t="shared" si="2"/>
        <v>68.25</v>
      </c>
      <c r="G21" s="27">
        <f t="shared" si="2"/>
        <v>228</v>
      </c>
      <c r="H21" s="27">
        <f t="shared" si="2"/>
        <v>228</v>
      </c>
      <c r="I21" s="27">
        <f t="shared" si="2"/>
        <v>228</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5.3912504940000003</v>
      </c>
      <c r="D22" s="16">
        <f>$E32</f>
        <v>5.3912504940000003</v>
      </c>
      <c r="E22" s="16">
        <f>$E33</f>
        <v>3.9725003640000001</v>
      </c>
      <c r="F22" s="16">
        <f>$E34</f>
        <v>3.9725003640000001</v>
      </c>
      <c r="G22" s="16">
        <f>$E35</f>
        <v>5.3912504940000003</v>
      </c>
      <c r="H22" s="16">
        <f>$E36</f>
        <v>5.3912504940000003</v>
      </c>
      <c r="I22" s="16">
        <f>$E37</f>
        <v>5.3912504940000003</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-222.60874950600001</v>
      </c>
      <c r="D23" s="16">
        <f t="shared" ref="D23:V23" si="3">D22-D21</f>
        <v>-222.60874950600001</v>
      </c>
      <c r="E23" s="16">
        <f t="shared" si="3"/>
        <v>-64.277499636000002</v>
      </c>
      <c r="F23" s="16">
        <f t="shared" si="3"/>
        <v>-64.277499636000002</v>
      </c>
      <c r="G23" s="16">
        <f t="shared" si="3"/>
        <v>-222.60874950600001</v>
      </c>
      <c r="H23" s="16">
        <f t="shared" si="3"/>
        <v>-222.60874950600001</v>
      </c>
      <c r="I23" s="16">
        <f t="shared" si="3"/>
        <v>-222.60874950600001</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t="s">
        <v>55</v>
      </c>
      <c r="S27" s="106" t="s">
        <v>55</v>
      </c>
      <c r="T27" s="106"/>
      <c r="U27" s="106"/>
    </row>
    <row r="28" spans="1:40" s="56" customFormat="1" x14ac:dyDescent="0.35">
      <c r="A28" s="107"/>
      <c r="B28" s="23">
        <v>5.82</v>
      </c>
      <c r="C28" s="15">
        <v>0.65</v>
      </c>
      <c r="D28" s="15">
        <v>0.42299999999999999</v>
      </c>
      <c r="E28" s="15">
        <v>5.7799999999999997E-2</v>
      </c>
      <c r="F28" s="15">
        <v>2240</v>
      </c>
      <c r="G28" s="15">
        <v>9.3699999999999992</v>
      </c>
      <c r="H28" s="15">
        <v>124</v>
      </c>
      <c r="I28" s="15">
        <v>36.700000000000003</v>
      </c>
      <c r="J28" s="15">
        <v>0.16</v>
      </c>
      <c r="K28" s="15">
        <v>0.35</v>
      </c>
      <c r="L28" s="15">
        <v>17.399999999999999</v>
      </c>
      <c r="M28" s="15">
        <v>21.9</v>
      </c>
      <c r="N28" s="15">
        <v>3220</v>
      </c>
      <c r="O28" s="15">
        <v>389000</v>
      </c>
      <c r="P28" s="15"/>
      <c r="Q28" s="15">
        <v>1790</v>
      </c>
      <c r="R28" s="15"/>
      <c r="S28" s="15">
        <v>22.9</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Abercynrig 2</v>
      </c>
      <c r="B31" s="15">
        <v>133</v>
      </c>
      <c r="C31" s="76">
        <f>IF(C$27="%w/w SAR",((C$28*10)*$B31),IF(C$27="%w/w DM",(((C$28*10)*($B$28/100))*$B31),IF(C$27="kg/t SAR",(C$28*$B31),IF(C$27="kg/t DM",((C$28*($B$28/100))*$B31),IF(C$27="mg/kg SAR",((C$28*0.001)*$B31),IF(C$27="mg/kg DM",(((C$28*0.001)*($B$28/100))*$B31),0))))))</f>
        <v>50.313900000000004</v>
      </c>
      <c r="D31" s="76">
        <f>(IF(D$27="%w/w SAR",((D$28*10)*$B31),IF(D$27="%w/w DM",(((D$28*10)*($B$28/100))*$B31),IF(D$27="kg/t SAR",(D$28*$B31),IF(D$27="kg/t DM",((D$28*($B$28/100))*$B31),IF(D$27="mg/kg SAR",((D$28*0.001)*$B31),IF(D$27="mg/kg DM",(((D$28*0.001)*($B$28/100))*$B31),"0")))))))*2.291</f>
        <v>75.013612757999994</v>
      </c>
      <c r="E31" s="76">
        <f>(IF(E$27="%w/w SAR",((E$28*10)*$B31),IF(E$27="%w/w DM",(((E$28*10)*($B$28/100))*$B31),IF(E$27="kg/t SAR",(E$28*$B31),IF(E$27="kg/t DM",((E$28*($B$28/100))*$B31),IF(E$27="mg/kg SAR",((E$28*0.001)*$B31),IF(E$27="mg/kg DM",(((E$28*0.001)*($B$28/100))*$B31),"0")))))))*1.205</f>
        <v>5.3912504940000003</v>
      </c>
      <c r="F31" s="76">
        <f>(IF(F$27="%w/w SAR",((F$28*10)*$B31),IF(F$27="%w/w DM",(((F$28*10)*($B$28/100))*$B31),IF(F$27="kg/t SAR",(F$28*$B31),IF(F$27="kg/t DM",((F$28*($B$28/100))*$B31),IF(F$27="mg/kg SAR",((F$28*0.001)*$B31),IF(F$27="mg/kg DM",(((F$28*0.001)*($B$28/100))*$B31),"0")))))))*1.658</f>
        <v>28.747969152</v>
      </c>
      <c r="G31" s="76">
        <f t="shared" ref="G31:P46" si="5">IF(G$27="%w/w SAR",((G$28*10)*$B31),IF(G$27="%w/w DM",(((G$28*10)*($B$28/100))*$B31),IF(G$27="kg/t SAR",(G$28*$B31),IF(G$27="kg/t DM",((G$28*($B$28/100))*$B31),IF(G$27="mg/kg SAR",((G$28*0.001)*$B31),IF(G$27="mg/kg DM",(((G$28*0.001)*($B$28/100))*$B31),0))))))</f>
        <v>7.2529421999999996E-2</v>
      </c>
      <c r="H31" s="76">
        <f t="shared" si="5"/>
        <v>0.95983439999999998</v>
      </c>
      <c r="I31" s="76">
        <f t="shared" si="5"/>
        <v>0.28408002000000004</v>
      </c>
      <c r="J31" s="76">
        <f t="shared" si="5"/>
        <v>1.2384960000000002E-3</v>
      </c>
      <c r="K31" s="76">
        <f t="shared" si="5"/>
        <v>2.7092100000000001E-3</v>
      </c>
      <c r="L31" s="76">
        <f t="shared" si="5"/>
        <v>0.13468643999999999</v>
      </c>
      <c r="M31" s="76">
        <f t="shared" si="5"/>
        <v>0.16951913999999998</v>
      </c>
      <c r="N31" s="76">
        <f t="shared" si="5"/>
        <v>24.924732000000002</v>
      </c>
      <c r="O31" s="76">
        <f t="shared" si="5"/>
        <v>3011.0934000000002</v>
      </c>
      <c r="P31" s="76">
        <f t="shared" si="5"/>
        <v>0</v>
      </c>
      <c r="Q31" s="76">
        <f>(IF(Q$27="%w/w SAR",((Q$28*10)*$B31),IF(Q$27="%w/w DM",(((Q$28*10)*($B$28/100))*$B31),IF(Q$27="kg/t SAR",(Q$28*$B31),IF(Q$27="kg/t DM",((Q$28*($B$28/100))*$B31),IF(Q$27="mg/kg SAR",((Q$28*0.001)*$B31),IF(Q$27="mg/kg DM",(((Q$28*0.001)*($B$28/100))*$B31),0)))))))*2.5</f>
        <v>34.639184999999998</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0.17725974</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Abercynrig 10</v>
      </c>
      <c r="B32" s="15">
        <v>133</v>
      </c>
      <c r="C32" s="76">
        <f t="shared" ref="C32:C50" si="6">IF(C$27="%w/w SAR",((C$28*10)*$B32),IF(C$27="%w/w DM",(((C$28*10)*($B$28/100))*$B32),IF(C$27="kg/t SAR",(C$28*$B32),IF(C$27="kg/t DM",((C$28*($B$28/100))*$B32),IF(C$27="mg/kg SAR",((C$28*0.001)*$B32),IF(C$27="mg/kg DM",(((C$28*0.001)*($B$28/100))*$B32),0))))))</f>
        <v>50.313900000000004</v>
      </c>
      <c r="D32" s="76">
        <f t="shared" ref="D32:D50" si="7">(IF(D$27="%w/w SAR",((D$28*10)*$B32),IF(D$27="%w/w DM",(((D$28*10)*($B$28/100))*$B32),IF(D$27="kg/t SAR",(D$28*$B32),IF(D$27="kg/t DM",((D$28*($B$28/100))*$B32),IF(D$27="mg/kg SAR",((D$28*0.001)*$B32),IF(D$27="mg/kg DM",(((D$28*0.001)*($B$28/100))*$B32),"0")))))))*2.291</f>
        <v>75.013612757999994</v>
      </c>
      <c r="E32" s="76">
        <f t="shared" ref="E32:E50" si="8">(IF(E$27="%w/w SAR",((E$28*10)*$B32),IF(E$27="%w/w DM",(((E$28*10)*($B$28/100))*$B32),IF(E$27="kg/t SAR",(E$28*$B32),IF(E$27="kg/t DM",((E$28*($B$28/100))*$B32),IF(E$27="mg/kg SAR",((E$28*0.001)*$B32),IF(E$27="mg/kg DM",(((E$28*0.001)*($B$28/100))*$B32),"0")))))))*1.205</f>
        <v>5.3912504940000003</v>
      </c>
      <c r="F32" s="76">
        <f t="shared" ref="F32:F50" si="9">(IF(F$27="%w/w SAR",((F$28*10)*$B32),IF(F$27="%w/w DM",(((F$28*10)*($B$28/100))*$B32),IF(F$27="kg/t SAR",(F$28*$B32),IF(F$27="kg/t DM",((F$28*($B$28/100))*$B32),IF(F$27="mg/kg SAR",((F$28*0.001)*$B32),IF(F$27="mg/kg DM",(((F$28*0.001)*($B$28/100))*$B32),"0")))))))*1.658</f>
        <v>28.747969152</v>
      </c>
      <c r="G32" s="76">
        <f t="shared" si="5"/>
        <v>7.2529421999999996E-2</v>
      </c>
      <c r="H32" s="76">
        <f t="shared" si="5"/>
        <v>0.95983439999999998</v>
      </c>
      <c r="I32" s="76">
        <f t="shared" si="5"/>
        <v>0.28408002000000004</v>
      </c>
      <c r="J32" s="76">
        <f t="shared" si="5"/>
        <v>1.2384960000000002E-3</v>
      </c>
      <c r="K32" s="76">
        <f t="shared" si="5"/>
        <v>2.7092100000000001E-3</v>
      </c>
      <c r="L32" s="76">
        <f t="shared" si="5"/>
        <v>0.13468643999999999</v>
      </c>
      <c r="M32" s="76">
        <f t="shared" si="5"/>
        <v>0.16951913999999998</v>
      </c>
      <c r="N32" s="76">
        <f t="shared" si="5"/>
        <v>24.924732000000002</v>
      </c>
      <c r="O32" s="76">
        <f t="shared" si="5"/>
        <v>3011.0934000000002</v>
      </c>
      <c r="P32" s="76">
        <f t="shared" si="5"/>
        <v>0</v>
      </c>
      <c r="Q32" s="76">
        <f t="shared" ref="Q32:Q50" si="10">(IF(Q$27="%w/w SAR",((Q$28*10)*$B32),IF(Q$27="%w/w DM",(((Q$28*10)*($B$28/100))*$B32),IF(Q$27="kg/t SAR",(Q$28*$B32),IF(Q$27="kg/t DM",((Q$28*($B$28/100))*$B32),IF(Q$27="mg/kg SAR",((Q$28*0.001)*$B32),IF(Q$27="mg/kg DM",(((Q$28*0.001)*($B$28/100))*$B32),0)))))))*2.5</f>
        <v>34.639184999999998</v>
      </c>
      <c r="R32" s="76">
        <f t="shared" ref="R32:U50" si="11">IF(R$27="%w/w SAR",((R$28*10)*$B32),IF(R$27="%w/w DM",(((R$28*10)*($B$28/100))*$B32),IF(R$27="kg/t SAR",(R$28*$B32),IF(R$27="kg/t DM",((R$28*($B$28/100))*$B32),IF(R$27="mg/kg SAR",((R$28*0.001)*$B32),IF(R$27="mg/kg DM",(((R$28*0.001)*($B$28/100))*$B32),0))))))</f>
        <v>0</v>
      </c>
      <c r="S32" s="76">
        <f t="shared" si="11"/>
        <v>0.17725974</v>
      </c>
      <c r="T32" s="76">
        <f t="shared" si="11"/>
        <v>0</v>
      </c>
      <c r="U32" s="76">
        <f t="shared" si="11"/>
        <v>0</v>
      </c>
      <c r="AB32" s="58"/>
      <c r="AC32" s="58"/>
      <c r="AD32" s="58"/>
      <c r="AE32" s="58"/>
      <c r="AF32" s="58"/>
      <c r="AG32" s="58"/>
      <c r="AH32" s="58"/>
      <c r="AI32" s="58"/>
    </row>
    <row r="33" spans="1:35" s="71" customFormat="1" ht="13" x14ac:dyDescent="0.35">
      <c r="A33" s="13">
        <f>E8</f>
        <v>1</v>
      </c>
      <c r="B33" s="15">
        <v>98</v>
      </c>
      <c r="C33" s="76">
        <f t="shared" si="6"/>
        <v>37.073399999999999</v>
      </c>
      <c r="D33" s="76">
        <f t="shared" si="7"/>
        <v>55.273188347999991</v>
      </c>
      <c r="E33" s="76">
        <f t="shared" si="8"/>
        <v>3.9725003640000001</v>
      </c>
      <c r="F33" s="76">
        <f t="shared" si="9"/>
        <v>21.182714112000003</v>
      </c>
      <c r="G33" s="76">
        <f t="shared" si="5"/>
        <v>5.3442732E-2</v>
      </c>
      <c r="H33" s="76">
        <f t="shared" si="5"/>
        <v>0.70724639999999994</v>
      </c>
      <c r="I33" s="76">
        <f t="shared" si="5"/>
        <v>0.20932212000000003</v>
      </c>
      <c r="J33" s="76">
        <f t="shared" si="5"/>
        <v>9.1257600000000012E-4</v>
      </c>
      <c r="K33" s="76">
        <f t="shared" si="5"/>
        <v>1.9962600000000001E-3</v>
      </c>
      <c r="L33" s="76">
        <f t="shared" si="5"/>
        <v>9.9242639999999993E-2</v>
      </c>
      <c r="M33" s="76">
        <f t="shared" si="5"/>
        <v>0.12490883999999999</v>
      </c>
      <c r="N33" s="76">
        <f t="shared" si="5"/>
        <v>18.365592000000003</v>
      </c>
      <c r="O33" s="76">
        <f t="shared" si="5"/>
        <v>2218.7004000000002</v>
      </c>
      <c r="P33" s="76">
        <f t="shared" si="5"/>
        <v>0</v>
      </c>
      <c r="Q33" s="76">
        <f t="shared" si="10"/>
        <v>25.523610000000005</v>
      </c>
      <c r="R33" s="76">
        <f t="shared" si="11"/>
        <v>0</v>
      </c>
      <c r="S33" s="76">
        <f t="shared" si="11"/>
        <v>0.13061244</v>
      </c>
      <c r="T33" s="76">
        <f t="shared" si="11"/>
        <v>0</v>
      </c>
      <c r="U33" s="76">
        <f t="shared" si="11"/>
        <v>0</v>
      </c>
      <c r="AB33" s="58"/>
      <c r="AC33" s="58"/>
      <c r="AD33" s="58"/>
      <c r="AE33" s="58"/>
      <c r="AF33" s="58"/>
      <c r="AG33" s="58"/>
      <c r="AH33" s="58"/>
      <c r="AI33" s="58"/>
    </row>
    <row r="34" spans="1:35" s="71" customFormat="1" ht="13" x14ac:dyDescent="0.35">
      <c r="A34" s="13">
        <f>F8</f>
        <v>2</v>
      </c>
      <c r="B34" s="15">
        <v>98</v>
      </c>
      <c r="C34" s="76">
        <f t="shared" si="6"/>
        <v>37.073399999999999</v>
      </c>
      <c r="D34" s="76">
        <f t="shared" si="7"/>
        <v>55.273188347999991</v>
      </c>
      <c r="E34" s="76">
        <f t="shared" si="8"/>
        <v>3.9725003640000001</v>
      </c>
      <c r="F34" s="76">
        <f t="shared" si="9"/>
        <v>21.182714112000003</v>
      </c>
      <c r="G34" s="76">
        <f t="shared" si="5"/>
        <v>5.3442732E-2</v>
      </c>
      <c r="H34" s="76">
        <f t="shared" si="5"/>
        <v>0.70724639999999994</v>
      </c>
      <c r="I34" s="76">
        <f t="shared" si="5"/>
        <v>0.20932212000000003</v>
      </c>
      <c r="J34" s="76">
        <f t="shared" si="5"/>
        <v>9.1257600000000012E-4</v>
      </c>
      <c r="K34" s="76">
        <f t="shared" si="5"/>
        <v>1.9962600000000001E-3</v>
      </c>
      <c r="L34" s="76">
        <f t="shared" si="5"/>
        <v>9.9242639999999993E-2</v>
      </c>
      <c r="M34" s="76">
        <f t="shared" si="5"/>
        <v>0.12490883999999999</v>
      </c>
      <c r="N34" s="76">
        <f t="shared" si="5"/>
        <v>18.365592000000003</v>
      </c>
      <c r="O34" s="76">
        <f t="shared" si="5"/>
        <v>2218.7004000000002</v>
      </c>
      <c r="P34" s="76">
        <f t="shared" si="5"/>
        <v>0</v>
      </c>
      <c r="Q34" s="76">
        <f t="shared" si="10"/>
        <v>25.523610000000005</v>
      </c>
      <c r="R34" s="76">
        <f t="shared" si="11"/>
        <v>0</v>
      </c>
      <c r="S34" s="76">
        <f t="shared" si="11"/>
        <v>0.13061244</v>
      </c>
      <c r="T34" s="76">
        <f t="shared" si="11"/>
        <v>0</v>
      </c>
      <c r="U34" s="76">
        <f t="shared" si="11"/>
        <v>0</v>
      </c>
      <c r="AB34" s="58"/>
      <c r="AC34" s="58"/>
      <c r="AD34" s="58"/>
      <c r="AE34" s="58"/>
      <c r="AF34" s="58"/>
      <c r="AG34" s="58"/>
      <c r="AH34" s="58"/>
      <c r="AI34" s="58"/>
    </row>
    <row r="35" spans="1:35" s="71" customFormat="1" ht="13" x14ac:dyDescent="0.35">
      <c r="A35" s="13">
        <f>G8</f>
        <v>10</v>
      </c>
      <c r="B35" s="15">
        <v>133</v>
      </c>
      <c r="C35" s="76">
        <f t="shared" si="6"/>
        <v>50.313900000000004</v>
      </c>
      <c r="D35" s="76">
        <f t="shared" si="7"/>
        <v>75.013612757999994</v>
      </c>
      <c r="E35" s="76">
        <f t="shared" si="8"/>
        <v>5.3912504940000003</v>
      </c>
      <c r="F35" s="76">
        <f t="shared" si="9"/>
        <v>28.747969152</v>
      </c>
      <c r="G35" s="76">
        <f t="shared" si="5"/>
        <v>7.2529421999999996E-2</v>
      </c>
      <c r="H35" s="76">
        <f t="shared" si="5"/>
        <v>0.95983439999999998</v>
      </c>
      <c r="I35" s="76">
        <f t="shared" si="5"/>
        <v>0.28408002000000004</v>
      </c>
      <c r="J35" s="76">
        <f t="shared" si="5"/>
        <v>1.2384960000000002E-3</v>
      </c>
      <c r="K35" s="76">
        <f t="shared" si="5"/>
        <v>2.7092100000000001E-3</v>
      </c>
      <c r="L35" s="76">
        <f t="shared" si="5"/>
        <v>0.13468643999999999</v>
      </c>
      <c r="M35" s="76">
        <f t="shared" si="5"/>
        <v>0.16951913999999998</v>
      </c>
      <c r="N35" s="76">
        <f t="shared" si="5"/>
        <v>24.924732000000002</v>
      </c>
      <c r="O35" s="76">
        <f t="shared" si="5"/>
        <v>3011.0934000000002</v>
      </c>
      <c r="P35" s="76">
        <f t="shared" si="5"/>
        <v>0</v>
      </c>
      <c r="Q35" s="76">
        <f t="shared" si="10"/>
        <v>34.639184999999998</v>
      </c>
      <c r="R35" s="76">
        <f t="shared" si="11"/>
        <v>0</v>
      </c>
      <c r="S35" s="76">
        <f t="shared" si="11"/>
        <v>0.17725974</v>
      </c>
      <c r="T35" s="76">
        <f t="shared" si="11"/>
        <v>0</v>
      </c>
      <c r="U35" s="76">
        <f t="shared" si="11"/>
        <v>0</v>
      </c>
      <c r="AB35" s="58"/>
      <c r="AC35" s="58"/>
      <c r="AD35" s="58"/>
      <c r="AE35" s="58"/>
      <c r="AF35" s="58"/>
      <c r="AG35" s="58"/>
      <c r="AH35" s="58"/>
      <c r="AI35" s="58"/>
    </row>
    <row r="36" spans="1:35" s="71" customFormat="1" ht="13" x14ac:dyDescent="0.35">
      <c r="A36" s="13">
        <f>H8</f>
        <v>11</v>
      </c>
      <c r="B36" s="15">
        <v>133</v>
      </c>
      <c r="C36" s="76">
        <f t="shared" si="6"/>
        <v>50.313900000000004</v>
      </c>
      <c r="D36" s="76">
        <f t="shared" si="7"/>
        <v>75.013612757999994</v>
      </c>
      <c r="E36" s="76">
        <f t="shared" si="8"/>
        <v>5.3912504940000003</v>
      </c>
      <c r="F36" s="76">
        <f t="shared" si="9"/>
        <v>28.747969152</v>
      </c>
      <c r="G36" s="76">
        <f t="shared" si="5"/>
        <v>7.2529421999999996E-2</v>
      </c>
      <c r="H36" s="76">
        <f t="shared" si="5"/>
        <v>0.95983439999999998</v>
      </c>
      <c r="I36" s="76">
        <f t="shared" si="5"/>
        <v>0.28408002000000004</v>
      </c>
      <c r="J36" s="76">
        <f t="shared" si="5"/>
        <v>1.2384960000000002E-3</v>
      </c>
      <c r="K36" s="76">
        <f t="shared" si="5"/>
        <v>2.7092100000000001E-3</v>
      </c>
      <c r="L36" s="76">
        <f t="shared" si="5"/>
        <v>0.13468643999999999</v>
      </c>
      <c r="M36" s="76">
        <f t="shared" si="5"/>
        <v>0.16951913999999998</v>
      </c>
      <c r="N36" s="76">
        <f t="shared" si="5"/>
        <v>24.924732000000002</v>
      </c>
      <c r="O36" s="76">
        <f t="shared" si="5"/>
        <v>3011.0934000000002</v>
      </c>
      <c r="P36" s="76">
        <f t="shared" si="5"/>
        <v>0</v>
      </c>
      <c r="Q36" s="76">
        <f t="shared" si="10"/>
        <v>34.639184999999998</v>
      </c>
      <c r="R36" s="76">
        <f t="shared" si="11"/>
        <v>0</v>
      </c>
      <c r="S36" s="76">
        <f t="shared" si="11"/>
        <v>0.17725974</v>
      </c>
      <c r="T36" s="76">
        <f t="shared" si="11"/>
        <v>0</v>
      </c>
      <c r="U36" s="76">
        <f t="shared" si="11"/>
        <v>0</v>
      </c>
      <c r="AB36" s="58"/>
      <c r="AC36" s="58"/>
      <c r="AD36" s="58"/>
      <c r="AE36" s="58"/>
      <c r="AF36" s="58"/>
      <c r="AG36" s="58"/>
      <c r="AH36" s="58"/>
      <c r="AI36" s="58"/>
    </row>
    <row r="37" spans="1:35" s="71" customFormat="1" ht="13" x14ac:dyDescent="0.35">
      <c r="A37" s="13">
        <f>I8</f>
        <v>16</v>
      </c>
      <c r="B37" s="15">
        <v>133</v>
      </c>
      <c r="C37" s="76">
        <f t="shared" si="6"/>
        <v>50.313900000000004</v>
      </c>
      <c r="D37" s="76">
        <f t="shared" si="7"/>
        <v>75.013612757999994</v>
      </c>
      <c r="E37" s="76">
        <f t="shared" si="8"/>
        <v>5.3912504940000003</v>
      </c>
      <c r="F37" s="76">
        <f t="shared" si="9"/>
        <v>28.747969152</v>
      </c>
      <c r="G37" s="76">
        <f t="shared" si="5"/>
        <v>7.2529421999999996E-2</v>
      </c>
      <c r="H37" s="76">
        <f t="shared" si="5"/>
        <v>0.95983439999999998</v>
      </c>
      <c r="I37" s="76">
        <f t="shared" si="5"/>
        <v>0.28408002000000004</v>
      </c>
      <c r="J37" s="76">
        <f t="shared" si="5"/>
        <v>1.2384960000000002E-3</v>
      </c>
      <c r="K37" s="76">
        <f t="shared" si="5"/>
        <v>2.7092100000000001E-3</v>
      </c>
      <c r="L37" s="76">
        <f t="shared" si="5"/>
        <v>0.13468643999999999</v>
      </c>
      <c r="M37" s="76">
        <f t="shared" si="5"/>
        <v>0.16951913999999998</v>
      </c>
      <c r="N37" s="76">
        <f t="shared" si="5"/>
        <v>24.924732000000002</v>
      </c>
      <c r="O37" s="76">
        <f t="shared" si="5"/>
        <v>3011.0934000000002</v>
      </c>
      <c r="P37" s="76">
        <f t="shared" si="5"/>
        <v>0</v>
      </c>
      <c r="Q37" s="76">
        <f t="shared" si="10"/>
        <v>34.639184999999998</v>
      </c>
      <c r="R37" s="76">
        <f t="shared" si="11"/>
        <v>0</v>
      </c>
      <c r="S37" s="76">
        <f t="shared" si="11"/>
        <v>0.17725974</v>
      </c>
      <c r="T37" s="76">
        <f t="shared" si="11"/>
        <v>0</v>
      </c>
      <c r="U37" s="76">
        <f t="shared" si="11"/>
        <v>0</v>
      </c>
      <c r="AB37" s="58"/>
      <c r="AC37" s="58"/>
      <c r="AD37" s="58"/>
      <c r="AE37" s="58"/>
      <c r="AF37" s="58"/>
      <c r="AG37" s="58"/>
      <c r="AH37" s="58"/>
      <c r="AI37" s="58"/>
    </row>
    <row r="38" spans="1:35" s="71" customFormat="1" ht="13" x14ac:dyDescent="0.35">
      <c r="A38" s="13">
        <f>J8</f>
        <v>0</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Abercynrig 2</v>
      </c>
      <c r="C57" s="8" t="str">
        <f t="shared" ref="C57:U57" si="13">D8</f>
        <v>Abercynrig 10</v>
      </c>
      <c r="D57" s="8">
        <f t="shared" si="13"/>
        <v>1</v>
      </c>
      <c r="E57" s="8">
        <f t="shared" si="13"/>
        <v>2</v>
      </c>
      <c r="F57" s="8">
        <f t="shared" si="13"/>
        <v>10</v>
      </c>
      <c r="G57" s="8">
        <f t="shared" si="13"/>
        <v>11</v>
      </c>
      <c r="H57" s="8">
        <f t="shared" si="13"/>
        <v>16</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"&amp;(VLOOKUP(C14,Table2456[],6,FALSE))</f>
        <v>Medium/Clay I Grass</v>
      </c>
      <c r="C58" s="13" t="str">
        <f>D16&amp;" I "&amp;(VLOOKUP(D14,Table2456[],6,FALSE))</f>
        <v>Medium/Clay I Grass</v>
      </c>
      <c r="D58" s="13" t="str">
        <f>E16&amp;" I "&amp;(VLOOKUP(E14,Table2456[],6,FALSE))</f>
        <v>Medium/Clay I Arable</v>
      </c>
      <c r="E58" s="13" t="str">
        <f>F16&amp;" I "&amp;(VLOOKUP(F14,Table2456[],6,FALSE))</f>
        <v>Medium/Clay I Arable</v>
      </c>
      <c r="F58" s="13" t="str">
        <f>G16&amp;" I "&amp;(VLOOKUP(G14,Table2456[],6,FALSE))</f>
        <v>Medium/Clay I Grass</v>
      </c>
      <c r="G58" s="13" t="str">
        <f>H16&amp;" I "&amp;(VLOOKUP(H14,Table2456[],6,FALSE))</f>
        <v>Medium/Clay I Grass</v>
      </c>
      <c r="H58" s="13" t="str">
        <f>I16&amp;" I "&amp;(VLOOKUP(I14,Table2456[],6,FALSE))</f>
        <v>Medium/Clay I Grass</v>
      </c>
      <c r="I58" s="13" t="e">
        <f>J16&amp;" I "&amp;(VLOOKUP(J14,Table2456[],6,FALSE))</f>
        <v>#N/A</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0" t="s">
        <v>132</v>
      </c>
      <c r="B59" s="75">
        <f>VLOOKUP(C$14,Table2456[],5,FALSE)</f>
        <v>6.2</v>
      </c>
      <c r="C59" s="75">
        <f>VLOOKUP(D$14,Table2456[],5,FALSE)</f>
        <v>6.2</v>
      </c>
      <c r="D59" s="75">
        <f>VLOOKUP(E$14,Table2456[],5,FALSE)</f>
        <v>6.7</v>
      </c>
      <c r="E59" s="75">
        <f>VLOOKUP(F$14,Table2456[],5,FALSE)</f>
        <v>6.7</v>
      </c>
      <c r="F59" s="75">
        <f>VLOOKUP(G$14,Table2456[],5,FALSE)</f>
        <v>6.2</v>
      </c>
      <c r="G59" s="75">
        <f>VLOOKUP(H$14,Table2456[],5,FALSE)</f>
        <v>6.2</v>
      </c>
      <c r="H59" s="75">
        <f>VLOOKUP(I$14,Table2456[],5,FALSE)</f>
        <v>6.2</v>
      </c>
      <c r="I59" s="75" t="e">
        <f>VLOOKUP(J$14,Table2456[],5,FALSE)</f>
        <v>#N/A</v>
      </c>
      <c r="J59" s="75" t="e">
        <f>VLOOKUP(K$14,Table2456[],5,FALSE)</f>
        <v>#N/A</v>
      </c>
      <c r="K59" s="75" t="e">
        <f>VLOOKUP(L$14,Table2456[],5,FALSE)</f>
        <v>#N/A</v>
      </c>
      <c r="L59" s="75" t="e">
        <f>VLOOKUP(M$14,Table2456[],5,FALSE)</f>
        <v>#N/A</v>
      </c>
      <c r="M59" s="75" t="e">
        <f>VLOOKUP(N$14,Table2456[],5,FALSE)</f>
        <v>#N/A</v>
      </c>
      <c r="N59" s="75" t="e">
        <f>VLOOKUP(O$14,Table2456[],5,FALSE)</f>
        <v>#N/A</v>
      </c>
      <c r="O59" s="75" t="e">
        <f>VLOOKUP(P$14,Table2456[],5,FALSE)</f>
        <v>#N/A</v>
      </c>
      <c r="P59" s="75" t="e">
        <f>VLOOKUP(Q$14,Table2456[],5,FALSE)</f>
        <v>#N/A</v>
      </c>
      <c r="Q59" s="75" t="e">
        <f>VLOOKUP(R$14,Table2456[],5,FALSE)</f>
        <v>#N/A</v>
      </c>
      <c r="R59" s="75" t="e">
        <f>VLOOKUP(S$14,Table2456[],5,FALSE)</f>
        <v>#N/A</v>
      </c>
      <c r="S59" s="75" t="e">
        <f>VLOOKUP(T$14,Table2456[],5,FALSE)</f>
        <v>#N/A</v>
      </c>
      <c r="T59" s="75" t="e">
        <f>VLOOKUP(U$14,Table2456[],5,FALSE)</f>
        <v>#N/A</v>
      </c>
      <c r="U59" s="75" t="e">
        <f>VLOOKUP(V$14,Table2456[],5,FALSE)</f>
        <v>#N/A</v>
      </c>
    </row>
    <row r="60" spans="1:35" s="19" customFormat="1" ht="13" x14ac:dyDescent="0.3">
      <c r="A60" s="110" t="s">
        <v>4</v>
      </c>
      <c r="B60" s="75">
        <f>C10</f>
        <v>6.2</v>
      </c>
      <c r="C60" s="75">
        <f t="shared" ref="C60:U60" si="14">D10</f>
        <v>5.2</v>
      </c>
      <c r="D60" s="75">
        <f t="shared" si="14"/>
        <v>5.5</v>
      </c>
      <c r="E60" s="75">
        <f t="shared" si="14"/>
        <v>5</v>
      </c>
      <c r="F60" s="75">
        <f t="shared" si="14"/>
        <v>5.5</v>
      </c>
      <c r="G60" s="75">
        <f t="shared" si="14"/>
        <v>5.4</v>
      </c>
      <c r="H60" s="75">
        <f t="shared" si="14"/>
        <v>5.5</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8</v>
      </c>
      <c r="E61" s="75">
        <f t="shared" si="15"/>
        <v>8</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133</v>
      </c>
      <c r="C62" s="76">
        <f>B32</f>
        <v>133</v>
      </c>
      <c r="D62" s="76">
        <f>B33</f>
        <v>98</v>
      </c>
      <c r="E62" s="76">
        <f>B34</f>
        <v>98</v>
      </c>
      <c r="F62" s="76">
        <f>B35</f>
        <v>133</v>
      </c>
      <c r="G62" s="76">
        <f>B36</f>
        <v>133</v>
      </c>
      <c r="H62" s="76">
        <f>B37</f>
        <v>133</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v>
      </c>
      <c r="C64" s="76">
        <f t="shared" ref="C64:U64" si="17">(C59-C60)*C61</f>
        <v>6</v>
      </c>
      <c r="D64" s="76">
        <f t="shared" si="17"/>
        <v>9.6000000000000014</v>
      </c>
      <c r="E64" s="76">
        <f t="shared" si="17"/>
        <v>13.600000000000001</v>
      </c>
      <c r="F64" s="76">
        <f t="shared" si="17"/>
        <v>4.2000000000000011</v>
      </c>
      <c r="G64" s="76">
        <f t="shared" si="17"/>
        <v>4.7999999999999989</v>
      </c>
      <c r="H64" s="76">
        <f t="shared" si="17"/>
        <v>4.2000000000000011</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v>
      </c>
      <c r="C65" s="76">
        <f t="shared" ref="C65:U65" si="18">C63-C64</f>
        <v>-6</v>
      </c>
      <c r="D65" s="76">
        <f t="shared" si="18"/>
        <v>-9.6000000000000014</v>
      </c>
      <c r="E65" s="76">
        <f t="shared" si="18"/>
        <v>-13.600000000000001</v>
      </c>
      <c r="F65" s="76">
        <f t="shared" si="18"/>
        <v>-4.2000000000000011</v>
      </c>
      <c r="G65" s="76">
        <f t="shared" si="18"/>
        <v>-4.7999999999999989</v>
      </c>
      <c r="H65" s="76">
        <f t="shared" si="18"/>
        <v>-4.2000000000000011</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8"/>
    <col min="14" max="14" width="9.7265625" style="78" bestFit="1" customWidth="1"/>
    <col min="15" max="19" width="9.1796875" style="78"/>
    <col min="20" max="20" width="10" style="78" bestFit="1" customWidth="1"/>
    <col min="21" max="16384" width="9.1796875" style="78"/>
  </cols>
  <sheetData>
    <row r="1" spans="1:21" ht="37.5" x14ac:dyDescent="0.25">
      <c r="A1" s="145" t="s">
        <v>84</v>
      </c>
      <c r="B1" s="37" t="str">
        <f>Bryngwyn!B29</f>
        <v>Application Rate</v>
      </c>
      <c r="C1" s="37" t="str">
        <f>Bryngwyn!C29</f>
        <v>Nitrogen Addition</v>
      </c>
      <c r="D1" s="37" t="str">
        <f>Bryngwyn!D29</f>
        <v>Phosphate Addition</v>
      </c>
      <c r="E1" s="37" t="str">
        <f>Bryngwyn!E29</f>
        <v>Potash  Addition</v>
      </c>
      <c r="F1" s="37" t="str">
        <f>Bryngwyn!F29</f>
        <v>Mg Oxide Addition</v>
      </c>
      <c r="G1" s="37" t="str">
        <f>Bryngwyn!G29</f>
        <v>Copper Addition</v>
      </c>
      <c r="H1" s="37" t="str">
        <f>Bryngwyn!H29</f>
        <v>Zinc Addition</v>
      </c>
      <c r="I1" s="37" t="str">
        <f>Bryngwyn!I29</f>
        <v>Lead Addition</v>
      </c>
      <c r="J1" s="37" t="str">
        <f>Bryngwyn!J29</f>
        <v>Cadmium Addition</v>
      </c>
      <c r="K1" s="37" t="str">
        <f>Bryngwyn!K29</f>
        <v>Mercury Addition</v>
      </c>
      <c r="L1" s="37" t="str">
        <f>Bryngwyn!L29</f>
        <v>Nickel Addition</v>
      </c>
      <c r="M1" s="37" t="str">
        <f>Bryngwyn!M29</f>
        <v>Chromium Addition</v>
      </c>
      <c r="N1" s="37" t="str">
        <f>Bryngwyn!N29</f>
        <v>Aluminium Addition</v>
      </c>
      <c r="O1" s="37" t="str">
        <f>Bryngwyn!O29</f>
        <v>Iron Addition</v>
      </c>
      <c r="P1" s="37" t="str">
        <f>Bryngwyn!P29</f>
        <v xml:space="preserve">Sodium Addition                 </v>
      </c>
      <c r="Q1" s="37" t="str">
        <f>Bryngwyn!Q29</f>
        <v>SO3  Addition                             kg/ha</v>
      </c>
      <c r="R1" s="37" t="str">
        <f>Bryngwyn!R29</f>
        <v xml:space="preserve">Selenium Addition </v>
      </c>
      <c r="S1" s="37" t="str">
        <f>Bryngwyn!S29</f>
        <v xml:space="preserve">Arsenic  Addition  </v>
      </c>
      <c r="T1" s="37" t="str">
        <f>Bryngwyn!T29</f>
        <v xml:space="preserve">Molybdenum Addition  </v>
      </c>
      <c r="U1" s="37" t="str">
        <f>Bryngwyn!U29</f>
        <v xml:space="preserve">Fluoride Addition </v>
      </c>
    </row>
    <row r="2" spans="1:21" ht="25" x14ac:dyDescent="0.25">
      <c r="A2" s="145"/>
      <c r="B2" s="37" t="str">
        <f>Bryngwyn!B30</f>
        <v>tonnes/ha</v>
      </c>
      <c r="C2" s="37" t="str">
        <f>Bryngwyn!C30</f>
        <v>kg/ha</v>
      </c>
      <c r="D2" s="37" t="str">
        <f>Bryngwyn!D30</f>
        <v>P2O5 
kg/ha</v>
      </c>
      <c r="E2" s="37" t="str">
        <f>Bryngwyn!E30</f>
        <v>K2O 
kg/ha</v>
      </c>
      <c r="F2" s="37" t="str">
        <f>Bryngwyn!F30</f>
        <v>MgO 
kg/ha</v>
      </c>
      <c r="G2" s="37" t="str">
        <f>Bryngwyn!G30</f>
        <v>kg/ha</v>
      </c>
      <c r="H2" s="37" t="str">
        <f>Bryngwyn!H30</f>
        <v>kg/ha</v>
      </c>
      <c r="I2" s="37" t="str">
        <f>Bryngwyn!I30</f>
        <v>kg/ha</v>
      </c>
      <c r="J2" s="37" t="str">
        <f>Bryngwyn!J30</f>
        <v>kg/ha</v>
      </c>
      <c r="K2" s="37" t="str">
        <f>Bryngwyn!K30</f>
        <v>kg/ha</v>
      </c>
      <c r="L2" s="37" t="str">
        <f>Bryngwyn!L30</f>
        <v>kg/ha</v>
      </c>
      <c r="M2" s="37" t="str">
        <f>Bryngwyn!M30</f>
        <v>kg/ha</v>
      </c>
      <c r="N2" s="37" t="str">
        <f>Bryngwyn!N30</f>
        <v>kg/ha</v>
      </c>
      <c r="O2" s="37" t="str">
        <f>Bryngwyn!O30</f>
        <v>kg/ha</v>
      </c>
      <c r="P2" s="37" t="str">
        <f>Bryngwyn!P30</f>
        <v>kg/ha</v>
      </c>
      <c r="Q2" s="37" t="str">
        <f>Bryngwyn!Q30</f>
        <v>kg/ha</v>
      </c>
      <c r="R2" s="37" t="str">
        <f>Bryngwyn!R30</f>
        <v>kg/ha</v>
      </c>
      <c r="S2" s="37" t="str">
        <f>Bryngwyn!S30</f>
        <v>kg/ha</v>
      </c>
      <c r="T2" s="37" t="str">
        <f>Bryngwyn!T30</f>
        <v>kg/ha</v>
      </c>
      <c r="U2" s="37" t="str">
        <f>Bryngwyn!U30</f>
        <v>kg/ha</v>
      </c>
    </row>
    <row r="3" spans="1:21" x14ac:dyDescent="0.25">
      <c r="A3" s="35">
        <v>1</v>
      </c>
      <c r="B3" s="32">
        <f>Bryngwyn!B31</f>
        <v>250</v>
      </c>
      <c r="C3" s="32">
        <f>Bryngwyn!C31</f>
        <v>47.699999999999996</v>
      </c>
      <c r="D3" s="32">
        <f>Bryngwyn!D31</f>
        <v>16.392105000000001</v>
      </c>
      <c r="E3" s="32">
        <f>Bryngwyn!E31</f>
        <v>0.69453187500000002</v>
      </c>
      <c r="F3" s="32">
        <f>Bryngwyn!F31</f>
        <v>5.5909832499999998</v>
      </c>
      <c r="G3" s="32">
        <f>Bryngwyn!G31</f>
        <v>5.1674999999999999E-2</v>
      </c>
      <c r="H3" s="32">
        <f>Bryngwyn!H31</f>
        <v>0.86125000000000007</v>
      </c>
      <c r="I3" s="32">
        <f>Bryngwyn!I31</f>
        <v>8.2812499999999997E-2</v>
      </c>
      <c r="J3" s="32">
        <f>Bryngwyn!J31</f>
        <v>4.7037499999999996E-3</v>
      </c>
      <c r="K3" s="32">
        <f>Bryngwyn!K31</f>
        <v>5.0350000000000004E-3</v>
      </c>
      <c r="L3" s="32">
        <f>Bryngwyn!L31</f>
        <v>0.109975</v>
      </c>
      <c r="M3" s="32">
        <f>Bryngwyn!M31</f>
        <v>7.3537500000000006E-2</v>
      </c>
      <c r="N3" s="32">
        <f>Bryngwyn!N31</f>
        <v>14.508749999999999</v>
      </c>
      <c r="O3" s="32">
        <f>Bryngwyn!O31</f>
        <v>2901.75</v>
      </c>
      <c r="P3" s="32">
        <f>Bryngwyn!P31</f>
        <v>0</v>
      </c>
      <c r="Q3" s="32">
        <f>Bryngwyn!Q31</f>
        <v>45.878124999999997</v>
      </c>
      <c r="R3" s="32">
        <f>Bryngwyn!R31</f>
        <v>0</v>
      </c>
      <c r="S3" s="32">
        <f>Bryngwyn!S31</f>
        <v>9.5399999999999999E-2</v>
      </c>
      <c r="T3" s="32">
        <f>Bryngwyn!T31</f>
        <v>0</v>
      </c>
      <c r="U3" s="32">
        <f>Bryngwyn!U31</f>
        <v>0</v>
      </c>
    </row>
    <row r="4" spans="1:21" x14ac:dyDescent="0.25">
      <c r="A4" s="35">
        <v>2</v>
      </c>
      <c r="B4" s="32">
        <f>'Capel Dewi'!B31</f>
        <v>250</v>
      </c>
      <c r="C4" s="32">
        <f>'Capel Dewi'!C31</f>
        <v>87.69</v>
      </c>
      <c r="D4" s="32">
        <f>'Capel Dewi'!D31</f>
        <v>12.524324250000003</v>
      </c>
      <c r="E4" s="32">
        <f>'Capel Dewi'!E31</f>
        <v>0.92959725000000004</v>
      </c>
      <c r="F4" s="32">
        <f>'Capel Dewi'!F31</f>
        <v>4.7297766000000001</v>
      </c>
      <c r="G4" s="32">
        <f>'Capel Dewi'!G31</f>
        <v>4.3290000000000002E-2</v>
      </c>
      <c r="H4" s="32">
        <f>'Capel Dewi'!H31</f>
        <v>6.8264999999999992E-2</v>
      </c>
      <c r="I4" s="32">
        <f>'Capel Dewi'!I31</f>
        <v>3.4410000000000003E-2</v>
      </c>
      <c r="J4" s="32">
        <f>'Capel Dewi'!J31</f>
        <v>1.9425E-3</v>
      </c>
      <c r="K4" s="32">
        <f>'Capel Dewi'!K31</f>
        <v>5.0505000000000003E-3</v>
      </c>
      <c r="L4" s="32">
        <f>'Capel Dewi'!L31</f>
        <v>4.3290000000000002E-2</v>
      </c>
      <c r="M4" s="32">
        <f>'Capel Dewi'!M31</f>
        <v>2.3865000000000004E-2</v>
      </c>
      <c r="N4" s="32">
        <f>'Capel Dewi'!N31</f>
        <v>11.988000000000001</v>
      </c>
      <c r="O4" s="32">
        <f>'Capel Dewi'!O31</f>
        <v>3.4410000000000003E-2</v>
      </c>
      <c r="P4" s="32">
        <f>'Capel Dewi'!P31</f>
        <v>0</v>
      </c>
      <c r="Q4" s="32">
        <f>'Capel Dewi'!Q31</f>
        <v>30.38625</v>
      </c>
      <c r="R4" s="32">
        <f>'Capel Dewi'!R31</f>
        <v>0</v>
      </c>
      <c r="S4" s="32">
        <f>'Capel Dewi'!S31</f>
        <v>0.37462500000000004</v>
      </c>
      <c r="T4" s="32">
        <f>'Capel Dewi'!T31</f>
        <v>0</v>
      </c>
      <c r="U4" s="32">
        <f>'Capel Dewi'!U31</f>
        <v>0</v>
      </c>
    </row>
    <row r="5" spans="1:21" x14ac:dyDescent="0.25">
      <c r="A5" s="35">
        <v>3</v>
      </c>
      <c r="B5" s="32">
        <f>'Cefn Dryscoed'!B31</f>
        <v>250</v>
      </c>
      <c r="C5" s="32">
        <f>'Cefn Dryscoed'!C31</f>
        <v>58.289999999999985</v>
      </c>
      <c r="D5" s="32">
        <f>'Cefn Dryscoed'!D31</f>
        <v>21.758199749999999</v>
      </c>
      <c r="E5" s="32">
        <f>'Cefn Dryscoed'!E31</f>
        <v>1.3018518749999997</v>
      </c>
      <c r="F5" s="32">
        <f>'Cefn Dryscoed'!F31</f>
        <v>3.3742372499999989</v>
      </c>
      <c r="G5" s="32">
        <f>'Cefn Dryscoed'!G31</f>
        <v>3.9194999999999994E-2</v>
      </c>
      <c r="H5" s="32">
        <f>'Cefn Dryscoed'!H31</f>
        <v>0.35174999999999995</v>
      </c>
      <c r="I5" s="32">
        <f>'Cefn Dryscoed'!I31</f>
        <v>3.1154999999999995E-2</v>
      </c>
      <c r="J5" s="32">
        <f>'Cefn Dryscoed'!J31</f>
        <v>5.5274999999999996E-4</v>
      </c>
      <c r="K5" s="32">
        <f>'Cefn Dryscoed'!K31</f>
        <v>5.0249999999999991E-3</v>
      </c>
      <c r="L5" s="32">
        <f>'Cefn Dryscoed'!L31</f>
        <v>2.5627499999999991E-2</v>
      </c>
      <c r="M5" s="32">
        <f>'Cefn Dryscoed'!M31</f>
        <v>2.1607499999999995E-2</v>
      </c>
      <c r="N5" s="32">
        <f>'Cefn Dryscoed'!N31</f>
        <v>738.67499999999984</v>
      </c>
      <c r="O5" s="32">
        <f>'Cefn Dryscoed'!O31</f>
        <v>75.374999999999986</v>
      </c>
      <c r="P5" s="32">
        <f>'Cefn Dryscoed'!P31</f>
        <v>0</v>
      </c>
      <c r="Q5" s="32">
        <f>'Cefn Dryscoed'!Q31</f>
        <v>109.16812499999997</v>
      </c>
      <c r="R5" s="32">
        <f>'Cefn Dryscoed'!R31</f>
        <v>0</v>
      </c>
      <c r="S5" s="32">
        <f>'Cefn Dryscoed'!S31</f>
        <v>0.10351499999999998</v>
      </c>
      <c r="T5" s="32">
        <f>'Cefn Dryscoed'!T31</f>
        <v>0</v>
      </c>
      <c r="U5" s="32">
        <f>'Cefn Dryscoed'!U31</f>
        <v>0</v>
      </c>
    </row>
    <row r="6" spans="1:21" x14ac:dyDescent="0.25">
      <c r="A6" s="35">
        <v>4</v>
      </c>
      <c r="B6" s="32">
        <f>Crai!B31</f>
        <v>250</v>
      </c>
      <c r="C6" s="32">
        <f>Crai!C31</f>
        <v>60.434000000000005</v>
      </c>
      <c r="D6" s="32">
        <f>Crai!D31</f>
        <v>14.4440677</v>
      </c>
      <c r="E6" s="32">
        <f>Crai!E31</f>
        <v>0.70239450000000003</v>
      </c>
      <c r="F6" s="32">
        <f>Crai!F31</f>
        <v>4.8877839999999999</v>
      </c>
      <c r="G6" s="32">
        <f>Crai!G31</f>
        <v>0.13467000000000004</v>
      </c>
      <c r="H6" s="32">
        <f>Crai!H31</f>
        <v>0.76380000000000003</v>
      </c>
      <c r="I6" s="32">
        <f>Crai!I31</f>
        <v>0.11256000000000002</v>
      </c>
      <c r="J6" s="32">
        <f>Crai!J31</f>
        <v>6.365E-3</v>
      </c>
      <c r="K6" s="32">
        <f>Crai!K31</f>
        <v>5.025E-3</v>
      </c>
      <c r="L6" s="32">
        <f>Crai!L31</f>
        <v>9.3800000000000008E-2</v>
      </c>
      <c r="M6" s="32">
        <f>Crai!M31</f>
        <v>7.9060000000000019E-2</v>
      </c>
      <c r="N6" s="32">
        <f>Crai!N31</f>
        <v>19.765000000000001</v>
      </c>
      <c r="O6" s="32">
        <f>Crai!O31</f>
        <v>2834.1000000000004</v>
      </c>
      <c r="P6" s="32">
        <f>Crai!P31</f>
        <v>0</v>
      </c>
      <c r="Q6" s="32">
        <f>Crai!Q31</f>
        <v>58.625000000000007</v>
      </c>
      <c r="R6" s="32">
        <f>Crai!R31</f>
        <v>0</v>
      </c>
      <c r="S6" s="32">
        <f>Crai!S31</f>
        <v>0.29547000000000001</v>
      </c>
      <c r="T6" s="32">
        <f>Crai!T31</f>
        <v>0</v>
      </c>
      <c r="U6" s="32">
        <f>Crai!U31</f>
        <v>0</v>
      </c>
    </row>
    <row r="7" spans="1:21" x14ac:dyDescent="0.25">
      <c r="A7" s="35">
        <v>5</v>
      </c>
      <c r="B7" s="32">
        <f>Elan!B31</f>
        <v>250</v>
      </c>
      <c r="C7" s="32">
        <f>Elan!C31</f>
        <v>28.8</v>
      </c>
      <c r="D7" s="32">
        <f>Elan!D31</f>
        <v>3.6701820000000001</v>
      </c>
      <c r="E7" s="32">
        <f>Elan!E31</f>
        <v>1.5616800000000004</v>
      </c>
      <c r="F7" s="32">
        <f>Elan!F31</f>
        <v>5.2127520000000001</v>
      </c>
      <c r="G7" s="32">
        <f>Elan!G31</f>
        <v>0.19860000000000003</v>
      </c>
      <c r="H7" s="32">
        <f>Elan!H31</f>
        <v>2.2860000000000005</v>
      </c>
      <c r="I7" s="32">
        <f>Elan!I31</f>
        <v>1.1634000000000002</v>
      </c>
      <c r="J7" s="32">
        <f>Elan!J31</f>
        <v>1.2720000000000002E-2</v>
      </c>
      <c r="K7" s="32">
        <f>Elan!K31</f>
        <v>5.0400000000000002E-3</v>
      </c>
      <c r="L7" s="32">
        <f>Elan!L31</f>
        <v>0.52739999999999998</v>
      </c>
      <c r="M7" s="32">
        <f>Elan!M31</f>
        <v>0.16620000000000001</v>
      </c>
      <c r="N7" s="32">
        <f>Elan!N31</f>
        <v>34.08</v>
      </c>
      <c r="O7" s="32">
        <f>Elan!O31</f>
        <v>3210</v>
      </c>
      <c r="P7" s="32">
        <f>Elan!P31</f>
        <v>0</v>
      </c>
      <c r="Q7" s="32">
        <f>Elan!Q31</f>
        <v>38.849999999999994</v>
      </c>
      <c r="R7" s="32">
        <f>Elan!R31</f>
        <v>0</v>
      </c>
      <c r="S7" s="32">
        <f>Elan!S31</f>
        <v>0.33960000000000001</v>
      </c>
      <c r="T7" s="32">
        <f>Elan!T31</f>
        <v>0</v>
      </c>
      <c r="U7" s="32">
        <f>Elan!U31</f>
        <v>0</v>
      </c>
    </row>
    <row r="8" spans="1:21" x14ac:dyDescent="0.25">
      <c r="A8" s="35">
        <v>6</v>
      </c>
      <c r="B8" s="32">
        <f>Hirwaun!B31</f>
        <v>250</v>
      </c>
      <c r="C8" s="32">
        <f>Hirwaun!C31</f>
        <v>155.95500000000001</v>
      </c>
      <c r="D8" s="32">
        <f>Hirwaun!D31</f>
        <v>35.407405000000004</v>
      </c>
      <c r="E8" s="32">
        <f>Hirwaun!E31</f>
        <v>26.580492500000005</v>
      </c>
      <c r="F8" s="32">
        <f>Hirwaun!F31</f>
        <v>53.112372000000008</v>
      </c>
      <c r="G8" s="32">
        <f>Hirwaun!G31</f>
        <v>0.48472500000000002</v>
      </c>
      <c r="H8" s="32">
        <f>Hirwaun!H31</f>
        <v>2.3182499999999999</v>
      </c>
      <c r="I8" s="32">
        <f>Hirwaun!I31</f>
        <v>0.31190999999999997</v>
      </c>
      <c r="J8" s="32">
        <f>Hirwaun!J31</f>
        <v>4.0745E-3</v>
      </c>
      <c r="K8" s="32">
        <f>Hirwaun!K31</f>
        <v>5.058E-3</v>
      </c>
      <c r="L8" s="32">
        <f>Hirwaun!L31</f>
        <v>0.35968</v>
      </c>
      <c r="M8" s="32">
        <f>Hirwaun!M31</f>
        <v>0.28943000000000002</v>
      </c>
      <c r="N8" s="32">
        <f>Hirwaun!N31</f>
        <v>59.431500000000007</v>
      </c>
      <c r="O8" s="32">
        <f>Hirwaun!O31</f>
        <v>422.90500000000003</v>
      </c>
      <c r="P8" s="32">
        <f>Hirwaun!P31</f>
        <v>0</v>
      </c>
      <c r="Q8" s="32">
        <f>Hirwaun!Q31</f>
        <v>95.188749999999999</v>
      </c>
      <c r="R8" s="32">
        <f>Hirwaun!R31</f>
        <v>0</v>
      </c>
      <c r="S8" s="32">
        <f>Hirwaun!S31</f>
        <v>0.23463499999999998</v>
      </c>
      <c r="T8" s="32">
        <f>Hirwaun!T31</f>
        <v>0</v>
      </c>
      <c r="U8" s="32">
        <f>Hirwaun!U31</f>
        <v>0</v>
      </c>
    </row>
    <row r="9" spans="1:21" x14ac:dyDescent="0.25">
      <c r="A9" s="35">
        <v>7</v>
      </c>
      <c r="B9" s="32">
        <f>Llyswen!B31</f>
        <v>250</v>
      </c>
      <c r="C9" s="32">
        <f>Llyswen!C31</f>
        <v>97.75</v>
      </c>
      <c r="D9" s="32">
        <f>Llyswen!D31</f>
        <v>7.6725590000000006</v>
      </c>
      <c r="E9" s="32">
        <f>Llyswen!E31</f>
        <v>4.158455</v>
      </c>
      <c r="F9" s="32">
        <f>Llyswen!F31</f>
        <v>8.9349620000000005</v>
      </c>
      <c r="G9" s="32">
        <f>Llyswen!G31</f>
        <v>0.27879999999999999</v>
      </c>
      <c r="H9" s="32">
        <f>Llyswen!H31</f>
        <v>1.5980000000000001</v>
      </c>
      <c r="I9" s="32">
        <f>Llyswen!I31</f>
        <v>0.25840000000000002</v>
      </c>
      <c r="J9" s="32">
        <f>Llyswen!J31</f>
        <v>7.4800000000000005E-3</v>
      </c>
      <c r="K9" s="32">
        <f>Llyswen!K31</f>
        <v>5.1000000000000004E-3</v>
      </c>
      <c r="L9" s="32">
        <f>Llyswen!L31</f>
        <v>0.10200000000000001</v>
      </c>
      <c r="M9" s="32">
        <f>Llyswen!M31</f>
        <v>4.1055000000000008E-2</v>
      </c>
      <c r="N9" s="32">
        <f>Llyswen!N31</f>
        <v>28.305000000000003</v>
      </c>
      <c r="O9" s="32">
        <f>Llyswen!O31</f>
        <v>3672</v>
      </c>
      <c r="P9" s="32">
        <f>Llyswen!P31</f>
        <v>0</v>
      </c>
      <c r="Q9" s="32">
        <f>Llyswen!Q31</f>
        <v>147.05000000000001</v>
      </c>
      <c r="R9" s="32">
        <f>Llyswen!R31</f>
        <v>0</v>
      </c>
      <c r="S9" s="32">
        <f>Llyswen!S31</f>
        <v>0.2975000000000001</v>
      </c>
      <c r="T9" s="32">
        <f>Llyswen!T31</f>
        <v>0</v>
      </c>
      <c r="U9" s="32">
        <f>Llyswen!U31</f>
        <v>0</v>
      </c>
    </row>
    <row r="10" spans="1:21" x14ac:dyDescent="0.25">
      <c r="A10" s="35">
        <v>8</v>
      </c>
      <c r="B10" s="32">
        <f>Pontsticill!B31</f>
        <v>250</v>
      </c>
      <c r="C10" s="32">
        <f>Pontsticill!C31</f>
        <v>172.8</v>
      </c>
      <c r="D10" s="32">
        <f>Pontsticill!D31</f>
        <v>24.412896</v>
      </c>
      <c r="E10" s="32">
        <f>Pontsticill!E31</f>
        <v>5.4176800000000007</v>
      </c>
      <c r="F10" s="32">
        <f>Pontsticill!F31</f>
        <v>24.167007999999999</v>
      </c>
      <c r="G10" s="32">
        <f>Pontsticill!G31</f>
        <v>0.35039999999999999</v>
      </c>
      <c r="H10" s="32">
        <f>Pontsticill!H31</f>
        <v>0.74399999999999999</v>
      </c>
      <c r="I10" s="32">
        <f>Pontsticill!I31</f>
        <v>9.920000000000001E-2</v>
      </c>
      <c r="J10" s="32">
        <f>Pontsticill!J31</f>
        <v>1.008E-2</v>
      </c>
      <c r="K10" s="32">
        <f>Pontsticill!K31</f>
        <v>5.1200000000000004E-3</v>
      </c>
      <c r="L10" s="32">
        <f>Pontsticill!L31</f>
        <v>0.13919999999999999</v>
      </c>
      <c r="M10" s="32">
        <f>Pontsticill!M31</f>
        <v>7.3599999999999999E-2</v>
      </c>
      <c r="N10" s="32">
        <f>Pontsticill!N31</f>
        <v>1904.0000000000002</v>
      </c>
      <c r="O10" s="32">
        <f>Pontsticill!O31</f>
        <v>81.12</v>
      </c>
      <c r="P10" s="32">
        <f>Pontsticill!P31</f>
        <v>0</v>
      </c>
      <c r="Q10" s="32">
        <f>Pontsticill!Q31</f>
        <v>235.2</v>
      </c>
      <c r="R10" s="32">
        <f>Pontsticill!R31</f>
        <v>0</v>
      </c>
      <c r="S10" s="32">
        <f>Pontsticill!S31</f>
        <v>0.66400000000000015</v>
      </c>
      <c r="T10" s="32">
        <f>Pontsticill!T31</f>
        <v>0</v>
      </c>
      <c r="U10" s="32">
        <f>Pontsticill!U31</f>
        <v>0</v>
      </c>
    </row>
    <row r="11" spans="1:21" x14ac:dyDescent="0.25">
      <c r="A11" s="35">
        <v>9</v>
      </c>
      <c r="B11" s="32">
        <f>Talybont!B31</f>
        <v>250</v>
      </c>
      <c r="C11" s="32">
        <f>Talybont!C31</f>
        <v>87.534999999999982</v>
      </c>
      <c r="D11" s="32">
        <f>Talybont!D31</f>
        <v>31.560815999999999</v>
      </c>
      <c r="E11" s="32">
        <f>Talybont!E31</f>
        <v>7.0377422500000009</v>
      </c>
      <c r="F11" s="32">
        <f>Talybont!F31</f>
        <v>9.9808698499999977</v>
      </c>
      <c r="G11" s="32">
        <f>Talybont!G31</f>
        <v>0.19516</v>
      </c>
      <c r="H11" s="32">
        <f>Talybont!H31</f>
        <v>0.39606000000000008</v>
      </c>
      <c r="I11" s="32">
        <f>Talybont!I31</f>
        <v>3.2789749999999999E-2</v>
      </c>
      <c r="J11" s="32">
        <f>Talybont!J31</f>
        <v>3.7310000000000004E-3</v>
      </c>
      <c r="K11" s="32">
        <f>Talybont!K31</f>
        <v>5.0942500000000007E-3</v>
      </c>
      <c r="L11" s="32">
        <f>Talybont!L31</f>
        <v>3.65925E-2</v>
      </c>
      <c r="M11" s="32">
        <f>Talybont!M31</f>
        <v>5.1588249999999995E-2</v>
      </c>
      <c r="N11" s="32">
        <f>Talybont!N31</f>
        <v>1248.45</v>
      </c>
      <c r="O11" s="32">
        <f>Talybont!O31</f>
        <v>53.669000000000004</v>
      </c>
      <c r="P11" s="32">
        <f>Talybont!P31</f>
        <v>0</v>
      </c>
      <c r="Q11" s="32">
        <f>Talybont!Q31</f>
        <v>131.66125</v>
      </c>
      <c r="R11" s="32">
        <f>Talybont!R31</f>
        <v>0</v>
      </c>
      <c r="S11" s="32">
        <f>Talybont!S31</f>
        <v>0.43408750000000002</v>
      </c>
      <c r="T11" s="32">
        <f>Talybont!T31</f>
        <v>0</v>
      </c>
      <c r="U11" s="32">
        <f>Talybont!U31</f>
        <v>0</v>
      </c>
    </row>
    <row r="12" spans="1:21" x14ac:dyDescent="0.25">
      <c r="A12" s="35">
        <v>10</v>
      </c>
      <c r="B12" s="32">
        <f>Whitebourne!B31</f>
        <v>133</v>
      </c>
      <c r="C12" s="32">
        <f>Whitebourne!C31</f>
        <v>50.313900000000004</v>
      </c>
      <c r="D12" s="32">
        <f>Whitebourne!D31</f>
        <v>75.013612757999994</v>
      </c>
      <c r="E12" s="32">
        <f>Whitebourne!E31</f>
        <v>5.3912504940000003</v>
      </c>
      <c r="F12" s="32">
        <f>Whitebourne!F31</f>
        <v>28.747969152</v>
      </c>
      <c r="G12" s="32">
        <f>Whitebourne!G31</f>
        <v>7.2529421999999996E-2</v>
      </c>
      <c r="H12" s="32">
        <f>Whitebourne!H31</f>
        <v>0.95983439999999998</v>
      </c>
      <c r="I12" s="32">
        <f>Whitebourne!I31</f>
        <v>0.28408002000000004</v>
      </c>
      <c r="J12" s="32">
        <f>Whitebourne!J31</f>
        <v>1.2384960000000002E-3</v>
      </c>
      <c r="K12" s="32">
        <f>Whitebourne!K31</f>
        <v>2.7092100000000001E-3</v>
      </c>
      <c r="L12" s="32">
        <f>Whitebourne!L31</f>
        <v>0.13468643999999999</v>
      </c>
      <c r="M12" s="32">
        <f>Whitebourne!M31</f>
        <v>0.16951913999999998</v>
      </c>
      <c r="N12" s="32">
        <f>Whitebourne!N31</f>
        <v>24.924732000000002</v>
      </c>
      <c r="O12" s="32">
        <f>Whitebourne!O31</f>
        <v>3011.0934000000002</v>
      </c>
      <c r="P12" s="32">
        <f>Whitebourne!P31</f>
        <v>0</v>
      </c>
      <c r="Q12" s="32">
        <f>Whitebourne!Q31</f>
        <v>34.639184999999998</v>
      </c>
      <c r="R12" s="32">
        <f>Whitebourne!R31</f>
        <v>0</v>
      </c>
      <c r="S12" s="32">
        <f>Whitebourne!S31</f>
        <v>0.17725974</v>
      </c>
      <c r="T12" s="32">
        <f>Whitebourne!T31</f>
        <v>0</v>
      </c>
      <c r="U12" s="32">
        <f>Whitebourne!U31</f>
        <v>0</v>
      </c>
    </row>
    <row r="13" spans="1:21" s="81" customFormat="1" ht="15.5" x14ac:dyDescent="0.35">
      <c r="A13" s="79" t="s">
        <v>85</v>
      </c>
      <c r="B13" s="80">
        <f>SUM(B3:B12)</f>
        <v>2383</v>
      </c>
      <c r="C13" s="80">
        <f t="shared" ref="C13:U13" si="0">SUM(C3:C12)</f>
        <v>847.26790000000005</v>
      </c>
      <c r="D13" s="80">
        <f t="shared" si="0"/>
        <v>242.85616745799999</v>
      </c>
      <c r="E13" s="80">
        <f t="shared" si="0"/>
        <v>53.775675744000011</v>
      </c>
      <c r="F13" s="80">
        <f t="shared" si="0"/>
        <v>148.73871410199999</v>
      </c>
      <c r="G13" s="80">
        <f t="shared" si="0"/>
        <v>1.849044422</v>
      </c>
      <c r="H13" s="80">
        <f t="shared" si="0"/>
        <v>10.347209400000001</v>
      </c>
      <c r="I13" s="80">
        <f t="shared" si="0"/>
        <v>2.4107172700000006</v>
      </c>
      <c r="J13" s="80">
        <f t="shared" si="0"/>
        <v>5.2887996E-2</v>
      </c>
      <c r="K13" s="80">
        <f t="shared" si="0"/>
        <v>4.8256960000000002E-2</v>
      </c>
      <c r="L13" s="80">
        <f t="shared" si="0"/>
        <v>1.5722514400000001</v>
      </c>
      <c r="M13" s="80">
        <f t="shared" si="0"/>
        <v>0.98946239000000002</v>
      </c>
      <c r="N13" s="80">
        <f t="shared" si="0"/>
        <v>4084.1279820000004</v>
      </c>
      <c r="O13" s="80">
        <f t="shared" si="0"/>
        <v>16262.046810000002</v>
      </c>
      <c r="P13" s="80">
        <f t="shared" si="0"/>
        <v>0</v>
      </c>
      <c r="Q13" s="80">
        <f t="shared" si="0"/>
        <v>926.64668500000005</v>
      </c>
      <c r="R13" s="80">
        <f t="shared" si="0"/>
        <v>0</v>
      </c>
      <c r="S13" s="80">
        <f t="shared" si="0"/>
        <v>3.0160922399999999</v>
      </c>
      <c r="T13" s="80">
        <f t="shared" si="0"/>
        <v>0</v>
      </c>
      <c r="U13" s="80">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8"/>
    <col min="3" max="3" width="11" style="78" customWidth="1"/>
    <col min="4" max="4" width="9.1796875" style="78"/>
    <col min="5" max="5" width="9.7265625" style="78" customWidth="1"/>
    <col min="6" max="14" width="9.1796875" style="78"/>
    <col min="15" max="15" width="9.7265625" style="78" bestFit="1" customWidth="1"/>
    <col min="16" max="20" width="9.1796875" style="78"/>
    <col min="21" max="21" width="10" style="78" bestFit="1" customWidth="1"/>
    <col min="22" max="16384" width="9.1796875" style="78"/>
  </cols>
  <sheetData>
    <row r="1" spans="1:22" s="82" customFormat="1" ht="37.5" x14ac:dyDescent="0.35">
      <c r="A1" s="146" t="s">
        <v>84</v>
      </c>
      <c r="B1" s="33" t="s">
        <v>152</v>
      </c>
      <c r="C1" s="34" t="str">
        <f>Bryngwyn!B29</f>
        <v>Application Rate</v>
      </c>
      <c r="D1" s="34" t="str">
        <f>Bryngwyn!C29</f>
        <v>Nitrogen Addition</v>
      </c>
      <c r="E1" s="34" t="str">
        <f>Bryngwyn!D29</f>
        <v>Phosphate Addition</v>
      </c>
      <c r="F1" s="34" t="str">
        <f>Bryngwyn!E29</f>
        <v>Potash  Addition</v>
      </c>
      <c r="G1" s="34" t="str">
        <f>Bryngwyn!F29</f>
        <v>Mg Oxide Addition</v>
      </c>
      <c r="H1" s="34" t="str">
        <f>Bryngwyn!G29</f>
        <v>Copper Addition</v>
      </c>
      <c r="I1" s="34" t="str">
        <f>Bryngwyn!H29</f>
        <v>Zinc Addition</v>
      </c>
      <c r="J1" s="34" t="str">
        <f>Bryngwyn!I29</f>
        <v>Lead Addition</v>
      </c>
      <c r="K1" s="34" t="str">
        <f>Bryngwyn!J29</f>
        <v>Cadmium Addition</v>
      </c>
      <c r="L1" s="34" t="str">
        <f>Bryngwyn!K29</f>
        <v>Mercury Addition</v>
      </c>
      <c r="M1" s="34" t="str">
        <f>Bryngwyn!L29</f>
        <v>Nickel Addition</v>
      </c>
      <c r="N1" s="34" t="str">
        <f>Bryngwyn!M29</f>
        <v>Chromium Addition</v>
      </c>
      <c r="O1" s="34" t="str">
        <f>Bryngwyn!N29</f>
        <v>Aluminium Addition</v>
      </c>
      <c r="P1" s="34" t="str">
        <f>Bryngwyn!O29</f>
        <v>Iron Addition</v>
      </c>
      <c r="Q1" s="34" t="str">
        <f>Bryngwyn!P29</f>
        <v xml:space="preserve">Sodium Addition                 </v>
      </c>
      <c r="R1" s="34" t="str">
        <f>Bryngwyn!Q29</f>
        <v>SO3  Addition                             kg/ha</v>
      </c>
      <c r="S1" s="34" t="str">
        <f>Bryngwyn!R29</f>
        <v xml:space="preserve">Selenium Addition </v>
      </c>
      <c r="T1" s="34" t="str">
        <f>Bryngwyn!S29</f>
        <v xml:space="preserve">Arsenic  Addition  </v>
      </c>
      <c r="U1" s="34" t="str">
        <f>Bryngwyn!T29</f>
        <v xml:space="preserve">Molybdenum Addition  </v>
      </c>
      <c r="V1" s="34" t="str">
        <f>Bryngwyn!U29</f>
        <v xml:space="preserve">Fluoride Addition </v>
      </c>
    </row>
    <row r="2" spans="1:22" s="82" customFormat="1" ht="25" x14ac:dyDescent="0.35">
      <c r="A2" s="146"/>
      <c r="B2" s="31" t="s">
        <v>46</v>
      </c>
      <c r="C2" s="34" t="str">
        <f>Bryngwyn!B30</f>
        <v>tonnes/ha</v>
      </c>
      <c r="D2" s="34" t="str">
        <f>Bryngwyn!C30</f>
        <v>kg/ha</v>
      </c>
      <c r="E2" s="34" t="str">
        <f>Bryngwyn!D30</f>
        <v>P2O5 
kg/ha</v>
      </c>
      <c r="F2" s="34" t="str">
        <f>Bryngwyn!E30</f>
        <v>K2O 
kg/ha</v>
      </c>
      <c r="G2" s="34" t="str">
        <f>Bryngwyn!F30</f>
        <v>MgO 
kg/ha</v>
      </c>
      <c r="H2" s="34" t="str">
        <f>Bryngwyn!G30</f>
        <v>kg/ha</v>
      </c>
      <c r="I2" s="34" t="str">
        <f>Bryngwyn!H30</f>
        <v>kg/ha</v>
      </c>
      <c r="J2" s="34" t="str">
        <f>Bryngwyn!I30</f>
        <v>kg/ha</v>
      </c>
      <c r="K2" s="34" t="str">
        <f>Bryngwyn!J30</f>
        <v>kg/ha</v>
      </c>
      <c r="L2" s="34" t="str">
        <f>Bryngwyn!K30</f>
        <v>kg/ha</v>
      </c>
      <c r="M2" s="34" t="str">
        <f>Bryngwyn!L30</f>
        <v>kg/ha</v>
      </c>
      <c r="N2" s="34" t="str">
        <f>Bryngwyn!M30</f>
        <v>kg/ha</v>
      </c>
      <c r="O2" s="34" t="str">
        <f>Bryngwyn!N30</f>
        <v>kg/ha</v>
      </c>
      <c r="P2" s="34" t="str">
        <f>Bryngwyn!O30</f>
        <v>kg/ha</v>
      </c>
      <c r="Q2" s="34" t="str">
        <f>Bryngwyn!P30</f>
        <v>kg/ha</v>
      </c>
      <c r="R2" s="34" t="str">
        <f>Bryngwyn!Q30</f>
        <v>kg/ha</v>
      </c>
      <c r="S2" s="34" t="str">
        <f>Bryngwyn!R30</f>
        <v>kg/ha</v>
      </c>
      <c r="T2" s="34" t="str">
        <f>Bryngwyn!S30</f>
        <v>kg/ha</v>
      </c>
      <c r="U2" s="34" t="str">
        <f>Bryngwyn!T30</f>
        <v>kg/ha</v>
      </c>
      <c r="V2" s="34" t="str">
        <f>Bryngwyn!U30</f>
        <v>kg/ha</v>
      </c>
    </row>
    <row r="3" spans="1:22" x14ac:dyDescent="0.25">
      <c r="A3" s="35">
        <v>1</v>
      </c>
      <c r="B3" s="90"/>
      <c r="C3" s="32">
        <f>Bryngwyn!B31</f>
        <v>250</v>
      </c>
      <c r="D3" s="32">
        <f>Bryngwyn!C31</f>
        <v>47.699999999999996</v>
      </c>
      <c r="E3" s="32">
        <f>Bryngwyn!D31</f>
        <v>16.392105000000001</v>
      </c>
      <c r="F3" s="32">
        <f>Bryngwyn!E31</f>
        <v>0.69453187500000002</v>
      </c>
      <c r="G3" s="32">
        <f>Bryngwyn!F31</f>
        <v>5.5909832499999998</v>
      </c>
      <c r="H3" s="32">
        <f>Bryngwyn!G31</f>
        <v>5.1674999999999999E-2</v>
      </c>
      <c r="I3" s="32">
        <f>Bryngwyn!H31</f>
        <v>0.86125000000000007</v>
      </c>
      <c r="J3" s="32">
        <f>Bryngwyn!I31</f>
        <v>8.2812499999999997E-2</v>
      </c>
      <c r="K3" s="32">
        <f>Bryngwyn!J31</f>
        <v>4.7037499999999996E-3</v>
      </c>
      <c r="L3" s="32">
        <f>Bryngwyn!K31</f>
        <v>5.0350000000000004E-3</v>
      </c>
      <c r="M3" s="32">
        <f>Bryngwyn!L31</f>
        <v>0.109975</v>
      </c>
      <c r="N3" s="32">
        <f>Bryngwyn!M31</f>
        <v>7.3537500000000006E-2</v>
      </c>
      <c r="O3" s="32">
        <f>Bryngwyn!N31</f>
        <v>14.508749999999999</v>
      </c>
      <c r="P3" s="32">
        <f>Bryngwyn!O31</f>
        <v>2901.75</v>
      </c>
      <c r="Q3" s="32">
        <f>Bryngwyn!P31</f>
        <v>0</v>
      </c>
      <c r="R3" s="32">
        <f>Bryngwyn!Q31</f>
        <v>45.878124999999997</v>
      </c>
      <c r="S3" s="32">
        <f>Bryngwyn!R31</f>
        <v>0</v>
      </c>
      <c r="T3" s="32">
        <f>Bryngwyn!S31</f>
        <v>9.5399999999999999E-2</v>
      </c>
      <c r="U3" s="32">
        <f>Bryngwyn!T31</f>
        <v>0</v>
      </c>
      <c r="V3" s="32">
        <f>Bryngwyn!U31</f>
        <v>0</v>
      </c>
    </row>
    <row r="4" spans="1:22" x14ac:dyDescent="0.25">
      <c r="A4" s="35">
        <v>2</v>
      </c>
      <c r="B4" s="90"/>
      <c r="C4" s="32">
        <f>'Capel Dewi'!B31</f>
        <v>250</v>
      </c>
      <c r="D4" s="32">
        <f>'Capel Dewi'!C31</f>
        <v>87.69</v>
      </c>
      <c r="E4" s="32">
        <f>'Capel Dewi'!D31</f>
        <v>12.524324250000003</v>
      </c>
      <c r="F4" s="32">
        <f>'Capel Dewi'!E31</f>
        <v>0.92959725000000004</v>
      </c>
      <c r="G4" s="32">
        <f>'Capel Dewi'!F31</f>
        <v>4.7297766000000001</v>
      </c>
      <c r="H4" s="32">
        <f>'Capel Dewi'!G31</f>
        <v>4.3290000000000002E-2</v>
      </c>
      <c r="I4" s="32">
        <f>'Capel Dewi'!H31</f>
        <v>6.8264999999999992E-2</v>
      </c>
      <c r="J4" s="32">
        <f>'Capel Dewi'!I31</f>
        <v>3.4410000000000003E-2</v>
      </c>
      <c r="K4" s="32">
        <f>'Capel Dewi'!J31</f>
        <v>1.9425E-3</v>
      </c>
      <c r="L4" s="32">
        <f>'Capel Dewi'!K31</f>
        <v>5.0505000000000003E-3</v>
      </c>
      <c r="M4" s="32">
        <f>'Capel Dewi'!L31</f>
        <v>4.3290000000000002E-2</v>
      </c>
      <c r="N4" s="32">
        <f>'Capel Dewi'!M31</f>
        <v>2.3865000000000004E-2</v>
      </c>
      <c r="O4" s="32">
        <f>'Capel Dewi'!N31</f>
        <v>11.988000000000001</v>
      </c>
      <c r="P4" s="32">
        <f>'Capel Dewi'!O31</f>
        <v>3.4410000000000003E-2</v>
      </c>
      <c r="Q4" s="32">
        <f>'Capel Dewi'!P31</f>
        <v>0</v>
      </c>
      <c r="R4" s="32">
        <f>'Capel Dewi'!Q31</f>
        <v>30.38625</v>
      </c>
      <c r="S4" s="32">
        <f>'Capel Dewi'!R31</f>
        <v>0</v>
      </c>
      <c r="T4" s="32">
        <f>'Capel Dewi'!S31</f>
        <v>0.37462500000000004</v>
      </c>
      <c r="U4" s="32">
        <f>'Capel Dewi'!T31</f>
        <v>0</v>
      </c>
      <c r="V4" s="32">
        <f>'Capel Dewi'!U31</f>
        <v>0</v>
      </c>
    </row>
    <row r="5" spans="1:22" x14ac:dyDescent="0.25">
      <c r="A5" s="35">
        <v>3</v>
      </c>
      <c r="B5" s="90"/>
      <c r="C5" s="32">
        <f>'Cefn Dryscoed'!B31</f>
        <v>250</v>
      </c>
      <c r="D5" s="32">
        <f>'Cefn Dryscoed'!C31</f>
        <v>58.289999999999985</v>
      </c>
      <c r="E5" s="32">
        <f>'Cefn Dryscoed'!D31</f>
        <v>21.758199749999999</v>
      </c>
      <c r="F5" s="32">
        <f>'Cefn Dryscoed'!E31</f>
        <v>1.3018518749999997</v>
      </c>
      <c r="G5" s="32">
        <f>'Cefn Dryscoed'!F31</f>
        <v>3.3742372499999989</v>
      </c>
      <c r="H5" s="32">
        <f>'Cefn Dryscoed'!G31</f>
        <v>3.9194999999999994E-2</v>
      </c>
      <c r="I5" s="32">
        <f>'Cefn Dryscoed'!H31</f>
        <v>0.35174999999999995</v>
      </c>
      <c r="J5" s="32">
        <f>'Cefn Dryscoed'!I31</f>
        <v>3.1154999999999995E-2</v>
      </c>
      <c r="K5" s="32">
        <f>'Cefn Dryscoed'!J31</f>
        <v>5.5274999999999996E-4</v>
      </c>
      <c r="L5" s="32">
        <f>'Cefn Dryscoed'!K31</f>
        <v>5.0249999999999991E-3</v>
      </c>
      <c r="M5" s="32">
        <f>'Cefn Dryscoed'!L31</f>
        <v>2.5627499999999991E-2</v>
      </c>
      <c r="N5" s="32">
        <f>'Cefn Dryscoed'!M31</f>
        <v>2.1607499999999995E-2</v>
      </c>
      <c r="O5" s="32">
        <f>'Cefn Dryscoed'!N31</f>
        <v>738.67499999999984</v>
      </c>
      <c r="P5" s="32">
        <f>'Cefn Dryscoed'!O31</f>
        <v>75.374999999999986</v>
      </c>
      <c r="Q5" s="32">
        <f>'Cefn Dryscoed'!P31</f>
        <v>0</v>
      </c>
      <c r="R5" s="32">
        <f>'Cefn Dryscoed'!Q31</f>
        <v>109.16812499999997</v>
      </c>
      <c r="S5" s="32">
        <f>'Cefn Dryscoed'!R31</f>
        <v>0</v>
      </c>
      <c r="T5" s="32">
        <f>'Cefn Dryscoed'!S31</f>
        <v>0.10351499999999998</v>
      </c>
      <c r="U5" s="32">
        <f>'Cefn Dryscoed'!T31</f>
        <v>0</v>
      </c>
      <c r="V5" s="32">
        <f>'Cefn Dryscoed'!U31</f>
        <v>0</v>
      </c>
    </row>
    <row r="6" spans="1:22" x14ac:dyDescent="0.25">
      <c r="A6" s="35">
        <v>4</v>
      </c>
      <c r="B6" s="90"/>
      <c r="C6" s="32">
        <f>Crai!B31</f>
        <v>250</v>
      </c>
      <c r="D6" s="32">
        <f>Crai!C31</f>
        <v>60.434000000000005</v>
      </c>
      <c r="E6" s="32">
        <f>Crai!D31</f>
        <v>14.4440677</v>
      </c>
      <c r="F6" s="32">
        <f>Crai!E31</f>
        <v>0.70239450000000003</v>
      </c>
      <c r="G6" s="32">
        <f>Crai!F31</f>
        <v>4.8877839999999999</v>
      </c>
      <c r="H6" s="32">
        <f>Crai!G31</f>
        <v>0.13467000000000004</v>
      </c>
      <c r="I6" s="32">
        <f>Crai!H31</f>
        <v>0.76380000000000003</v>
      </c>
      <c r="J6" s="32">
        <f>Crai!I31</f>
        <v>0.11256000000000002</v>
      </c>
      <c r="K6" s="32">
        <f>Crai!J31</f>
        <v>6.365E-3</v>
      </c>
      <c r="L6" s="32">
        <f>Crai!K31</f>
        <v>5.025E-3</v>
      </c>
      <c r="M6" s="32">
        <f>Crai!L31</f>
        <v>9.3800000000000008E-2</v>
      </c>
      <c r="N6" s="32">
        <f>Crai!M31</f>
        <v>7.9060000000000019E-2</v>
      </c>
      <c r="O6" s="32">
        <f>Crai!N31</f>
        <v>19.765000000000001</v>
      </c>
      <c r="P6" s="32">
        <f>Crai!O31</f>
        <v>2834.1000000000004</v>
      </c>
      <c r="Q6" s="32">
        <f>Crai!P31</f>
        <v>0</v>
      </c>
      <c r="R6" s="32">
        <f>Crai!Q31</f>
        <v>58.625000000000007</v>
      </c>
      <c r="S6" s="32">
        <f>Crai!R31</f>
        <v>0</v>
      </c>
      <c r="T6" s="32">
        <f>Crai!S31</f>
        <v>0.29547000000000001</v>
      </c>
      <c r="U6" s="32">
        <f>Crai!T31</f>
        <v>0</v>
      </c>
      <c r="V6" s="32">
        <f>Crai!U31</f>
        <v>0</v>
      </c>
    </row>
    <row r="7" spans="1:22" x14ac:dyDescent="0.25">
      <c r="A7" s="35">
        <v>5</v>
      </c>
      <c r="B7" s="90"/>
      <c r="C7" s="32">
        <f>Elan!B31</f>
        <v>250</v>
      </c>
      <c r="D7" s="32">
        <f>Elan!C31</f>
        <v>28.8</v>
      </c>
      <c r="E7" s="32">
        <f>Elan!D31</f>
        <v>3.6701820000000001</v>
      </c>
      <c r="F7" s="32">
        <f>Elan!E31</f>
        <v>1.5616800000000004</v>
      </c>
      <c r="G7" s="32">
        <f>Elan!F31</f>
        <v>5.2127520000000001</v>
      </c>
      <c r="H7" s="32">
        <f>Elan!G31</f>
        <v>0.19860000000000003</v>
      </c>
      <c r="I7" s="32">
        <f>Elan!H31</f>
        <v>2.2860000000000005</v>
      </c>
      <c r="J7" s="32">
        <f>Elan!I31</f>
        <v>1.1634000000000002</v>
      </c>
      <c r="K7" s="32">
        <f>Elan!J31</f>
        <v>1.2720000000000002E-2</v>
      </c>
      <c r="L7" s="32">
        <f>Elan!K31</f>
        <v>5.0400000000000002E-3</v>
      </c>
      <c r="M7" s="32">
        <f>Elan!L31</f>
        <v>0.52739999999999998</v>
      </c>
      <c r="N7" s="32">
        <f>Elan!M31</f>
        <v>0.16620000000000001</v>
      </c>
      <c r="O7" s="32">
        <f>Elan!N31</f>
        <v>34.08</v>
      </c>
      <c r="P7" s="32">
        <f>Elan!O31</f>
        <v>3210</v>
      </c>
      <c r="Q7" s="32">
        <f>Elan!P31</f>
        <v>0</v>
      </c>
      <c r="R7" s="32">
        <f>Elan!Q31</f>
        <v>38.849999999999994</v>
      </c>
      <c r="S7" s="32">
        <f>Elan!R31</f>
        <v>0</v>
      </c>
      <c r="T7" s="32">
        <f>Elan!S31</f>
        <v>0.33960000000000001</v>
      </c>
      <c r="U7" s="32">
        <f>Elan!T31</f>
        <v>0</v>
      </c>
      <c r="V7" s="32">
        <f>Elan!U31</f>
        <v>0</v>
      </c>
    </row>
    <row r="8" spans="1:22" x14ac:dyDescent="0.25">
      <c r="A8" s="35">
        <v>6</v>
      </c>
      <c r="B8" s="90"/>
      <c r="C8" s="32">
        <f>Hirwaun!B31</f>
        <v>250</v>
      </c>
      <c r="D8" s="32">
        <f>Hirwaun!C31</f>
        <v>155.95500000000001</v>
      </c>
      <c r="E8" s="32">
        <f>Hirwaun!D31</f>
        <v>35.407405000000004</v>
      </c>
      <c r="F8" s="32">
        <f>Hirwaun!E31</f>
        <v>26.580492500000005</v>
      </c>
      <c r="G8" s="32">
        <f>Hirwaun!F31</f>
        <v>53.112372000000008</v>
      </c>
      <c r="H8" s="32">
        <f>Hirwaun!G31</f>
        <v>0.48472500000000002</v>
      </c>
      <c r="I8" s="32">
        <f>Hirwaun!H31</f>
        <v>2.3182499999999999</v>
      </c>
      <c r="J8" s="32">
        <f>Hirwaun!I31</f>
        <v>0.31190999999999997</v>
      </c>
      <c r="K8" s="32">
        <f>Hirwaun!J31</f>
        <v>4.0745E-3</v>
      </c>
      <c r="L8" s="32">
        <f>Hirwaun!K31</f>
        <v>5.058E-3</v>
      </c>
      <c r="M8" s="32">
        <f>Hirwaun!L31</f>
        <v>0.35968</v>
      </c>
      <c r="N8" s="32">
        <f>Hirwaun!M31</f>
        <v>0.28943000000000002</v>
      </c>
      <c r="O8" s="32">
        <f>Hirwaun!N31</f>
        <v>59.431500000000007</v>
      </c>
      <c r="P8" s="32">
        <f>Hirwaun!O31</f>
        <v>422.90500000000003</v>
      </c>
      <c r="Q8" s="32">
        <f>Hirwaun!P31</f>
        <v>0</v>
      </c>
      <c r="R8" s="32">
        <f>Hirwaun!Q31</f>
        <v>95.188749999999999</v>
      </c>
      <c r="S8" s="32">
        <f>Hirwaun!R31</f>
        <v>0</v>
      </c>
      <c r="T8" s="32">
        <f>Hirwaun!S31</f>
        <v>0.23463499999999998</v>
      </c>
      <c r="U8" s="32">
        <f>Hirwaun!T31</f>
        <v>0</v>
      </c>
      <c r="V8" s="32">
        <f>Hirwaun!U31</f>
        <v>0</v>
      </c>
    </row>
    <row r="9" spans="1:22" x14ac:dyDescent="0.25">
      <c r="A9" s="35">
        <v>7</v>
      </c>
      <c r="B9" s="90"/>
      <c r="C9" s="32">
        <f>Llyswen!B31</f>
        <v>250</v>
      </c>
      <c r="D9" s="32">
        <f>Llyswen!C31</f>
        <v>97.75</v>
      </c>
      <c r="E9" s="32">
        <f>Llyswen!D31</f>
        <v>7.6725590000000006</v>
      </c>
      <c r="F9" s="32">
        <f>Llyswen!E31</f>
        <v>4.158455</v>
      </c>
      <c r="G9" s="32">
        <f>Llyswen!F31</f>
        <v>8.9349620000000005</v>
      </c>
      <c r="H9" s="32">
        <f>Llyswen!G31</f>
        <v>0.27879999999999999</v>
      </c>
      <c r="I9" s="32">
        <f>Llyswen!H31</f>
        <v>1.5980000000000001</v>
      </c>
      <c r="J9" s="32">
        <f>Llyswen!I31</f>
        <v>0.25840000000000002</v>
      </c>
      <c r="K9" s="32">
        <f>Llyswen!J31</f>
        <v>7.4800000000000005E-3</v>
      </c>
      <c r="L9" s="32">
        <f>Llyswen!K31</f>
        <v>5.1000000000000004E-3</v>
      </c>
      <c r="M9" s="32">
        <f>Llyswen!L31</f>
        <v>0.10200000000000001</v>
      </c>
      <c r="N9" s="32">
        <f>Llyswen!M31</f>
        <v>4.1055000000000008E-2</v>
      </c>
      <c r="O9" s="32">
        <f>Llyswen!N31</f>
        <v>28.305000000000003</v>
      </c>
      <c r="P9" s="32">
        <f>Llyswen!O31</f>
        <v>3672</v>
      </c>
      <c r="Q9" s="32">
        <f>Llyswen!P31</f>
        <v>0</v>
      </c>
      <c r="R9" s="32">
        <f>Llyswen!Q31</f>
        <v>147.05000000000001</v>
      </c>
      <c r="S9" s="32">
        <f>Llyswen!R31</f>
        <v>0</v>
      </c>
      <c r="T9" s="32">
        <f>Llyswen!S31</f>
        <v>0.2975000000000001</v>
      </c>
      <c r="U9" s="32">
        <f>Llyswen!T31</f>
        <v>0</v>
      </c>
      <c r="V9" s="32">
        <f>Llyswen!U31</f>
        <v>0</v>
      </c>
    </row>
    <row r="10" spans="1:22" x14ac:dyDescent="0.25">
      <c r="A10" s="35">
        <v>8</v>
      </c>
      <c r="B10" s="90"/>
      <c r="C10" s="32">
        <f>Pontsticill!B31</f>
        <v>250</v>
      </c>
      <c r="D10" s="32">
        <f>Pontsticill!C31</f>
        <v>172.8</v>
      </c>
      <c r="E10" s="32">
        <f>Pontsticill!D31</f>
        <v>24.412896</v>
      </c>
      <c r="F10" s="32">
        <f>Pontsticill!E31</f>
        <v>5.4176800000000007</v>
      </c>
      <c r="G10" s="32">
        <f>Pontsticill!F31</f>
        <v>24.167007999999999</v>
      </c>
      <c r="H10" s="32">
        <f>Pontsticill!G31</f>
        <v>0.35039999999999999</v>
      </c>
      <c r="I10" s="32">
        <f>Pontsticill!H31</f>
        <v>0.74399999999999999</v>
      </c>
      <c r="J10" s="32">
        <f>Pontsticill!I31</f>
        <v>9.920000000000001E-2</v>
      </c>
      <c r="K10" s="32">
        <f>Pontsticill!J31</f>
        <v>1.008E-2</v>
      </c>
      <c r="L10" s="32">
        <f>Pontsticill!K31</f>
        <v>5.1200000000000004E-3</v>
      </c>
      <c r="M10" s="32">
        <f>Pontsticill!L31</f>
        <v>0.13919999999999999</v>
      </c>
      <c r="N10" s="32">
        <f>Pontsticill!M31</f>
        <v>7.3599999999999999E-2</v>
      </c>
      <c r="O10" s="32">
        <f>Pontsticill!N31</f>
        <v>1904.0000000000002</v>
      </c>
      <c r="P10" s="32">
        <f>Pontsticill!O31</f>
        <v>81.12</v>
      </c>
      <c r="Q10" s="32">
        <f>Pontsticill!P31</f>
        <v>0</v>
      </c>
      <c r="R10" s="32">
        <f>Pontsticill!Q31</f>
        <v>235.2</v>
      </c>
      <c r="S10" s="32">
        <f>Pontsticill!R31</f>
        <v>0</v>
      </c>
      <c r="T10" s="32">
        <f>Pontsticill!S31</f>
        <v>0.66400000000000015</v>
      </c>
      <c r="U10" s="32">
        <f>Pontsticill!T31</f>
        <v>0</v>
      </c>
      <c r="V10" s="32">
        <f>Pontsticill!U31</f>
        <v>0</v>
      </c>
    </row>
    <row r="11" spans="1:22" x14ac:dyDescent="0.25">
      <c r="A11" s="35">
        <v>9</v>
      </c>
      <c r="B11" s="90"/>
      <c r="C11" s="32">
        <f>Talybont!B31</f>
        <v>250</v>
      </c>
      <c r="D11" s="32">
        <f>Talybont!C31</f>
        <v>87.534999999999982</v>
      </c>
      <c r="E11" s="32">
        <f>Talybont!D31</f>
        <v>31.560815999999999</v>
      </c>
      <c r="F11" s="32">
        <f>Talybont!E31</f>
        <v>7.0377422500000009</v>
      </c>
      <c r="G11" s="32">
        <f>Talybont!F31</f>
        <v>9.9808698499999977</v>
      </c>
      <c r="H11" s="32">
        <f>Talybont!G31</f>
        <v>0.19516</v>
      </c>
      <c r="I11" s="32">
        <f>Talybont!H31</f>
        <v>0.39606000000000008</v>
      </c>
      <c r="J11" s="32">
        <f>Talybont!I31</f>
        <v>3.2789749999999999E-2</v>
      </c>
      <c r="K11" s="32">
        <f>Talybont!J31</f>
        <v>3.7310000000000004E-3</v>
      </c>
      <c r="L11" s="32">
        <f>Talybont!K31</f>
        <v>5.0942500000000007E-3</v>
      </c>
      <c r="M11" s="32">
        <f>Talybont!L31</f>
        <v>3.65925E-2</v>
      </c>
      <c r="N11" s="32">
        <f>Talybont!M31</f>
        <v>5.1588249999999995E-2</v>
      </c>
      <c r="O11" s="32">
        <f>Talybont!N31</f>
        <v>1248.45</v>
      </c>
      <c r="P11" s="32">
        <f>Talybont!O31</f>
        <v>53.669000000000004</v>
      </c>
      <c r="Q11" s="32">
        <f>Talybont!P31</f>
        <v>0</v>
      </c>
      <c r="R11" s="32">
        <f>Talybont!Q31</f>
        <v>131.66125</v>
      </c>
      <c r="S11" s="32">
        <f>Talybont!R31</f>
        <v>0</v>
      </c>
      <c r="T11" s="32">
        <f>Talybont!S31</f>
        <v>0.43408750000000002</v>
      </c>
      <c r="U11" s="32">
        <f>Talybont!T31</f>
        <v>0</v>
      </c>
      <c r="V11" s="32">
        <f>Talybont!U31</f>
        <v>0</v>
      </c>
    </row>
    <row r="12" spans="1:22" x14ac:dyDescent="0.25">
      <c r="A12" s="35">
        <v>10</v>
      </c>
      <c r="B12" s="90"/>
      <c r="C12" s="32">
        <f>Whitebourne!B31</f>
        <v>133</v>
      </c>
      <c r="D12" s="32">
        <f>Whitebourne!C31</f>
        <v>50.313900000000004</v>
      </c>
      <c r="E12" s="32">
        <f>Whitebourne!D31</f>
        <v>75.013612757999994</v>
      </c>
      <c r="F12" s="32">
        <f>Whitebourne!E31</f>
        <v>5.3912504940000003</v>
      </c>
      <c r="G12" s="32">
        <f>Whitebourne!F31</f>
        <v>28.747969152</v>
      </c>
      <c r="H12" s="32">
        <f>Whitebourne!G31</f>
        <v>7.2529421999999996E-2</v>
      </c>
      <c r="I12" s="32">
        <f>Whitebourne!H31</f>
        <v>0.95983439999999998</v>
      </c>
      <c r="J12" s="32">
        <f>Whitebourne!I31</f>
        <v>0.28408002000000004</v>
      </c>
      <c r="K12" s="32">
        <f>Whitebourne!J31</f>
        <v>1.2384960000000002E-3</v>
      </c>
      <c r="L12" s="32">
        <f>Whitebourne!K31</f>
        <v>2.7092100000000001E-3</v>
      </c>
      <c r="M12" s="32">
        <f>Whitebourne!L31</f>
        <v>0.13468643999999999</v>
      </c>
      <c r="N12" s="32">
        <f>Whitebourne!M31</f>
        <v>0.16951913999999998</v>
      </c>
      <c r="O12" s="32">
        <f>Whitebourne!N31</f>
        <v>24.924732000000002</v>
      </c>
      <c r="P12" s="32">
        <f>Whitebourne!O31</f>
        <v>3011.0934000000002</v>
      </c>
      <c r="Q12" s="32">
        <f>Whitebourne!P31</f>
        <v>0</v>
      </c>
      <c r="R12" s="32">
        <f>Whitebourne!Q31</f>
        <v>34.639184999999998</v>
      </c>
      <c r="S12" s="32">
        <f>Whitebourne!R31</f>
        <v>0</v>
      </c>
      <c r="T12" s="32">
        <f>Whitebourne!S31</f>
        <v>0.17725974</v>
      </c>
      <c r="U12" s="32">
        <f>Whitebourne!T31</f>
        <v>0</v>
      </c>
      <c r="V12" s="32">
        <f>Whitebourne!U31</f>
        <v>0</v>
      </c>
    </row>
    <row r="13" spans="1:22" x14ac:dyDescent="0.25">
      <c r="B13" s="36"/>
      <c r="C13" s="22"/>
      <c r="D13" s="22"/>
      <c r="E13" s="22"/>
      <c r="F13" s="22"/>
      <c r="G13" s="22"/>
      <c r="H13" s="22"/>
      <c r="I13" s="22"/>
      <c r="J13" s="22"/>
      <c r="K13" s="22"/>
      <c r="L13" s="22"/>
      <c r="M13" s="22"/>
      <c r="N13" s="22"/>
      <c r="O13" s="22"/>
      <c r="P13" s="22"/>
      <c r="Q13" s="22"/>
      <c r="R13" s="22"/>
      <c r="S13" s="22"/>
      <c r="T13" s="22"/>
      <c r="U13" s="22"/>
      <c r="V13" s="22"/>
    </row>
    <row r="14" spans="1:22" x14ac:dyDescent="0.25">
      <c r="A14" s="83" t="s">
        <v>86</v>
      </c>
      <c r="C14" s="83"/>
      <c r="D14" s="83"/>
      <c r="E14" s="83"/>
      <c r="F14" s="83"/>
      <c r="G14" s="83"/>
      <c r="H14" s="83"/>
      <c r="I14" s="83"/>
      <c r="J14" s="83"/>
      <c r="K14" s="83"/>
      <c r="L14" s="83"/>
      <c r="M14" s="83"/>
      <c r="N14" s="83"/>
    </row>
    <row r="15" spans="1:22" ht="37.5" x14ac:dyDescent="0.25">
      <c r="A15" s="145" t="s">
        <v>84</v>
      </c>
      <c r="B15" s="34" t="s">
        <v>152</v>
      </c>
      <c r="C15" s="34">
        <f>Bryngwyn!B43</f>
        <v>0</v>
      </c>
      <c r="D15" s="37" t="str">
        <f t="shared" ref="D15:V15" si="0">D1</f>
        <v>Nitrogen Addition</v>
      </c>
      <c r="E15" s="37" t="str">
        <f t="shared" si="0"/>
        <v>Phosphate Addition</v>
      </c>
      <c r="F15" s="37" t="str">
        <f t="shared" si="0"/>
        <v>Potash  Addition</v>
      </c>
      <c r="G15" s="37" t="str">
        <f t="shared" si="0"/>
        <v>Mg Oxide Addition</v>
      </c>
      <c r="H15" s="37" t="str">
        <f t="shared" si="0"/>
        <v>Copper Addition</v>
      </c>
      <c r="I15" s="37" t="str">
        <f t="shared" si="0"/>
        <v>Zinc Addition</v>
      </c>
      <c r="J15" s="37" t="str">
        <f t="shared" si="0"/>
        <v>Lead Addition</v>
      </c>
      <c r="K15" s="37" t="str">
        <f t="shared" si="0"/>
        <v>Cadmium Addition</v>
      </c>
      <c r="L15" s="37" t="str">
        <f t="shared" si="0"/>
        <v>Mercury Addition</v>
      </c>
      <c r="M15" s="37" t="str">
        <f t="shared" si="0"/>
        <v>Nickel Addition</v>
      </c>
      <c r="N15" s="37" t="str">
        <f t="shared" si="0"/>
        <v>Chromium Addition</v>
      </c>
      <c r="O15" s="37" t="str">
        <f t="shared" si="0"/>
        <v>Aluminium Addition</v>
      </c>
      <c r="P15" s="37" t="str">
        <f t="shared" si="0"/>
        <v>Iron Addition</v>
      </c>
      <c r="Q15" s="37" t="str">
        <f t="shared" si="0"/>
        <v xml:space="preserve">Sodium Addition                 </v>
      </c>
      <c r="R15" s="37" t="str">
        <f t="shared" si="0"/>
        <v>SO3  Addition                             kg/ha</v>
      </c>
      <c r="S15" s="37" t="str">
        <f t="shared" si="0"/>
        <v xml:space="preserve">Selenium Addition </v>
      </c>
      <c r="T15" s="37" t="str">
        <f t="shared" si="0"/>
        <v xml:space="preserve">Arsenic  Addition  </v>
      </c>
      <c r="U15" s="37" t="str">
        <f t="shared" si="0"/>
        <v xml:space="preserve">Molybdenum Addition  </v>
      </c>
      <c r="V15" s="37" t="str">
        <f t="shared" si="0"/>
        <v xml:space="preserve">Fluoride Addition </v>
      </c>
    </row>
    <row r="16" spans="1:22" ht="25" x14ac:dyDescent="0.25">
      <c r="A16" s="145"/>
      <c r="B16" s="31" t="s">
        <v>46</v>
      </c>
      <c r="C16" s="34">
        <f>Bryngwyn!B44</f>
        <v>0</v>
      </c>
      <c r="D16" s="37" t="str">
        <f t="shared" ref="D16:V16" si="1">D2</f>
        <v>kg/ha</v>
      </c>
      <c r="E16" s="37" t="str">
        <f t="shared" si="1"/>
        <v>P2O5 
kg/ha</v>
      </c>
      <c r="F16" s="37" t="str">
        <f t="shared" si="1"/>
        <v>K2O 
kg/ha</v>
      </c>
      <c r="G16" s="37" t="str">
        <f t="shared" si="1"/>
        <v>MgO 
kg/ha</v>
      </c>
      <c r="H16" s="37" t="str">
        <f t="shared" si="1"/>
        <v>kg/ha</v>
      </c>
      <c r="I16" s="37" t="str">
        <f t="shared" si="1"/>
        <v>kg/ha</v>
      </c>
      <c r="J16" s="37" t="str">
        <f t="shared" si="1"/>
        <v>kg/ha</v>
      </c>
      <c r="K16" s="37" t="str">
        <f t="shared" si="1"/>
        <v>kg/ha</v>
      </c>
      <c r="L16" s="37" t="str">
        <f t="shared" si="1"/>
        <v>kg/ha</v>
      </c>
      <c r="M16" s="37" t="str">
        <f t="shared" si="1"/>
        <v>kg/ha</v>
      </c>
      <c r="N16" s="37" t="str">
        <f t="shared" si="1"/>
        <v>kg/ha</v>
      </c>
      <c r="O16" s="37" t="str">
        <f t="shared" si="1"/>
        <v>kg/ha</v>
      </c>
      <c r="P16" s="37" t="str">
        <f t="shared" si="1"/>
        <v>kg/ha</v>
      </c>
      <c r="Q16" s="37" t="str">
        <f t="shared" si="1"/>
        <v>kg/ha</v>
      </c>
      <c r="R16" s="37" t="str">
        <f t="shared" si="1"/>
        <v>kg/ha</v>
      </c>
      <c r="S16" s="37" t="str">
        <f t="shared" si="1"/>
        <v>kg/ha</v>
      </c>
      <c r="T16" s="37" t="str">
        <f t="shared" si="1"/>
        <v>kg/ha</v>
      </c>
      <c r="U16" s="37" t="str">
        <f t="shared" si="1"/>
        <v>kg/ha</v>
      </c>
      <c r="V16" s="37" t="str">
        <f t="shared" si="1"/>
        <v>kg/ha</v>
      </c>
    </row>
    <row r="17" spans="1:22" x14ac:dyDescent="0.25">
      <c r="A17" s="84">
        <v>1</v>
      </c>
      <c r="B17" s="85">
        <f>B3</f>
        <v>0</v>
      </c>
      <c r="C17" s="86">
        <f>C3</f>
        <v>250</v>
      </c>
      <c r="D17" s="87">
        <f>D3*$B$3</f>
        <v>0</v>
      </c>
      <c r="E17" s="87">
        <f t="shared" ref="E17:V17" si="2">E3*$B$3</f>
        <v>0</v>
      </c>
      <c r="F17" s="87">
        <f t="shared" si="2"/>
        <v>0</v>
      </c>
      <c r="G17" s="87">
        <f t="shared" si="2"/>
        <v>0</v>
      </c>
      <c r="H17" s="87">
        <f t="shared" si="2"/>
        <v>0</v>
      </c>
      <c r="I17" s="87">
        <f t="shared" si="2"/>
        <v>0</v>
      </c>
      <c r="J17" s="87">
        <f t="shared" si="2"/>
        <v>0</v>
      </c>
      <c r="K17" s="87">
        <f t="shared" si="2"/>
        <v>0</v>
      </c>
      <c r="L17" s="87">
        <f t="shared" si="2"/>
        <v>0</v>
      </c>
      <c r="M17" s="87">
        <f t="shared" si="2"/>
        <v>0</v>
      </c>
      <c r="N17" s="87">
        <f t="shared" si="2"/>
        <v>0</v>
      </c>
      <c r="O17" s="87">
        <f t="shared" si="2"/>
        <v>0</v>
      </c>
      <c r="P17" s="87">
        <f t="shared" si="2"/>
        <v>0</v>
      </c>
      <c r="Q17" s="87">
        <f t="shared" si="2"/>
        <v>0</v>
      </c>
      <c r="R17" s="87">
        <f t="shared" si="2"/>
        <v>0</v>
      </c>
      <c r="S17" s="87">
        <f t="shared" si="2"/>
        <v>0</v>
      </c>
      <c r="T17" s="87">
        <f t="shared" si="2"/>
        <v>0</v>
      </c>
      <c r="U17" s="87">
        <f t="shared" si="2"/>
        <v>0</v>
      </c>
      <c r="V17" s="87">
        <f t="shared" si="2"/>
        <v>0</v>
      </c>
    </row>
    <row r="18" spans="1:22" x14ac:dyDescent="0.25">
      <c r="A18" s="84">
        <v>2</v>
      </c>
      <c r="B18" s="85">
        <f t="shared" ref="B18:C18" si="3">B4</f>
        <v>0</v>
      </c>
      <c r="C18" s="86">
        <f t="shared" si="3"/>
        <v>250</v>
      </c>
      <c r="D18" s="87">
        <f>D4*$B$4</f>
        <v>0</v>
      </c>
      <c r="E18" s="87">
        <f t="shared" ref="E18:V18" si="4">E4*$B$4</f>
        <v>0</v>
      </c>
      <c r="F18" s="87">
        <f t="shared" si="4"/>
        <v>0</v>
      </c>
      <c r="G18" s="87">
        <f t="shared" si="4"/>
        <v>0</v>
      </c>
      <c r="H18" s="87">
        <f t="shared" si="4"/>
        <v>0</v>
      </c>
      <c r="I18" s="87">
        <f t="shared" si="4"/>
        <v>0</v>
      </c>
      <c r="J18" s="87">
        <f t="shared" si="4"/>
        <v>0</v>
      </c>
      <c r="K18" s="87">
        <f t="shared" si="4"/>
        <v>0</v>
      </c>
      <c r="L18" s="87">
        <f t="shared" si="4"/>
        <v>0</v>
      </c>
      <c r="M18" s="87">
        <f t="shared" si="4"/>
        <v>0</v>
      </c>
      <c r="N18" s="87">
        <f t="shared" si="4"/>
        <v>0</v>
      </c>
      <c r="O18" s="87">
        <f t="shared" si="4"/>
        <v>0</v>
      </c>
      <c r="P18" s="87">
        <f t="shared" si="4"/>
        <v>0</v>
      </c>
      <c r="Q18" s="87">
        <f t="shared" si="4"/>
        <v>0</v>
      </c>
      <c r="R18" s="87">
        <f t="shared" si="4"/>
        <v>0</v>
      </c>
      <c r="S18" s="87">
        <f t="shared" si="4"/>
        <v>0</v>
      </c>
      <c r="T18" s="87">
        <f t="shared" si="4"/>
        <v>0</v>
      </c>
      <c r="U18" s="87">
        <f t="shared" si="4"/>
        <v>0</v>
      </c>
      <c r="V18" s="87">
        <f t="shared" si="4"/>
        <v>0</v>
      </c>
    </row>
    <row r="19" spans="1:22" x14ac:dyDescent="0.25">
      <c r="A19" s="84">
        <v>3</v>
      </c>
      <c r="B19" s="85">
        <f t="shared" ref="B19:C19" si="5">B5</f>
        <v>0</v>
      </c>
      <c r="C19" s="86">
        <f t="shared" si="5"/>
        <v>250</v>
      </c>
      <c r="D19" s="87">
        <f>D5*$B$5</f>
        <v>0</v>
      </c>
      <c r="E19" s="87">
        <f t="shared" ref="E19:V19" si="6">E5*$B$5</f>
        <v>0</v>
      </c>
      <c r="F19" s="87">
        <f t="shared" si="6"/>
        <v>0</v>
      </c>
      <c r="G19" s="87">
        <f t="shared" si="6"/>
        <v>0</v>
      </c>
      <c r="H19" s="87">
        <f t="shared" si="6"/>
        <v>0</v>
      </c>
      <c r="I19" s="87">
        <f t="shared" si="6"/>
        <v>0</v>
      </c>
      <c r="J19" s="87">
        <f t="shared" si="6"/>
        <v>0</v>
      </c>
      <c r="K19" s="87">
        <f t="shared" si="6"/>
        <v>0</v>
      </c>
      <c r="L19" s="87">
        <f t="shared" si="6"/>
        <v>0</v>
      </c>
      <c r="M19" s="87">
        <f t="shared" si="6"/>
        <v>0</v>
      </c>
      <c r="N19" s="87">
        <f t="shared" si="6"/>
        <v>0</v>
      </c>
      <c r="O19" s="87">
        <f t="shared" si="6"/>
        <v>0</v>
      </c>
      <c r="P19" s="87">
        <f t="shared" si="6"/>
        <v>0</v>
      </c>
      <c r="Q19" s="87">
        <f t="shared" si="6"/>
        <v>0</v>
      </c>
      <c r="R19" s="87">
        <f t="shared" si="6"/>
        <v>0</v>
      </c>
      <c r="S19" s="87">
        <f t="shared" si="6"/>
        <v>0</v>
      </c>
      <c r="T19" s="87">
        <f t="shared" si="6"/>
        <v>0</v>
      </c>
      <c r="U19" s="87">
        <f t="shared" si="6"/>
        <v>0</v>
      </c>
      <c r="V19" s="87">
        <f t="shared" si="6"/>
        <v>0</v>
      </c>
    </row>
    <row r="20" spans="1:22" x14ac:dyDescent="0.25">
      <c r="A20" s="84">
        <v>4</v>
      </c>
      <c r="B20" s="85">
        <f t="shared" ref="B20:C20" si="7">B6</f>
        <v>0</v>
      </c>
      <c r="C20" s="86">
        <f t="shared" si="7"/>
        <v>250</v>
      </c>
      <c r="D20" s="87">
        <f>D6*$B$6</f>
        <v>0</v>
      </c>
      <c r="E20" s="87">
        <f t="shared" ref="E20:V20" si="8">E6*$B$6</f>
        <v>0</v>
      </c>
      <c r="F20" s="87">
        <f t="shared" si="8"/>
        <v>0</v>
      </c>
      <c r="G20" s="87">
        <f t="shared" si="8"/>
        <v>0</v>
      </c>
      <c r="H20" s="87">
        <f t="shared" si="8"/>
        <v>0</v>
      </c>
      <c r="I20" s="87">
        <f t="shared" si="8"/>
        <v>0</v>
      </c>
      <c r="J20" s="87">
        <f t="shared" si="8"/>
        <v>0</v>
      </c>
      <c r="K20" s="87">
        <f t="shared" si="8"/>
        <v>0</v>
      </c>
      <c r="L20" s="87">
        <f t="shared" si="8"/>
        <v>0</v>
      </c>
      <c r="M20" s="87">
        <f t="shared" si="8"/>
        <v>0</v>
      </c>
      <c r="N20" s="87">
        <f t="shared" si="8"/>
        <v>0</v>
      </c>
      <c r="O20" s="87">
        <f t="shared" si="8"/>
        <v>0</v>
      </c>
      <c r="P20" s="87">
        <f t="shared" si="8"/>
        <v>0</v>
      </c>
      <c r="Q20" s="87">
        <f t="shared" si="8"/>
        <v>0</v>
      </c>
      <c r="R20" s="87">
        <f t="shared" si="8"/>
        <v>0</v>
      </c>
      <c r="S20" s="87">
        <f t="shared" si="8"/>
        <v>0</v>
      </c>
      <c r="T20" s="87">
        <f t="shared" si="8"/>
        <v>0</v>
      </c>
      <c r="U20" s="87">
        <f t="shared" si="8"/>
        <v>0</v>
      </c>
      <c r="V20" s="87">
        <f t="shared" si="8"/>
        <v>0</v>
      </c>
    </row>
    <row r="21" spans="1:22" x14ac:dyDescent="0.25">
      <c r="A21" s="84">
        <v>5</v>
      </c>
      <c r="B21" s="85">
        <f t="shared" ref="B21:C21" si="9">B7</f>
        <v>0</v>
      </c>
      <c r="C21" s="86">
        <f t="shared" si="9"/>
        <v>250</v>
      </c>
      <c r="D21" s="87">
        <f>D7*$B$7</f>
        <v>0</v>
      </c>
      <c r="E21" s="87">
        <f t="shared" ref="E21:V21" si="10">E7*$B$7</f>
        <v>0</v>
      </c>
      <c r="F21" s="87">
        <f t="shared" si="10"/>
        <v>0</v>
      </c>
      <c r="G21" s="87">
        <f t="shared" si="10"/>
        <v>0</v>
      </c>
      <c r="H21" s="87">
        <f t="shared" si="10"/>
        <v>0</v>
      </c>
      <c r="I21" s="87">
        <f t="shared" si="10"/>
        <v>0</v>
      </c>
      <c r="J21" s="87">
        <f t="shared" si="10"/>
        <v>0</v>
      </c>
      <c r="K21" s="87">
        <f t="shared" si="10"/>
        <v>0</v>
      </c>
      <c r="L21" s="87">
        <f t="shared" si="10"/>
        <v>0</v>
      </c>
      <c r="M21" s="87">
        <f t="shared" si="10"/>
        <v>0</v>
      </c>
      <c r="N21" s="87">
        <f t="shared" si="10"/>
        <v>0</v>
      </c>
      <c r="O21" s="87">
        <f t="shared" si="10"/>
        <v>0</v>
      </c>
      <c r="P21" s="87">
        <f t="shared" si="10"/>
        <v>0</v>
      </c>
      <c r="Q21" s="87">
        <f t="shared" si="10"/>
        <v>0</v>
      </c>
      <c r="R21" s="87">
        <f t="shared" si="10"/>
        <v>0</v>
      </c>
      <c r="S21" s="87">
        <f t="shared" si="10"/>
        <v>0</v>
      </c>
      <c r="T21" s="87">
        <f t="shared" si="10"/>
        <v>0</v>
      </c>
      <c r="U21" s="87">
        <f t="shared" si="10"/>
        <v>0</v>
      </c>
      <c r="V21" s="87">
        <f t="shared" si="10"/>
        <v>0</v>
      </c>
    </row>
    <row r="22" spans="1:22" x14ac:dyDescent="0.25">
      <c r="A22" s="84">
        <v>6</v>
      </c>
      <c r="B22" s="85">
        <f t="shared" ref="B22:C22" si="11">B8</f>
        <v>0</v>
      </c>
      <c r="C22" s="86">
        <f t="shared" si="11"/>
        <v>250</v>
      </c>
      <c r="D22" s="87">
        <f>D8*$B$8</f>
        <v>0</v>
      </c>
      <c r="E22" s="87">
        <f t="shared" ref="E22:V22" si="12">E8*$B$8</f>
        <v>0</v>
      </c>
      <c r="F22" s="87">
        <f t="shared" si="12"/>
        <v>0</v>
      </c>
      <c r="G22" s="87">
        <f t="shared" si="12"/>
        <v>0</v>
      </c>
      <c r="H22" s="87">
        <f t="shared" si="12"/>
        <v>0</v>
      </c>
      <c r="I22" s="87">
        <f t="shared" si="12"/>
        <v>0</v>
      </c>
      <c r="J22" s="87">
        <f t="shared" si="12"/>
        <v>0</v>
      </c>
      <c r="K22" s="87">
        <f t="shared" si="12"/>
        <v>0</v>
      </c>
      <c r="L22" s="87">
        <f t="shared" si="12"/>
        <v>0</v>
      </c>
      <c r="M22" s="87">
        <f t="shared" si="12"/>
        <v>0</v>
      </c>
      <c r="N22" s="87">
        <f t="shared" si="12"/>
        <v>0</v>
      </c>
      <c r="O22" s="87">
        <f t="shared" si="12"/>
        <v>0</v>
      </c>
      <c r="P22" s="87">
        <f t="shared" si="12"/>
        <v>0</v>
      </c>
      <c r="Q22" s="87">
        <f t="shared" si="12"/>
        <v>0</v>
      </c>
      <c r="R22" s="87">
        <f t="shared" si="12"/>
        <v>0</v>
      </c>
      <c r="S22" s="87">
        <f t="shared" si="12"/>
        <v>0</v>
      </c>
      <c r="T22" s="87">
        <f t="shared" si="12"/>
        <v>0</v>
      </c>
      <c r="U22" s="87">
        <f t="shared" si="12"/>
        <v>0</v>
      </c>
      <c r="V22" s="87">
        <f t="shared" si="12"/>
        <v>0</v>
      </c>
    </row>
    <row r="23" spans="1:22" x14ac:dyDescent="0.25">
      <c r="A23" s="84">
        <v>7</v>
      </c>
      <c r="B23" s="85">
        <f t="shared" ref="B23:C23" si="13">B9</f>
        <v>0</v>
      </c>
      <c r="C23" s="86">
        <f t="shared" si="13"/>
        <v>250</v>
      </c>
      <c r="D23" s="87">
        <f>D9*$B$9</f>
        <v>0</v>
      </c>
      <c r="E23" s="87">
        <f t="shared" ref="E23:V23" si="14">E9*$B$9</f>
        <v>0</v>
      </c>
      <c r="F23" s="87">
        <f t="shared" si="14"/>
        <v>0</v>
      </c>
      <c r="G23" s="87">
        <f t="shared" si="14"/>
        <v>0</v>
      </c>
      <c r="H23" s="87">
        <f t="shared" si="14"/>
        <v>0</v>
      </c>
      <c r="I23" s="87">
        <f t="shared" si="14"/>
        <v>0</v>
      </c>
      <c r="J23" s="87">
        <f t="shared" si="14"/>
        <v>0</v>
      </c>
      <c r="K23" s="87">
        <f t="shared" si="14"/>
        <v>0</v>
      </c>
      <c r="L23" s="87">
        <f t="shared" si="14"/>
        <v>0</v>
      </c>
      <c r="M23" s="87">
        <f t="shared" si="14"/>
        <v>0</v>
      </c>
      <c r="N23" s="87">
        <f t="shared" si="14"/>
        <v>0</v>
      </c>
      <c r="O23" s="87">
        <f t="shared" si="14"/>
        <v>0</v>
      </c>
      <c r="P23" s="87">
        <f t="shared" si="14"/>
        <v>0</v>
      </c>
      <c r="Q23" s="87">
        <f t="shared" si="14"/>
        <v>0</v>
      </c>
      <c r="R23" s="87">
        <f t="shared" si="14"/>
        <v>0</v>
      </c>
      <c r="S23" s="87">
        <f t="shared" si="14"/>
        <v>0</v>
      </c>
      <c r="T23" s="87">
        <f t="shared" si="14"/>
        <v>0</v>
      </c>
      <c r="U23" s="87">
        <f t="shared" si="14"/>
        <v>0</v>
      </c>
      <c r="V23" s="87">
        <f t="shared" si="14"/>
        <v>0</v>
      </c>
    </row>
    <row r="24" spans="1:22" x14ac:dyDescent="0.25">
      <c r="A24" s="84">
        <v>8</v>
      </c>
      <c r="B24" s="85">
        <f t="shared" ref="B24:C24" si="15">B10</f>
        <v>0</v>
      </c>
      <c r="C24" s="86">
        <f t="shared" si="15"/>
        <v>250</v>
      </c>
      <c r="D24" s="87">
        <f>D10*$B$10</f>
        <v>0</v>
      </c>
      <c r="E24" s="87">
        <f t="shared" ref="E24:V24" si="16">E10*$B$10</f>
        <v>0</v>
      </c>
      <c r="F24" s="87">
        <f t="shared" si="16"/>
        <v>0</v>
      </c>
      <c r="G24" s="87">
        <f t="shared" si="16"/>
        <v>0</v>
      </c>
      <c r="H24" s="87">
        <f t="shared" si="16"/>
        <v>0</v>
      </c>
      <c r="I24" s="87">
        <f t="shared" si="16"/>
        <v>0</v>
      </c>
      <c r="J24" s="87">
        <f t="shared" si="16"/>
        <v>0</v>
      </c>
      <c r="K24" s="87">
        <f t="shared" si="16"/>
        <v>0</v>
      </c>
      <c r="L24" s="87">
        <f t="shared" si="16"/>
        <v>0</v>
      </c>
      <c r="M24" s="87">
        <f t="shared" si="16"/>
        <v>0</v>
      </c>
      <c r="N24" s="87">
        <f t="shared" si="16"/>
        <v>0</v>
      </c>
      <c r="O24" s="87">
        <f t="shared" si="16"/>
        <v>0</v>
      </c>
      <c r="P24" s="87">
        <f t="shared" si="16"/>
        <v>0</v>
      </c>
      <c r="Q24" s="87">
        <f t="shared" si="16"/>
        <v>0</v>
      </c>
      <c r="R24" s="87">
        <f t="shared" si="16"/>
        <v>0</v>
      </c>
      <c r="S24" s="87">
        <f t="shared" si="16"/>
        <v>0</v>
      </c>
      <c r="T24" s="87">
        <f t="shared" si="16"/>
        <v>0</v>
      </c>
      <c r="U24" s="87">
        <f t="shared" si="16"/>
        <v>0</v>
      </c>
      <c r="V24" s="87">
        <f t="shared" si="16"/>
        <v>0</v>
      </c>
    </row>
    <row r="25" spans="1:22" x14ac:dyDescent="0.25">
      <c r="A25" s="84">
        <v>9</v>
      </c>
      <c r="B25" s="85">
        <f t="shared" ref="B25:C25" si="17">B11</f>
        <v>0</v>
      </c>
      <c r="C25" s="86">
        <f t="shared" si="17"/>
        <v>250</v>
      </c>
      <c r="D25" s="87">
        <f>D11*$B$11</f>
        <v>0</v>
      </c>
      <c r="E25" s="87">
        <f t="shared" ref="E25:V25" si="18">E11*$B$11</f>
        <v>0</v>
      </c>
      <c r="F25" s="87">
        <f t="shared" si="18"/>
        <v>0</v>
      </c>
      <c r="G25" s="87">
        <f t="shared" si="18"/>
        <v>0</v>
      </c>
      <c r="H25" s="87">
        <f t="shared" si="18"/>
        <v>0</v>
      </c>
      <c r="I25" s="87">
        <f t="shared" si="18"/>
        <v>0</v>
      </c>
      <c r="J25" s="87">
        <f t="shared" si="18"/>
        <v>0</v>
      </c>
      <c r="K25" s="87">
        <f t="shared" si="18"/>
        <v>0</v>
      </c>
      <c r="L25" s="87">
        <f t="shared" si="18"/>
        <v>0</v>
      </c>
      <c r="M25" s="87">
        <f t="shared" si="18"/>
        <v>0</v>
      </c>
      <c r="N25" s="87">
        <f t="shared" si="18"/>
        <v>0</v>
      </c>
      <c r="O25" s="87">
        <f t="shared" si="18"/>
        <v>0</v>
      </c>
      <c r="P25" s="87">
        <f t="shared" si="18"/>
        <v>0</v>
      </c>
      <c r="Q25" s="87">
        <f t="shared" si="18"/>
        <v>0</v>
      </c>
      <c r="R25" s="87">
        <f t="shared" si="18"/>
        <v>0</v>
      </c>
      <c r="S25" s="87">
        <f t="shared" si="18"/>
        <v>0</v>
      </c>
      <c r="T25" s="87">
        <f t="shared" si="18"/>
        <v>0</v>
      </c>
      <c r="U25" s="87">
        <f t="shared" si="18"/>
        <v>0</v>
      </c>
      <c r="V25" s="87">
        <f t="shared" si="18"/>
        <v>0</v>
      </c>
    </row>
    <row r="26" spans="1:22" x14ac:dyDescent="0.25">
      <c r="A26" s="84">
        <v>10</v>
      </c>
      <c r="B26" s="85">
        <f t="shared" ref="B26:C26" si="19">B12</f>
        <v>0</v>
      </c>
      <c r="C26" s="86">
        <f t="shared" si="19"/>
        <v>133</v>
      </c>
      <c r="D26" s="87">
        <f>D12*$B$12</f>
        <v>0</v>
      </c>
      <c r="E26" s="87">
        <f t="shared" ref="E26:V26" si="20">E12*$B$12</f>
        <v>0</v>
      </c>
      <c r="F26" s="87">
        <f t="shared" si="20"/>
        <v>0</v>
      </c>
      <c r="G26" s="87">
        <f t="shared" si="20"/>
        <v>0</v>
      </c>
      <c r="H26" s="87">
        <f t="shared" si="20"/>
        <v>0</v>
      </c>
      <c r="I26" s="87">
        <f t="shared" si="20"/>
        <v>0</v>
      </c>
      <c r="J26" s="87">
        <f t="shared" si="20"/>
        <v>0</v>
      </c>
      <c r="K26" s="87">
        <f t="shared" si="20"/>
        <v>0</v>
      </c>
      <c r="L26" s="87">
        <f t="shared" si="20"/>
        <v>0</v>
      </c>
      <c r="M26" s="87">
        <f t="shared" si="20"/>
        <v>0</v>
      </c>
      <c r="N26" s="87">
        <f t="shared" si="20"/>
        <v>0</v>
      </c>
      <c r="O26" s="87">
        <f t="shared" si="20"/>
        <v>0</v>
      </c>
      <c r="P26" s="87">
        <f t="shared" si="20"/>
        <v>0</v>
      </c>
      <c r="Q26" s="87">
        <f t="shared" si="20"/>
        <v>0</v>
      </c>
      <c r="R26" s="87">
        <f t="shared" si="20"/>
        <v>0</v>
      </c>
      <c r="S26" s="87">
        <f t="shared" si="20"/>
        <v>0</v>
      </c>
      <c r="T26" s="87">
        <f t="shared" si="20"/>
        <v>0</v>
      </c>
      <c r="U26" s="87">
        <f t="shared" si="20"/>
        <v>0</v>
      </c>
      <c r="V26" s="87">
        <f t="shared" si="20"/>
        <v>0</v>
      </c>
    </row>
    <row r="27" spans="1:22" s="89" customFormat="1" ht="15.5" x14ac:dyDescent="0.35">
      <c r="A27" s="147" t="s">
        <v>85</v>
      </c>
      <c r="B27" s="147"/>
      <c r="C27" s="147"/>
      <c r="D27" s="88">
        <f>SUM(D17:D26)</f>
        <v>0</v>
      </c>
      <c r="E27" s="88">
        <f t="shared" ref="E27:V27" si="21">SUM(E17:E26)</f>
        <v>0</v>
      </c>
      <c r="F27" s="88">
        <f t="shared" si="21"/>
        <v>0</v>
      </c>
      <c r="G27" s="88">
        <f t="shared" si="21"/>
        <v>0</v>
      </c>
      <c r="H27" s="88">
        <f t="shared" si="21"/>
        <v>0</v>
      </c>
      <c r="I27" s="88">
        <f t="shared" si="21"/>
        <v>0</v>
      </c>
      <c r="J27" s="88">
        <f t="shared" si="21"/>
        <v>0</v>
      </c>
      <c r="K27" s="88">
        <f t="shared" si="21"/>
        <v>0</v>
      </c>
      <c r="L27" s="88">
        <f t="shared" si="21"/>
        <v>0</v>
      </c>
      <c r="M27" s="88">
        <f t="shared" si="21"/>
        <v>0</v>
      </c>
      <c r="N27" s="88">
        <f t="shared" si="21"/>
        <v>0</v>
      </c>
      <c r="O27" s="88">
        <f t="shared" si="21"/>
        <v>0</v>
      </c>
      <c r="P27" s="88">
        <f t="shared" si="21"/>
        <v>0</v>
      </c>
      <c r="Q27" s="88">
        <f t="shared" si="21"/>
        <v>0</v>
      </c>
      <c r="R27" s="88">
        <f t="shared" si="21"/>
        <v>0</v>
      </c>
      <c r="S27" s="88">
        <f t="shared" si="21"/>
        <v>0</v>
      </c>
      <c r="T27" s="88">
        <f t="shared" si="21"/>
        <v>0</v>
      </c>
      <c r="U27" s="88">
        <f t="shared" si="21"/>
        <v>0</v>
      </c>
      <c r="V27" s="88">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REGU-415-1630131</_dlc_DocId>
    <_dlc_DocIdUrl xmlns="9be56660-2c31-41ef-bc00-23e72f632f2a">
      <Url>https://cyfoethnaturiolcymru.sharepoint.com/teams/Regulatory/Permitting/_layouts/15/DocIdRedir.aspx?ID=REGU-415-1630131</Url>
      <Description>REGU-415-1630131</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2022-12-12T00:00:00+00:00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34aa0a32e861d07c2babb84befd3ce4c">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246450849c5c3b888f7640c04f2e6030"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9be56660-2c31-41ef-bc00-23e72f632f2a"/>
    <ds:schemaRef ds:uri="http://www.w3.org/XML/1998/namespace"/>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559D39CC-D910-479D-9C4C-D86BB32E0130}"/>
</file>

<file path=customXml/itemProps4.xml><?xml version="1.0" encoding="utf-8"?>
<ds:datastoreItem xmlns:ds="http://schemas.openxmlformats.org/officeDocument/2006/customXml" ds:itemID="{FA79950D-794A-491C-AB90-F534662F4DE9}"/>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Bryngwyn</vt:lpstr>
      <vt:lpstr>Capel Dewi</vt:lpstr>
      <vt:lpstr>Cefn Dryscoed</vt:lpstr>
      <vt:lpstr>Crai</vt:lpstr>
      <vt:lpstr>Elan</vt:lpstr>
      <vt:lpstr>Hirwaun</vt:lpstr>
      <vt:lpstr>Llyswen</vt:lpstr>
      <vt:lpstr>Pontsticill</vt:lpstr>
      <vt:lpstr>Talybont</vt:lpstr>
      <vt:lpstr>Whitebourne</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Clee, Owen</cp:lastModifiedBy>
  <dcterms:created xsi:type="dcterms:W3CDTF">2016-09-26T10:07:59Z</dcterms:created>
  <dcterms:modified xsi:type="dcterms:W3CDTF">2022-12-12T09:40:46Z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625d22eb-b18b-41d4-9dd3-8127784e4e13</vt:lpwstr>
  </property>
</Properties>
</file>