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19730/"/>
    </mc:Choice>
  </mc:AlternateContent>
  <xr:revisionPtr revIDLastSave="0" documentId="13_ncr:1_{8EB6FAC9-6140-492B-A34E-9458AC4618CF}" xr6:coauthVersionLast="47" xr6:coauthVersionMax="47" xr10:uidLastSave="{00000000-0000-0000-0000-000000000000}"/>
  <bookViews>
    <workbookView xWindow="-110" yWindow="-110" windowWidth="19420" windowHeight="10420" tabRatio="870" activeTab="6" xr2:uid="{00000000-000D-0000-FFFF-FFFF00000000}"/>
  </bookViews>
  <sheets>
    <sheet name="Secanim" sheetId="1" r:id="rId1"/>
    <sheet name="Croda G" sheetId="21" r:id="rId2"/>
    <sheet name="Croda W" sheetId="27" r:id="rId3"/>
    <sheet name="Maelor" sheetId="28" r:id="rId4"/>
    <sheet name="Encirc" sheetId="30" r:id="rId5"/>
    <sheet name="Beechdean" sheetId="26" r:id="rId6"/>
    <sheet name="Penderyn" sheetId="24" r:id="rId7"/>
    <sheet name="Kelloggs" sheetId="29" r:id="rId8"/>
    <sheet name="Rowan Food" sheetId="23" r:id="rId9"/>
    <sheet name="D.wise"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I65" i="1" l="1"/>
  <c r="J65" i="1"/>
  <c r="K65" i="1"/>
  <c r="L65" i="1"/>
  <c r="M65" i="1"/>
  <c r="N65" i="1"/>
  <c r="O65" i="1"/>
  <c r="P65" i="1"/>
  <c r="Q65" i="1"/>
  <c r="R65" i="1"/>
  <c r="S65" i="1"/>
  <c r="T65" i="1"/>
  <c r="U65" i="1"/>
  <c r="I65" i="21"/>
  <c r="J65" i="21"/>
  <c r="K65" i="21"/>
  <c r="L65" i="21"/>
  <c r="M65" i="21"/>
  <c r="N65" i="21"/>
  <c r="O65" i="21"/>
  <c r="P65" i="21"/>
  <c r="Q65" i="21"/>
  <c r="R65" i="21"/>
  <c r="S65" i="21"/>
  <c r="T65" i="21"/>
  <c r="U65" i="21"/>
  <c r="I65" i="27"/>
  <c r="J65" i="27"/>
  <c r="K65" i="27"/>
  <c r="L65" i="27"/>
  <c r="M65" i="27"/>
  <c r="N65" i="27"/>
  <c r="O65" i="27"/>
  <c r="P65" i="27"/>
  <c r="Q65" i="27"/>
  <c r="R65" i="27"/>
  <c r="S65" i="27"/>
  <c r="T65" i="27"/>
  <c r="U65" i="27"/>
  <c r="I65" i="28"/>
  <c r="J65" i="28"/>
  <c r="K65" i="28"/>
  <c r="L65" i="28"/>
  <c r="M65" i="28"/>
  <c r="N65" i="28"/>
  <c r="O65" i="28"/>
  <c r="P65" i="28"/>
  <c r="Q65" i="28"/>
  <c r="R65" i="28"/>
  <c r="S65" i="28"/>
  <c r="T65" i="28"/>
  <c r="U65" i="28"/>
  <c r="I65" i="30"/>
  <c r="J65" i="30"/>
  <c r="K65" i="30"/>
  <c r="L65" i="30"/>
  <c r="M65" i="30"/>
  <c r="N65" i="30"/>
  <c r="O65" i="30"/>
  <c r="P65" i="30"/>
  <c r="Q65" i="30"/>
  <c r="R65" i="30"/>
  <c r="S65" i="30"/>
  <c r="T65" i="30"/>
  <c r="U65" i="30"/>
  <c r="I65" i="26"/>
  <c r="J65" i="26"/>
  <c r="K65" i="26"/>
  <c r="L65" i="26"/>
  <c r="M65" i="26"/>
  <c r="N65" i="26"/>
  <c r="O65" i="26"/>
  <c r="P65" i="26"/>
  <c r="Q65" i="26"/>
  <c r="R65" i="26"/>
  <c r="S65" i="26"/>
  <c r="T65" i="26"/>
  <c r="U65" i="26"/>
  <c r="I65" i="24"/>
  <c r="J65" i="24"/>
  <c r="K65" i="24"/>
  <c r="L65" i="24"/>
  <c r="M65" i="24"/>
  <c r="N65" i="24"/>
  <c r="O65" i="24"/>
  <c r="P65" i="24"/>
  <c r="Q65" i="24"/>
  <c r="R65" i="24"/>
  <c r="S65" i="24"/>
  <c r="T65" i="24"/>
  <c r="U65" i="24"/>
  <c r="I65" i="29"/>
  <c r="J65" i="29"/>
  <c r="K65" i="29"/>
  <c r="L65" i="29"/>
  <c r="M65" i="29"/>
  <c r="N65" i="29"/>
  <c r="O65" i="29"/>
  <c r="P65" i="29"/>
  <c r="Q65" i="29"/>
  <c r="R65" i="29"/>
  <c r="S65" i="29"/>
  <c r="T65" i="29"/>
  <c r="U65" i="29"/>
  <c r="I65" i="23"/>
  <c r="J65" i="23"/>
  <c r="K65" i="23"/>
  <c r="L65" i="23"/>
  <c r="M65" i="23"/>
  <c r="N65" i="23"/>
  <c r="O65" i="23"/>
  <c r="P65" i="23"/>
  <c r="Q65" i="23"/>
  <c r="R65" i="23"/>
  <c r="S65" i="23"/>
  <c r="T65" i="23"/>
  <c r="U65" i="23"/>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2" i="30"/>
  <c r="N22" i="30"/>
  <c r="V20" i="30"/>
  <c r="U20" i="30"/>
  <c r="T20" i="30"/>
  <c r="S20" i="30"/>
  <c r="R20" i="30"/>
  <c r="Q20" i="30"/>
  <c r="P20" i="30"/>
  <c r="O20" i="30"/>
  <c r="N20" i="30"/>
  <c r="M20" i="30"/>
  <c r="L20" i="30"/>
  <c r="K20" i="30"/>
  <c r="J20" i="30"/>
  <c r="T18" i="30"/>
  <c r="Q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U18" i="29" s="1"/>
  <c r="C49" i="29"/>
  <c r="U48" i="29"/>
  <c r="T48" i="29"/>
  <c r="S48" i="29"/>
  <c r="R48" i="29"/>
  <c r="Q48" i="29"/>
  <c r="P48" i="29"/>
  <c r="O48" i="29"/>
  <c r="N48" i="29"/>
  <c r="M48" i="29"/>
  <c r="L48" i="29"/>
  <c r="K48" i="29"/>
  <c r="J48" i="29"/>
  <c r="I48" i="29"/>
  <c r="H48" i="29"/>
  <c r="G48" i="29"/>
  <c r="F48" i="29"/>
  <c r="E48" i="29"/>
  <c r="D48" i="29"/>
  <c r="T18" i="29" s="1"/>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R22" i="29" s="1"/>
  <c r="D46" i="29"/>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T22" i="29"/>
  <c r="S22" i="29"/>
  <c r="L22" i="29"/>
  <c r="V20" i="29"/>
  <c r="U20" i="29"/>
  <c r="T20" i="29"/>
  <c r="S20" i="29"/>
  <c r="R20" i="29"/>
  <c r="Q20" i="29"/>
  <c r="P20" i="29"/>
  <c r="O20" i="29"/>
  <c r="N20" i="29"/>
  <c r="M20" i="29"/>
  <c r="L20" i="29"/>
  <c r="K20" i="29"/>
  <c r="J20" i="29"/>
  <c r="V18" i="29"/>
  <c r="R18" i="29"/>
  <c r="I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O22" i="28"/>
  <c r="M22" i="28"/>
  <c r="V20" i="28"/>
  <c r="U20" i="28"/>
  <c r="T20" i="28"/>
  <c r="S20" i="28"/>
  <c r="R20" i="28"/>
  <c r="Q20" i="28"/>
  <c r="P20" i="28"/>
  <c r="O20" i="28"/>
  <c r="N20" i="28"/>
  <c r="M20" i="28"/>
  <c r="L20" i="28"/>
  <c r="K20" i="28"/>
  <c r="J20" i="28"/>
  <c r="V18" i="28"/>
  <c r="R18" i="28"/>
  <c r="N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O22" i="27"/>
  <c r="I22" i="27"/>
  <c r="V20" i="27"/>
  <c r="U20" i="27"/>
  <c r="T20" i="27"/>
  <c r="S20" i="27"/>
  <c r="R20" i="27"/>
  <c r="Q20" i="27"/>
  <c r="P20" i="27"/>
  <c r="O20" i="27"/>
  <c r="N20" i="27"/>
  <c r="M20" i="27"/>
  <c r="L20" i="27"/>
  <c r="K20" i="27"/>
  <c r="J20" i="27"/>
  <c r="U18" i="27"/>
  <c r="O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O22" i="26"/>
  <c r="V20" i="26"/>
  <c r="U20" i="26"/>
  <c r="T20" i="26"/>
  <c r="S20" i="26"/>
  <c r="R20" i="26"/>
  <c r="Q20" i="26"/>
  <c r="P20" i="26"/>
  <c r="O20" i="26"/>
  <c r="N20" i="26"/>
  <c r="M20" i="26"/>
  <c r="L20" i="26"/>
  <c r="K20" i="26"/>
  <c r="J20" i="26"/>
  <c r="V18" i="26"/>
  <c r="S18" i="26"/>
  <c r="L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U22" i="24"/>
  <c r="M22" i="24"/>
  <c r="V20" i="24"/>
  <c r="U20" i="24"/>
  <c r="T20" i="24"/>
  <c r="S20" i="24"/>
  <c r="R20" i="24"/>
  <c r="Q20" i="24"/>
  <c r="P20" i="24"/>
  <c r="O20" i="24"/>
  <c r="N20" i="24"/>
  <c r="M20" i="24"/>
  <c r="L20" i="24"/>
  <c r="K20" i="24"/>
  <c r="J20" i="24"/>
  <c r="U18" i="24"/>
  <c r="G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S18" i="23" s="1"/>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K18" i="23" s="1"/>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S22" i="23"/>
  <c r="M22" i="23"/>
  <c r="V20" i="23"/>
  <c r="U20" i="23"/>
  <c r="T20" i="23"/>
  <c r="S20" i="23"/>
  <c r="R20" i="23"/>
  <c r="Q20" i="23"/>
  <c r="P20" i="23"/>
  <c r="O20" i="23"/>
  <c r="N20" i="23"/>
  <c r="M20" i="23"/>
  <c r="L20" i="23"/>
  <c r="K20" i="23"/>
  <c r="J20" i="23"/>
  <c r="Q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V18" i="22" s="1"/>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S22" i="22" s="1"/>
  <c r="D47" i="22"/>
  <c r="S18" i="22" s="1"/>
  <c r="C47" i="22"/>
  <c r="U46" i="22"/>
  <c r="T46" i="22"/>
  <c r="S46" i="22"/>
  <c r="R46" i="22"/>
  <c r="Q46" i="22"/>
  <c r="P46" i="22"/>
  <c r="O46" i="22"/>
  <c r="N46" i="22"/>
  <c r="M46" i="22"/>
  <c r="L46" i="22"/>
  <c r="K46" i="22"/>
  <c r="J46" i="22"/>
  <c r="I46" i="22"/>
  <c r="H46" i="22"/>
  <c r="G46" i="22"/>
  <c r="F46" i="22"/>
  <c r="E46" i="22"/>
  <c r="R22" i="22" s="1"/>
  <c r="D46" i="22"/>
  <c r="R18" i="22" s="1"/>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O22" i="22" s="1"/>
  <c r="D43" i="22"/>
  <c r="O18" i="22" s="1"/>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M22" i="22" s="1"/>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G22" i="22" s="1"/>
  <c r="D35" i="22"/>
  <c r="G18" i="22" s="1"/>
  <c r="C35" i="22"/>
  <c r="U34" i="22"/>
  <c r="T34" i="22"/>
  <c r="S34" i="22"/>
  <c r="R34" i="22"/>
  <c r="Q34" i="22"/>
  <c r="P34" i="22"/>
  <c r="O34" i="22"/>
  <c r="N34" i="22"/>
  <c r="M34" i="22"/>
  <c r="L34" i="22"/>
  <c r="K34" i="22"/>
  <c r="J34" i="22"/>
  <c r="I34" i="22"/>
  <c r="H34" i="22"/>
  <c r="G34" i="22"/>
  <c r="F34" i="22"/>
  <c r="E34" i="22"/>
  <c r="F22" i="22" s="1"/>
  <c r="D34" i="22"/>
  <c r="F18" i="22" s="1"/>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0" i="22"/>
  <c r="U20" i="22"/>
  <c r="T20" i="22"/>
  <c r="S20" i="22"/>
  <c r="R20" i="22"/>
  <c r="Q20" i="22"/>
  <c r="P20" i="22"/>
  <c r="O20" i="22"/>
  <c r="N20" i="22"/>
  <c r="M20" i="22"/>
  <c r="L20" i="22"/>
  <c r="K20" i="22"/>
  <c r="J20" i="22"/>
  <c r="U18" i="22"/>
  <c r="M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V18"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L64" i="28" s="1"/>
  <c r="M17" i="28"/>
  <c r="M21" i="28"/>
  <c r="T59" i="28"/>
  <c r="U17" i="28"/>
  <c r="U21" i="28"/>
  <c r="U23" i="28" s="1"/>
  <c r="U24" i="28" s="1"/>
  <c r="I4" i="20"/>
  <c r="J4" i="19"/>
  <c r="J18" i="19" s="1"/>
  <c r="I59" i="21"/>
  <c r="J17" i="21"/>
  <c r="J19" i="21" s="1"/>
  <c r="J21" i="21"/>
  <c r="C59" i="22"/>
  <c r="D21" i="22"/>
  <c r="D23" i="22" s="1"/>
  <c r="D24" i="22" s="1"/>
  <c r="D17" i="22"/>
  <c r="O12" i="20"/>
  <c r="P12" i="19"/>
  <c r="P26" i="19" s="1"/>
  <c r="O21" i="23"/>
  <c r="O23" i="23" s="1"/>
  <c r="O24"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17" i="22"/>
  <c r="L59" i="22"/>
  <c r="M21" i="22"/>
  <c r="M23" i="22" s="1"/>
  <c r="M24" i="22" s="1"/>
  <c r="M17" i="22"/>
  <c r="T59" i="22"/>
  <c r="U21" i="22"/>
  <c r="U17" i="22"/>
  <c r="U19" i="22" s="1"/>
  <c r="D59" i="27"/>
  <c r="E17" i="27"/>
  <c r="E19" i="27" s="1"/>
  <c r="E20" i="27" s="1"/>
  <c r="L59" i="27"/>
  <c r="M17" i="27"/>
  <c r="M19" i="27" s="1"/>
  <c r="T59" i="27"/>
  <c r="U17" i="27"/>
  <c r="S59" i="22"/>
  <c r="T21" i="22"/>
  <c r="T17" i="22"/>
  <c r="G21" i="23"/>
  <c r="G23" i="23" s="1"/>
  <c r="G24" i="23" s="1"/>
  <c r="G17" i="23"/>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J24" i="22" s="1"/>
  <c r="K59" i="23"/>
  <c r="L17" i="23"/>
  <c r="L21" i="23"/>
  <c r="M57" i="21"/>
  <c r="R59" i="21"/>
  <c r="S21" i="21"/>
  <c r="S23" i="21" s="1"/>
  <c r="S24" i="21" s="1"/>
  <c r="S17" i="21"/>
  <c r="J59" i="21"/>
  <c r="K21" i="21"/>
  <c r="K23" i="21" s="1"/>
  <c r="K24" i="21" s="1"/>
  <c r="K17" i="21"/>
  <c r="J59" i="22"/>
  <c r="K17" i="22"/>
  <c r="K21" i="22"/>
  <c r="R59" i="22"/>
  <c r="S17" i="22"/>
  <c r="S21" i="22"/>
  <c r="S23" i="22" s="1"/>
  <c r="S24" i="22" s="1"/>
  <c r="D59" i="23"/>
  <c r="E17" i="23"/>
  <c r="E21" i="23"/>
  <c r="L59" i="23"/>
  <c r="M17" i="23"/>
  <c r="M21" i="23"/>
  <c r="T59" i="23"/>
  <c r="U17" i="23"/>
  <c r="U19" i="23" s="1"/>
  <c r="U21" i="23"/>
  <c r="U23" i="23" s="1"/>
  <c r="U24" i="23" s="1"/>
  <c r="H21" i="24"/>
  <c r="H23" i="24" s="1"/>
  <c r="H24" i="24" s="1"/>
  <c r="H17" i="24"/>
  <c r="H19" i="24" s="1"/>
  <c r="H20" i="24" s="1"/>
  <c r="P17" i="24"/>
  <c r="P21" i="24"/>
  <c r="C59" i="26"/>
  <c r="D21" i="26"/>
  <c r="D23" i="26" s="1"/>
  <c r="D24" i="26" s="1"/>
  <c r="D17" i="26"/>
  <c r="D19" i="26" s="1"/>
  <c r="D20" i="26" s="1"/>
  <c r="K59" i="26"/>
  <c r="L21" i="26"/>
  <c r="L17" i="26"/>
  <c r="S59" i="26"/>
  <c r="T21" i="26"/>
  <c r="T17" i="26"/>
  <c r="N63" i="26"/>
  <c r="J59" i="27"/>
  <c r="K17" i="27"/>
  <c r="K19" i="27" s="1"/>
  <c r="R59" i="27"/>
  <c r="S17" i="27"/>
  <c r="S19" i="27" s="1"/>
  <c r="J59" i="28"/>
  <c r="K17" i="28"/>
  <c r="K21" i="28"/>
  <c r="R59" i="28"/>
  <c r="S17" i="28"/>
  <c r="S21" i="28"/>
  <c r="S23" i="28" s="1"/>
  <c r="S24" i="28" s="1"/>
  <c r="I59" i="29"/>
  <c r="J17" i="29"/>
  <c r="J21" i="29"/>
  <c r="Q59" i="29"/>
  <c r="R21" i="29"/>
  <c r="R23" i="29" s="1"/>
  <c r="R24" i="29" s="1"/>
  <c r="R17" i="29"/>
  <c r="H59" i="30"/>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U59" i="23"/>
  <c r="V21" i="23"/>
  <c r="V23" i="23" s="1"/>
  <c r="V24" i="23" s="1"/>
  <c r="V17" i="23"/>
  <c r="I17" i="24"/>
  <c r="I19" i="24" s="1"/>
  <c r="I20" i="24" s="1"/>
  <c r="I21" i="24"/>
  <c r="I23" i="24" s="1"/>
  <c r="I24" i="24" s="1"/>
  <c r="Q17" i="24"/>
  <c r="Q19" i="24" s="1"/>
  <c r="Q21" i="24"/>
  <c r="Q23" i="24" s="1"/>
  <c r="Q24" i="24" s="1"/>
  <c r="D59" i="26"/>
  <c r="E21" i="26"/>
  <c r="E23" i="26" s="1"/>
  <c r="E24" i="26" s="1"/>
  <c r="E17" i="26"/>
  <c r="E19" i="26" s="1"/>
  <c r="E20" i="26" s="1"/>
  <c r="L59" i="26"/>
  <c r="M21" i="26"/>
  <c r="M17" i="26"/>
  <c r="T59" i="26"/>
  <c r="U21" i="26"/>
  <c r="U23" i="26" s="1"/>
  <c r="U24" i="26" s="1"/>
  <c r="U17" i="26"/>
  <c r="U19" i="26" s="1"/>
  <c r="C59" i="27"/>
  <c r="D17" i="27"/>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24" i="30" s="1"/>
  <c r="J17" i="30"/>
  <c r="J19"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O64" i="21" s="1"/>
  <c r="P21" i="21"/>
  <c r="P23" i="21" s="1"/>
  <c r="P24" i="21" s="1"/>
  <c r="P17" i="21"/>
  <c r="H21" i="21"/>
  <c r="H17" i="21"/>
  <c r="H19" i="21" s="1"/>
  <c r="H20" i="21" s="1"/>
  <c r="E59" i="22"/>
  <c r="F21" i="22"/>
  <c r="F23" i="22" s="1"/>
  <c r="F24" i="22" s="1"/>
  <c r="F17" i="22"/>
  <c r="F19" i="22" s="1"/>
  <c r="F20" i="22" s="1"/>
  <c r="M59" i="22"/>
  <c r="N21" i="22"/>
  <c r="N23" i="22" s="1"/>
  <c r="N24" i="22" s="1"/>
  <c r="N17" i="22"/>
  <c r="U59" i="22"/>
  <c r="V17" i="22"/>
  <c r="V21" i="22"/>
  <c r="C18" i="22"/>
  <c r="H21" i="23"/>
  <c r="H23" i="23" s="1"/>
  <c r="H24" i="23" s="1"/>
  <c r="H17" i="23"/>
  <c r="H19" i="23" s="1"/>
  <c r="H20" i="23" s="1"/>
  <c r="P17" i="23"/>
  <c r="P19" i="23" s="1"/>
  <c r="P21" i="23"/>
  <c r="J59" i="24"/>
  <c r="K21" i="24"/>
  <c r="K17" i="24"/>
  <c r="R59" i="24"/>
  <c r="S21" i="24"/>
  <c r="S23" i="24" s="1"/>
  <c r="S24" i="24" s="1"/>
  <c r="S17" i="24"/>
  <c r="G21" i="26"/>
  <c r="G23" i="26" s="1"/>
  <c r="G24" i="26" s="1"/>
  <c r="G17" i="26"/>
  <c r="G19" i="26" s="1"/>
  <c r="G20" i="26" s="1"/>
  <c r="O17" i="26"/>
  <c r="O21" i="26"/>
  <c r="E59" i="27"/>
  <c r="F17" i="27"/>
  <c r="F19" i="27" s="1"/>
  <c r="F20" i="27" s="1"/>
  <c r="M59" i="27"/>
  <c r="N17" i="27"/>
  <c r="U59" i="27"/>
  <c r="V17" i="27"/>
  <c r="E59" i="28"/>
  <c r="F17" i="28"/>
  <c r="F21" i="28"/>
  <c r="F23" i="28" s="1"/>
  <c r="F24" i="28" s="1"/>
  <c r="M59" i="28"/>
  <c r="N17" i="28"/>
  <c r="N19" i="28" s="1"/>
  <c r="N21" i="28"/>
  <c r="U59" i="28"/>
  <c r="V17" i="28"/>
  <c r="V21" i="28"/>
  <c r="D59" i="29"/>
  <c r="E17" i="29"/>
  <c r="E19" i="29" s="1"/>
  <c r="E20" i="29" s="1"/>
  <c r="E21" i="29"/>
  <c r="L59" i="29"/>
  <c r="M17" i="29"/>
  <c r="M21" i="29"/>
  <c r="T59" i="29"/>
  <c r="U17" i="29"/>
  <c r="U21" i="29"/>
  <c r="C59" i="30"/>
  <c r="D17" i="30"/>
  <c r="D19" i="30" s="1"/>
  <c r="D20" i="30" s="1"/>
  <c r="D21" i="30"/>
  <c r="D23" i="30" s="1"/>
  <c r="D24"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23" i="21" s="1"/>
  <c r="G24" i="21" s="1"/>
  <c r="G17" i="21"/>
  <c r="G17" i="22"/>
  <c r="G19" i="22" s="1"/>
  <c r="G20" i="22" s="1"/>
  <c r="G21" i="22"/>
  <c r="G23" i="22" s="1"/>
  <c r="G24" i="22" s="1"/>
  <c r="O17" i="22"/>
  <c r="O19" i="22" s="1"/>
  <c r="O21" i="22"/>
  <c r="O23" i="22" s="1"/>
  <c r="O24" i="22" s="1"/>
  <c r="H59" i="23"/>
  <c r="I21" i="23"/>
  <c r="I23" i="23" s="1"/>
  <c r="I24" i="23" s="1"/>
  <c r="I17" i="23"/>
  <c r="P59" i="23"/>
  <c r="Q17" i="23"/>
  <c r="Q21" i="23"/>
  <c r="Q23" i="23" s="1"/>
  <c r="Q24" i="23" s="1"/>
  <c r="C59" i="24"/>
  <c r="D17" i="24"/>
  <c r="D19" i="24" s="1"/>
  <c r="D20" i="24" s="1"/>
  <c r="D21" i="24"/>
  <c r="D23" i="24" s="1"/>
  <c r="D24" i="24" s="1"/>
  <c r="K59" i="24"/>
  <c r="L21" i="24"/>
  <c r="L17" i="24"/>
  <c r="L19" i="24" s="1"/>
  <c r="S59" i="24"/>
  <c r="T21" i="24"/>
  <c r="T17" i="24"/>
  <c r="T19" i="24" s="1"/>
  <c r="H21" i="26"/>
  <c r="H23" i="26" s="1"/>
  <c r="H24" i="26" s="1"/>
  <c r="H17" i="26"/>
  <c r="P21" i="26"/>
  <c r="P17" i="26"/>
  <c r="F59" i="28"/>
  <c r="G17" i="28"/>
  <c r="G19" i="28" s="1"/>
  <c r="G20" i="28" s="1"/>
  <c r="G21" i="28"/>
  <c r="G23" i="28" s="1"/>
  <c r="G24" i="28" s="1"/>
  <c r="N59" i="28"/>
  <c r="O17" i="28"/>
  <c r="O19" i="28" s="1"/>
  <c r="O21" i="28"/>
  <c r="E59" i="29"/>
  <c r="F17" i="29"/>
  <c r="F19" i="29" s="1"/>
  <c r="F20" i="29" s="1"/>
  <c r="F21" i="29"/>
  <c r="F23" i="29" s="1"/>
  <c r="F24" i="29" s="1"/>
  <c r="M59" i="29"/>
  <c r="N17" i="29"/>
  <c r="N21" i="29"/>
  <c r="U59" i="29"/>
  <c r="V17" i="29"/>
  <c r="V21" i="29"/>
  <c r="V23" i="29" s="1"/>
  <c r="V24" i="29" s="1"/>
  <c r="D59" i="30"/>
  <c r="E17" i="30"/>
  <c r="E21" i="30"/>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H20" i="22" s="1"/>
  <c r="I59" i="23"/>
  <c r="J21" i="23"/>
  <c r="J17" i="23"/>
  <c r="J19" i="23" s="1"/>
  <c r="Q59" i="23"/>
  <c r="R21" i="23"/>
  <c r="R17" i="23"/>
  <c r="D59" i="24"/>
  <c r="E17" i="24"/>
  <c r="E21" i="24"/>
  <c r="L59" i="24"/>
  <c r="M17" i="24"/>
  <c r="M19" i="24" s="1"/>
  <c r="M21" i="24"/>
  <c r="M23" i="24" s="1"/>
  <c r="M24" i="24" s="1"/>
  <c r="T59" i="24"/>
  <c r="U21" i="24"/>
  <c r="U17" i="24"/>
  <c r="H59" i="26"/>
  <c r="I17" i="26"/>
  <c r="I19" i="26" s="1"/>
  <c r="I20" i="26" s="1"/>
  <c r="I21" i="26"/>
  <c r="I23" i="26" s="1"/>
  <c r="I24" i="26" s="1"/>
  <c r="P59" i="26"/>
  <c r="Q17" i="26"/>
  <c r="Q19" i="26" s="1"/>
  <c r="Q21" i="26"/>
  <c r="E63" i="26"/>
  <c r="H17" i="27"/>
  <c r="P17" i="27"/>
  <c r="P19" i="27" s="1"/>
  <c r="H21" i="28"/>
  <c r="H23" i="28" s="1"/>
  <c r="H24" i="28" s="1"/>
  <c r="H17" i="28"/>
  <c r="H19" i="28" s="1"/>
  <c r="H20" i="28" s="1"/>
  <c r="P21" i="28"/>
  <c r="P17" i="28"/>
  <c r="P19" i="28" s="1"/>
  <c r="G17" i="29"/>
  <c r="G19" i="29" s="1"/>
  <c r="G20" i="29" s="1"/>
  <c r="G21" i="29"/>
  <c r="G23" i="29" s="1"/>
  <c r="G24" i="29" s="1"/>
  <c r="O17" i="29"/>
  <c r="O21" i="29"/>
  <c r="E59" i="30"/>
  <c r="F21" i="30"/>
  <c r="F23" i="30" s="1"/>
  <c r="F24" i="30" s="1"/>
  <c r="F17" i="30"/>
  <c r="F19" i="30" s="1"/>
  <c r="F20" i="30" s="1"/>
  <c r="M59" i="30"/>
  <c r="N21" i="30"/>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O59" i="22"/>
  <c r="P21" i="22"/>
  <c r="P17" i="22"/>
  <c r="T59" i="21"/>
  <c r="T64" i="21" s="1"/>
  <c r="U17" i="21"/>
  <c r="U19" i="21" s="1"/>
  <c r="U21" i="21"/>
  <c r="U23" i="21" s="1"/>
  <c r="U24" i="21" s="1"/>
  <c r="M17" i="21"/>
  <c r="M21" i="21"/>
  <c r="E17" i="21"/>
  <c r="E21" i="21"/>
  <c r="E23" i="21" s="1"/>
  <c r="E24" i="21" s="1"/>
  <c r="H59" i="22"/>
  <c r="I17" i="22"/>
  <c r="I19" i="22" s="1"/>
  <c r="I20" i="22" s="1"/>
  <c r="I21" i="22"/>
  <c r="I23" i="22" s="1"/>
  <c r="I24" i="22" s="1"/>
  <c r="P59" i="22"/>
  <c r="Q17" i="22"/>
  <c r="Q19" i="22" s="1"/>
  <c r="Q21" i="22"/>
  <c r="J59" i="23"/>
  <c r="K17" i="23"/>
  <c r="K21" i="23"/>
  <c r="K23" i="23" s="1"/>
  <c r="K24" i="23" s="1"/>
  <c r="R59" i="23"/>
  <c r="S17" i="23"/>
  <c r="S19" i="23" s="1"/>
  <c r="S21" i="23"/>
  <c r="E59" i="24"/>
  <c r="F21" i="24"/>
  <c r="F23" i="24" s="1"/>
  <c r="F24" i="24" s="1"/>
  <c r="F17" i="24"/>
  <c r="M59" i="24"/>
  <c r="N21" i="24"/>
  <c r="N23" i="24" s="1"/>
  <c r="N24" i="24" s="1"/>
  <c r="N17" i="24"/>
  <c r="N19" i="24" s="1"/>
  <c r="U59" i="24"/>
  <c r="V21" i="24"/>
  <c r="V17" i="24"/>
  <c r="V19" i="24" s="1"/>
  <c r="I58" i="26"/>
  <c r="I61" i="26" s="1"/>
  <c r="J17" i="26"/>
  <c r="J19" i="26" s="1"/>
  <c r="J21" i="26"/>
  <c r="Q58" i="26"/>
  <c r="Q61" i="26" s="1"/>
  <c r="R21" i="26"/>
  <c r="R23" i="26" s="1"/>
  <c r="R24" i="26" s="1"/>
  <c r="R17" i="26"/>
  <c r="R19" i="26" s="1"/>
  <c r="F63" i="26"/>
  <c r="I17" i="27"/>
  <c r="I19" i="27" s="1"/>
  <c r="I20" i="27" s="1"/>
  <c r="Q17" i="27"/>
  <c r="I21" i="28"/>
  <c r="I23" i="28" s="1"/>
  <c r="I24" i="28" s="1"/>
  <c r="I17" i="28"/>
  <c r="I19" i="28" s="1"/>
  <c r="I20" i="28" s="1"/>
  <c r="Q21" i="28"/>
  <c r="Q23" i="28" s="1"/>
  <c r="Q24" i="28" s="1"/>
  <c r="Q17" i="28"/>
  <c r="Q19" i="28" s="1"/>
  <c r="H21" i="29"/>
  <c r="H23" i="29" s="1"/>
  <c r="H24" i="29" s="1"/>
  <c r="H17" i="29"/>
  <c r="H19" i="29" s="1"/>
  <c r="H20" i="29" s="1"/>
  <c r="P21" i="29"/>
  <c r="P23" i="29" s="1"/>
  <c r="P24" i="29" s="1"/>
  <c r="P17" i="29"/>
  <c r="G21" i="30"/>
  <c r="G17" i="30"/>
  <c r="G19" i="30" s="1"/>
  <c r="G20"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R24" i="22" s="1"/>
  <c r="C59" i="23"/>
  <c r="D17" i="23"/>
  <c r="D19" i="23" s="1"/>
  <c r="D20" i="23" s="1"/>
  <c r="D21" i="23"/>
  <c r="D23" i="23" s="1"/>
  <c r="D24" i="23" s="1"/>
  <c r="S59" i="23"/>
  <c r="T17" i="23"/>
  <c r="T21" i="23"/>
  <c r="G17" i="24"/>
  <c r="G19" i="24" s="1"/>
  <c r="G20" i="24" s="1"/>
  <c r="G21" i="24"/>
  <c r="G23" i="24" s="1"/>
  <c r="G24" i="24" s="1"/>
  <c r="O17" i="24"/>
  <c r="O21" i="24"/>
  <c r="J59" i="26"/>
  <c r="K17" i="26"/>
  <c r="K19" i="26" s="1"/>
  <c r="K21" i="26"/>
  <c r="R59" i="26"/>
  <c r="S17" i="26"/>
  <c r="S19" i="26" s="1"/>
  <c r="S21" i="26"/>
  <c r="S23" i="26" s="1"/>
  <c r="S24" i="26" s="1"/>
  <c r="M63" i="26"/>
  <c r="I59" i="27"/>
  <c r="J17" i="27"/>
  <c r="Q59" i="27"/>
  <c r="R17" i="27"/>
  <c r="I59" i="28"/>
  <c r="J17" i="28"/>
  <c r="J19" i="28" s="1"/>
  <c r="J21" i="28"/>
  <c r="J23" i="28" s="1"/>
  <c r="J24" i="28" s="1"/>
  <c r="Q59" i="28"/>
  <c r="R21" i="28"/>
  <c r="R23" i="28" s="1"/>
  <c r="R24" i="28" s="1"/>
  <c r="R17" i="28"/>
  <c r="I21" i="29"/>
  <c r="I23" i="29" s="1"/>
  <c r="I24" i="29" s="1"/>
  <c r="I17" i="29"/>
  <c r="I19" i="29" s="1"/>
  <c r="I20" i="29" s="1"/>
  <c r="Q21" i="29"/>
  <c r="Q17" i="29"/>
  <c r="Q19" i="29" s="1"/>
  <c r="H17" i="30"/>
  <c r="H19" i="30" s="1"/>
  <c r="H20" i="30" s="1"/>
  <c r="H21" i="30"/>
  <c r="H23" i="30" s="1"/>
  <c r="H24" i="30" s="1"/>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B59" i="27"/>
  <c r="C17" i="27"/>
  <c r="C19" i="27" s="1"/>
  <c r="C20" i="27" s="1"/>
  <c r="C21" i="27"/>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D23" i="21"/>
  <c r="D24" i="21" s="1"/>
  <c r="S58" i="21"/>
  <c r="S61" i="21" s="1"/>
  <c r="C58" i="21"/>
  <c r="C61" i="21" s="1"/>
  <c r="K58" i="21"/>
  <c r="K61" i="21" s="1"/>
  <c r="K64" i="21" s="1"/>
  <c r="R19" i="24"/>
  <c r="I21" i="27"/>
  <c r="I23" i="27" s="1"/>
  <c r="I24" i="27" s="1"/>
  <c r="Q21" i="27"/>
  <c r="R58" i="21"/>
  <c r="R61" i="21" s="1"/>
  <c r="R64" i="21" s="1"/>
  <c r="O57" i="21"/>
  <c r="A43" i="21"/>
  <c r="J58" i="21"/>
  <c r="J61" i="21" s="1"/>
  <c r="E19" i="21"/>
  <c r="E20" i="21" s="1"/>
  <c r="D58" i="29"/>
  <c r="D61" i="29" s="1"/>
  <c r="P23" i="26"/>
  <c r="P24" i="26" s="1"/>
  <c r="G21" i="27"/>
  <c r="G23" i="27" s="1"/>
  <c r="G24" i="27" s="1"/>
  <c r="O21" i="27"/>
  <c r="O23" i="27" s="1"/>
  <c r="O24" i="27" s="1"/>
  <c r="D58" i="30"/>
  <c r="D61" i="30" s="1"/>
  <c r="L58" i="30"/>
  <c r="L61" i="30" s="1"/>
  <c r="L64" i="30" s="1"/>
  <c r="R58" i="23"/>
  <c r="R61" i="23" s="1"/>
  <c r="H21" i="27"/>
  <c r="H23" i="27" s="1"/>
  <c r="H24" i="27" s="1"/>
  <c r="P21" i="27"/>
  <c r="J58" i="22"/>
  <c r="J61" i="22" s="1"/>
  <c r="J58" i="26"/>
  <c r="J61" i="26" s="1"/>
  <c r="J23" i="23"/>
  <c r="J24" i="23" s="1"/>
  <c r="R19" i="23"/>
  <c r="J58" i="27"/>
  <c r="J61" i="27" s="1"/>
  <c r="J64" i="27" s="1"/>
  <c r="R58" i="27"/>
  <c r="R61" i="27" s="1"/>
  <c r="R64" i="27" s="1"/>
  <c r="R58" i="28"/>
  <c r="R61" i="28" s="1"/>
  <c r="R64" i="28" s="1"/>
  <c r="F58" i="22"/>
  <c r="F61" i="22" s="1"/>
  <c r="N58" i="22"/>
  <c r="N61" i="22" s="1"/>
  <c r="N64" i="22" s="1"/>
  <c r="F58" i="23"/>
  <c r="F61" i="23" s="1"/>
  <c r="N58" i="23"/>
  <c r="N61" i="23" s="1"/>
  <c r="D19" i="27"/>
  <c r="D20" i="27" s="1"/>
  <c r="L21" i="27"/>
  <c r="L23" i="27" s="1"/>
  <c r="L24" i="27" s="1"/>
  <c r="T21" i="27"/>
  <c r="H57" i="29"/>
  <c r="P58" i="21"/>
  <c r="P61" i="21" s="1"/>
  <c r="H58" i="21"/>
  <c r="H61" i="21" s="1"/>
  <c r="N59" i="23"/>
  <c r="R58" i="26"/>
  <c r="R61" i="26" s="1"/>
  <c r="R57" i="21"/>
  <c r="H58" i="22"/>
  <c r="H61" i="22" s="1"/>
  <c r="P58" i="22"/>
  <c r="P61" i="22" s="1"/>
  <c r="P64" i="22" s="1"/>
  <c r="F59" i="22"/>
  <c r="K58" i="29"/>
  <c r="K61" i="29" s="1"/>
  <c r="F19" i="23"/>
  <c r="F20" i="23" s="1"/>
  <c r="I58" i="23"/>
  <c r="I61" i="23" s="1"/>
  <c r="I64" i="23" s="1"/>
  <c r="Q58" i="23"/>
  <c r="Q61" i="23" s="1"/>
  <c r="L58" i="29"/>
  <c r="L61" i="29" s="1"/>
  <c r="T58" i="29"/>
  <c r="T61" i="29" s="1"/>
  <c r="T64" i="29" s="1"/>
  <c r="I23" i="30"/>
  <c r="I24" i="30" s="1"/>
  <c r="Q23" i="30"/>
  <c r="Q24" i="30" s="1"/>
  <c r="E23" i="30"/>
  <c r="E24" i="30" s="1"/>
  <c r="U23" i="30"/>
  <c r="U24" i="30" s="1"/>
  <c r="J58" i="28"/>
  <c r="J61" i="28" s="1"/>
  <c r="J64" i="28" s="1"/>
  <c r="R58" i="22"/>
  <c r="R61" i="22" s="1"/>
  <c r="R64" i="22" s="1"/>
  <c r="J58" i="23"/>
  <c r="J61" i="23" s="1"/>
  <c r="J64" i="23" s="1"/>
  <c r="J58" i="24"/>
  <c r="J61" i="24" s="1"/>
  <c r="J64" i="24" s="1"/>
  <c r="R58" i="24"/>
  <c r="R61" i="24" s="1"/>
  <c r="F57" i="24"/>
  <c r="T58" i="30"/>
  <c r="T61" i="30" s="1"/>
  <c r="T64" i="30" s="1"/>
  <c r="C58" i="23"/>
  <c r="C61" i="23" s="1"/>
  <c r="K58" i="23"/>
  <c r="K61" i="23" s="1"/>
  <c r="S58" i="23"/>
  <c r="S61" i="23" s="1"/>
  <c r="F58" i="26"/>
  <c r="F61" i="26" s="1"/>
  <c r="D58" i="27"/>
  <c r="D61" i="27" s="1"/>
  <c r="D64" i="27" s="1"/>
  <c r="D65" i="27" s="1"/>
  <c r="L58" i="27"/>
  <c r="L61" i="27" s="1"/>
  <c r="T58" i="27"/>
  <c r="T61" i="27" s="1"/>
  <c r="T64" i="27" s="1"/>
  <c r="J58" i="30"/>
  <c r="J61" i="30" s="1"/>
  <c r="J64" i="30" s="1"/>
  <c r="R58" i="30"/>
  <c r="R61" i="30" s="1"/>
  <c r="R64" i="30" s="1"/>
  <c r="P57" i="30"/>
  <c r="J57" i="21"/>
  <c r="H59" i="21"/>
  <c r="Q23" i="22"/>
  <c r="Q24" i="22" s="1"/>
  <c r="J19" i="27"/>
  <c r="R21" i="27"/>
  <c r="R23" i="27" s="1"/>
  <c r="R24" i="27" s="1"/>
  <c r="E58" i="27"/>
  <c r="E61" i="27" s="1"/>
  <c r="M58" i="27"/>
  <c r="M61" i="27" s="1"/>
  <c r="U58" i="27"/>
  <c r="U61" i="27" s="1"/>
  <c r="I58" i="29"/>
  <c r="I61" i="29" s="1"/>
  <c r="I64"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L24" i="30" s="1"/>
  <c r="T23" i="30"/>
  <c r="T24" i="30" s="1"/>
  <c r="G58" i="30"/>
  <c r="G61" i="30" s="1"/>
  <c r="O58" i="30"/>
  <c r="O61" i="30" s="1"/>
  <c r="Q57" i="30"/>
  <c r="A36" i="22"/>
  <c r="G58" i="27"/>
  <c r="G61" i="27" s="1"/>
  <c r="T58" i="28"/>
  <c r="T61" i="28" s="1"/>
  <c r="T64" i="28" s="1"/>
  <c r="C58" i="29"/>
  <c r="C61" i="29" s="1"/>
  <c r="C64" i="29" s="1"/>
  <c r="H58" i="30"/>
  <c r="H61" i="30" s="1"/>
  <c r="H64" i="30" s="1"/>
  <c r="N59" i="30"/>
  <c r="K19" i="21"/>
  <c r="Q57" i="21"/>
  <c r="B58" i="21"/>
  <c r="B61" i="21" s="1"/>
  <c r="I58" i="22"/>
  <c r="I61" i="22" s="1"/>
  <c r="I64"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P58" i="26"/>
  <c r="P61" i="26" s="1"/>
  <c r="F59" i="26"/>
  <c r="F64" i="26" s="1"/>
  <c r="O58" i="27"/>
  <c r="O61" i="27" s="1"/>
  <c r="A38" i="21"/>
  <c r="F57" i="22"/>
  <c r="N59" i="22"/>
  <c r="E58" i="23"/>
  <c r="E61" i="23" s="1"/>
  <c r="E64" i="23" s="1"/>
  <c r="E65" i="23" s="1"/>
  <c r="M58" i="23"/>
  <c r="M61" i="23" s="1"/>
  <c r="U58" i="23"/>
  <c r="U61" i="23" s="1"/>
  <c r="U64" i="23" s="1"/>
  <c r="V19" i="23"/>
  <c r="O23" i="24"/>
  <c r="O24" i="24" s="1"/>
  <c r="F58" i="24"/>
  <c r="F61" i="24" s="1"/>
  <c r="N58" i="24"/>
  <c r="N61" i="24" s="1"/>
  <c r="F59" i="24"/>
  <c r="I58" i="27"/>
  <c r="I61" i="27" s="1"/>
  <c r="I64"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H64" i="26" s="1"/>
  <c r="L58" i="28"/>
  <c r="L61" i="28" s="1"/>
  <c r="S58" i="29"/>
  <c r="S61" i="29" s="1"/>
  <c r="S64" i="29" s="1"/>
  <c r="P19" i="21"/>
  <c r="H23" i="22"/>
  <c r="H24" i="22" s="1"/>
  <c r="P23" i="22"/>
  <c r="P24" i="22" s="1"/>
  <c r="C58" i="22"/>
  <c r="C61" i="22" s="1"/>
  <c r="C64" i="22" s="1"/>
  <c r="K58" i="22"/>
  <c r="K61" i="22" s="1"/>
  <c r="K64" i="22" s="1"/>
  <c r="S58" i="22"/>
  <c r="S61" i="22" s="1"/>
  <c r="S64" i="22" s="1"/>
  <c r="F57" i="23"/>
  <c r="L23" i="24"/>
  <c r="L24" i="24" s="1"/>
  <c r="T23" i="24"/>
  <c r="T24" i="24" s="1"/>
  <c r="G58" i="24"/>
  <c r="G61" i="24" s="1"/>
  <c r="O58" i="24"/>
  <c r="O61" i="24" s="1"/>
  <c r="N59" i="24"/>
  <c r="C58" i="26"/>
  <c r="C61" i="26" s="1"/>
  <c r="C64" i="26" s="1"/>
  <c r="K58" i="26"/>
  <c r="K61" i="26" s="1"/>
  <c r="S58" i="26"/>
  <c r="S61" i="26" s="1"/>
  <c r="S64" i="26" s="1"/>
  <c r="P23" i="27"/>
  <c r="P24" i="27" s="1"/>
  <c r="N57" i="27"/>
  <c r="H59" i="27"/>
  <c r="G58" i="28"/>
  <c r="G61" i="28" s="1"/>
  <c r="O58" i="28"/>
  <c r="O61" i="28" s="1"/>
  <c r="F57" i="28"/>
  <c r="F58" i="29"/>
  <c r="F61" i="29" s="1"/>
  <c r="N58" i="29"/>
  <c r="N61" i="29" s="1"/>
  <c r="H59" i="29"/>
  <c r="C58" i="30"/>
  <c r="C61" i="30" s="1"/>
  <c r="C64" i="30" s="1"/>
  <c r="C65" i="30" s="1"/>
  <c r="K58" i="30"/>
  <c r="K61" i="30" s="1"/>
  <c r="K64" i="30" s="1"/>
  <c r="S58" i="30"/>
  <c r="S61" i="30" s="1"/>
  <c r="H57" i="30"/>
  <c r="D58" i="24"/>
  <c r="D61" i="24" s="1"/>
  <c r="D64" i="24" s="1"/>
  <c r="D58" i="28"/>
  <c r="D61" i="28" s="1"/>
  <c r="D64" i="28" s="1"/>
  <c r="P58" i="30"/>
  <c r="P61" i="30" s="1"/>
  <c r="Q58" i="21"/>
  <c r="Q61" i="21" s="1"/>
  <c r="Q64" i="21" s="1"/>
  <c r="I58" i="21"/>
  <c r="I61" i="21" s="1"/>
  <c r="D58" i="22"/>
  <c r="D61" i="22" s="1"/>
  <c r="L58" i="22"/>
  <c r="L61" i="22" s="1"/>
  <c r="T58" i="22"/>
  <c r="T61" i="22" s="1"/>
  <c r="T64" i="22" s="1"/>
  <c r="A37" i="22"/>
  <c r="N57" i="22"/>
  <c r="G58" i="23"/>
  <c r="G61" i="23" s="1"/>
  <c r="O58" i="23"/>
  <c r="O61" i="23" s="1"/>
  <c r="N57" i="23"/>
  <c r="H58" i="24"/>
  <c r="H61" i="24" s="1"/>
  <c r="P58" i="24"/>
  <c r="P61" i="24" s="1"/>
  <c r="Q23" i="26"/>
  <c r="Q24" i="26" s="1"/>
  <c r="D58" i="26"/>
  <c r="D61" i="26" s="1"/>
  <c r="L58" i="26"/>
  <c r="L61" i="26" s="1"/>
  <c r="L64" i="26" s="1"/>
  <c r="T58" i="26"/>
  <c r="T61" i="26" s="1"/>
  <c r="F57" i="26"/>
  <c r="C58" i="27"/>
  <c r="C61" i="27" s="1"/>
  <c r="C64" i="27" s="1"/>
  <c r="C65" i="27" s="1"/>
  <c r="K58" i="27"/>
  <c r="K61" i="27" s="1"/>
  <c r="K64" i="27" s="1"/>
  <c r="S58" i="27"/>
  <c r="S61" i="27" s="1"/>
  <c r="S64" i="27" s="1"/>
  <c r="P57" i="27"/>
  <c r="N59" i="27"/>
  <c r="H58" i="28"/>
  <c r="H61" i="28" s="1"/>
  <c r="P58" i="28"/>
  <c r="P61" i="28" s="1"/>
  <c r="N57" i="28"/>
  <c r="D23" i="29"/>
  <c r="D24" i="29" s="1"/>
  <c r="L23" i="29"/>
  <c r="L24" i="29" s="1"/>
  <c r="T23" i="29"/>
  <c r="T24" i="29" s="1"/>
  <c r="G58" i="29"/>
  <c r="G61" i="29" s="1"/>
  <c r="O58" i="29"/>
  <c r="O61" i="29" s="1"/>
  <c r="P59" i="29"/>
  <c r="D64" i="30"/>
  <c r="D65" i="30" s="1"/>
  <c r="I57" i="30"/>
  <c r="M19" i="21"/>
  <c r="G57" i="21"/>
  <c r="J19" i="22"/>
  <c r="E58" i="22"/>
  <c r="E61" i="22" s="1"/>
  <c r="E64" i="22" s="1"/>
  <c r="M58" i="22"/>
  <c r="M61" i="22" s="1"/>
  <c r="M64" i="22" s="1"/>
  <c r="U58" i="22"/>
  <c r="U61" i="22" s="1"/>
  <c r="A45" i="22"/>
  <c r="O57" i="22"/>
  <c r="H58" i="23"/>
  <c r="H61" i="23" s="1"/>
  <c r="H64" i="23" s="1"/>
  <c r="H65" i="23" s="1"/>
  <c r="P58" i="23"/>
  <c r="P61" i="23" s="1"/>
  <c r="P64" i="23" s="1"/>
  <c r="I58" i="24"/>
  <c r="I61" i="24" s="1"/>
  <c r="Q58" i="24"/>
  <c r="Q61" i="24" s="1"/>
  <c r="Q64" i="24" s="1"/>
  <c r="E58" i="26"/>
  <c r="E61" i="26" s="1"/>
  <c r="M58" i="26"/>
  <c r="M61" i="26" s="1"/>
  <c r="M64" i="26" s="1"/>
  <c r="M66" i="26" s="1"/>
  <c r="U58" i="26"/>
  <c r="U61" i="26" s="1"/>
  <c r="N57" i="26"/>
  <c r="P59" i="27"/>
  <c r="I58" i="28"/>
  <c r="I61" i="28" s="1"/>
  <c r="I64" i="28" s="1"/>
  <c r="Q58" i="28"/>
  <c r="Q61" i="28" s="1"/>
  <c r="Q64" i="28" s="1"/>
  <c r="P23" i="28"/>
  <c r="P24" i="28" s="1"/>
  <c r="H58" i="29"/>
  <c r="H61" i="29" s="1"/>
  <c r="P58" i="29"/>
  <c r="P61" i="29" s="1"/>
  <c r="E58" i="30"/>
  <c r="E61" i="30" s="1"/>
  <c r="E64" i="30" s="1"/>
  <c r="E65" i="30" s="1"/>
  <c r="M58" i="30"/>
  <c r="M61" i="30" s="1"/>
  <c r="U58" i="30"/>
  <c r="U61" i="30" s="1"/>
  <c r="U64" i="30" s="1"/>
  <c r="U66" i="30" s="1"/>
  <c r="N57" i="30"/>
  <c r="F59" i="30"/>
  <c r="B58" i="30"/>
  <c r="B61" i="30" s="1"/>
  <c r="B64"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O24" i="30" s="1"/>
  <c r="G23" i="30"/>
  <c r="G24" i="30" s="1"/>
  <c r="R19" i="30"/>
  <c r="F63" i="30"/>
  <c r="N63" i="30"/>
  <c r="K19" i="30"/>
  <c r="S19" i="30"/>
  <c r="S23" i="30"/>
  <c r="S24" i="30" s="1"/>
  <c r="A31" i="30"/>
  <c r="A33" i="30"/>
  <c r="A39" i="30"/>
  <c r="A41" i="30"/>
  <c r="A47" i="30"/>
  <c r="A49" i="30"/>
  <c r="G57" i="30"/>
  <c r="O57" i="30"/>
  <c r="G59" i="30"/>
  <c r="O59" i="30"/>
  <c r="G63" i="30"/>
  <c r="O63" i="30"/>
  <c r="P63" i="30"/>
  <c r="I63" i="30"/>
  <c r="Q63" i="30"/>
  <c r="T19" i="30"/>
  <c r="E19" i="30"/>
  <c r="E20" i="30" s="1"/>
  <c r="N19" i="30"/>
  <c r="V19" i="30"/>
  <c r="N23" i="30"/>
  <c r="N24" i="30" s="1"/>
  <c r="B63" i="30"/>
  <c r="J63" i="30"/>
  <c r="R63" i="30"/>
  <c r="M19" i="30"/>
  <c r="A32" i="30"/>
  <c r="A34" i="30"/>
  <c r="A40" i="30"/>
  <c r="A42" i="30"/>
  <c r="A48" i="30"/>
  <c r="A50" i="30"/>
  <c r="C63" i="30"/>
  <c r="K63" i="30"/>
  <c r="S63" i="30"/>
  <c r="P19" i="30"/>
  <c r="D63" i="30"/>
  <c r="L63" i="30"/>
  <c r="T63" i="30"/>
  <c r="H63" i="30"/>
  <c r="Q19" i="30"/>
  <c r="E63" i="30"/>
  <c r="M63" i="30"/>
  <c r="Q23" i="29"/>
  <c r="Q24" i="29" s="1"/>
  <c r="O23" i="29"/>
  <c r="O24" i="29" s="1"/>
  <c r="T19" i="29"/>
  <c r="P63" i="29"/>
  <c r="J19" i="29"/>
  <c r="R19" i="29"/>
  <c r="J23" i="29"/>
  <c r="J24" i="29" s="1"/>
  <c r="F57" i="29"/>
  <c r="N57" i="29"/>
  <c r="F59" i="29"/>
  <c r="N59" i="29"/>
  <c r="F63" i="29"/>
  <c r="N63" i="29"/>
  <c r="H63" i="29"/>
  <c r="K19" i="29"/>
  <c r="S19" i="29"/>
  <c r="K23" i="29"/>
  <c r="K24" i="29" s="1"/>
  <c r="S23" i="29"/>
  <c r="S24" i="29" s="1"/>
  <c r="A31" i="29"/>
  <c r="A33" i="29"/>
  <c r="A39" i="29"/>
  <c r="A41" i="29"/>
  <c r="A47" i="29"/>
  <c r="A49" i="29"/>
  <c r="G57" i="29"/>
  <c r="O57" i="29"/>
  <c r="G59" i="29"/>
  <c r="O59" i="29"/>
  <c r="G63" i="29"/>
  <c r="O63" i="29"/>
  <c r="M19" i="29"/>
  <c r="U19" i="29"/>
  <c r="E23" i="29"/>
  <c r="E24" i="29" s="1"/>
  <c r="M23" i="29"/>
  <c r="M24" i="29" s="1"/>
  <c r="U23" i="29"/>
  <c r="U24" i="29" s="1"/>
  <c r="I57" i="29"/>
  <c r="Q57" i="29"/>
  <c r="I63" i="29"/>
  <c r="Q63" i="29"/>
  <c r="N19" i="29"/>
  <c r="V19" i="29"/>
  <c r="N23" i="29"/>
  <c r="N24" i="29" s="1"/>
  <c r="B63" i="29"/>
  <c r="J63" i="29"/>
  <c r="R63" i="29"/>
  <c r="L19" i="29"/>
  <c r="O19" i="29"/>
  <c r="A32" i="29"/>
  <c r="A34" i="29"/>
  <c r="A40" i="29"/>
  <c r="A42" i="29"/>
  <c r="A48" i="29"/>
  <c r="A50" i="29"/>
  <c r="C63" i="29"/>
  <c r="K63" i="29"/>
  <c r="S63" i="29"/>
  <c r="P19" i="29"/>
  <c r="D63" i="29"/>
  <c r="L63" i="29"/>
  <c r="T63" i="29"/>
  <c r="E63" i="29"/>
  <c r="M63" i="29"/>
  <c r="K19" i="28"/>
  <c r="S19" i="28"/>
  <c r="K23" i="28"/>
  <c r="K24" i="28" s="1"/>
  <c r="A31" i="28"/>
  <c r="A33" i="28"/>
  <c r="A37" i="28"/>
  <c r="A39" i="28"/>
  <c r="A41" i="28"/>
  <c r="A45" i="28"/>
  <c r="A47" i="28"/>
  <c r="A49" i="28"/>
  <c r="G57" i="28"/>
  <c r="O57" i="28"/>
  <c r="G59" i="28"/>
  <c r="O59" i="28"/>
  <c r="G63" i="28"/>
  <c r="O63" i="28"/>
  <c r="D19" i="28"/>
  <c r="D20" i="28" s="1"/>
  <c r="L19" i="28"/>
  <c r="L23" i="28"/>
  <c r="L24" i="28" s="1"/>
  <c r="T23" i="28"/>
  <c r="T24" i="28" s="1"/>
  <c r="H59" i="28"/>
  <c r="P59" i="28"/>
  <c r="H63" i="28"/>
  <c r="P63" i="28"/>
  <c r="M19" i="28"/>
  <c r="U19" i="28"/>
  <c r="M23" i="28"/>
  <c r="M24" i="28" s="1"/>
  <c r="I57" i="28"/>
  <c r="Q57" i="28"/>
  <c r="I63" i="28"/>
  <c r="Q63" i="28"/>
  <c r="R19" i="28"/>
  <c r="F19" i="28"/>
  <c r="F20" i="28" s="1"/>
  <c r="V19" i="28"/>
  <c r="N23" i="28"/>
  <c r="N24" i="28" s="1"/>
  <c r="V23" i="28"/>
  <c r="V24" i="28" s="1"/>
  <c r="B63" i="28"/>
  <c r="J63" i="28"/>
  <c r="R63" i="28"/>
  <c r="A32" i="28"/>
  <c r="A34" i="28"/>
  <c r="A40" i="28"/>
  <c r="A42" i="28"/>
  <c r="A48" i="28"/>
  <c r="A50" i="28"/>
  <c r="C63" i="28"/>
  <c r="K63" i="28"/>
  <c r="S63" i="28"/>
  <c r="D63" i="28"/>
  <c r="L63" i="28"/>
  <c r="T63" i="28"/>
  <c r="E63" i="28"/>
  <c r="M63" i="28"/>
  <c r="Q23" i="27"/>
  <c r="Q24" i="27" s="1"/>
  <c r="T23" i="27"/>
  <c r="T24" i="27" s="1"/>
  <c r="R19" i="27"/>
  <c r="J21" i="27"/>
  <c r="J23" i="27" s="1"/>
  <c r="J24" i="27" s="1"/>
  <c r="F63" i="27"/>
  <c r="N63" i="27"/>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H19" i="27"/>
  <c r="H20" i="27" s="1"/>
  <c r="D63" i="27"/>
  <c r="L63" i="27"/>
  <c r="T63" i="27"/>
  <c r="H63" i="27"/>
  <c r="Q19" i="27"/>
  <c r="E63" i="27"/>
  <c r="M63" i="27"/>
  <c r="U64" i="26"/>
  <c r="U66" i="26" s="1"/>
  <c r="O23" i="26"/>
  <c r="O24" i="26" s="1"/>
  <c r="J23" i="26"/>
  <c r="J24" i="26" s="1"/>
  <c r="C19" i="26"/>
  <c r="C20" i="26" s="1"/>
  <c r="K23" i="26"/>
  <c r="K24" i="26" s="1"/>
  <c r="A31" i="26"/>
  <c r="A33" i="26"/>
  <c r="A37" i="26"/>
  <c r="A39" i="26"/>
  <c r="A41" i="26"/>
  <c r="A45" i="26"/>
  <c r="A47" i="26"/>
  <c r="A49" i="26"/>
  <c r="G57" i="26"/>
  <c r="O57" i="26"/>
  <c r="G59" i="26"/>
  <c r="O59" i="26"/>
  <c r="G63" i="26"/>
  <c r="O63" i="26"/>
  <c r="L19" i="26"/>
  <c r="T19" i="26"/>
  <c r="L23" i="26"/>
  <c r="L24" i="26" s="1"/>
  <c r="T23" i="26"/>
  <c r="T24" i="26" s="1"/>
  <c r="H63" i="26"/>
  <c r="P63" i="26"/>
  <c r="M19" i="26"/>
  <c r="M23" i="26"/>
  <c r="M24" i="26" s="1"/>
  <c r="I57" i="26"/>
  <c r="Q57" i="26"/>
  <c r="I59" i="26"/>
  <c r="I64" i="26" s="1"/>
  <c r="Q59" i="26"/>
  <c r="Q64" i="26" s="1"/>
  <c r="I63" i="26"/>
  <c r="Q63" i="26"/>
  <c r="N19" i="26"/>
  <c r="N23" i="26"/>
  <c r="N24" i="26" s="1"/>
  <c r="V23" i="26"/>
  <c r="V24" i="26" s="1"/>
  <c r="B63" i="26"/>
  <c r="J63" i="26"/>
  <c r="R63" i="26"/>
  <c r="O19" i="26"/>
  <c r="A32" i="26"/>
  <c r="A34" i="26"/>
  <c r="A40" i="26"/>
  <c r="A42" i="26"/>
  <c r="A48" i="26"/>
  <c r="A50" i="26"/>
  <c r="C63" i="26"/>
  <c r="K63" i="26"/>
  <c r="S63" i="26"/>
  <c r="H19" i="26"/>
  <c r="H20" i="26" s="1"/>
  <c r="P19" i="26"/>
  <c r="D63" i="26"/>
  <c r="L63" i="26"/>
  <c r="J23" i="24"/>
  <c r="J24" i="24" s="1"/>
  <c r="P23" i="24"/>
  <c r="P24" i="24" s="1"/>
  <c r="K19" i="24"/>
  <c r="S19" i="24"/>
  <c r="K23" i="24"/>
  <c r="K24" i="24" s="1"/>
  <c r="A31" i="24"/>
  <c r="A33" i="24"/>
  <c r="A37" i="24"/>
  <c r="A39" i="24"/>
  <c r="A41" i="24"/>
  <c r="A45" i="24"/>
  <c r="A47" i="24"/>
  <c r="A49" i="24"/>
  <c r="G57" i="24"/>
  <c r="O57" i="24"/>
  <c r="G59" i="24"/>
  <c r="O59" i="24"/>
  <c r="G63" i="24"/>
  <c r="O63" i="24"/>
  <c r="H59" i="24"/>
  <c r="P59" i="24"/>
  <c r="H63" i="24"/>
  <c r="P63" i="24"/>
  <c r="E19" i="24"/>
  <c r="E20" i="24" s="1"/>
  <c r="U19" i="24"/>
  <c r="E23" i="24"/>
  <c r="E24" i="24" s="1"/>
  <c r="U23" i="24"/>
  <c r="U24" i="24" s="1"/>
  <c r="I57" i="24"/>
  <c r="Q57" i="24"/>
  <c r="I63" i="24"/>
  <c r="Q63" i="24"/>
  <c r="F19" i="24"/>
  <c r="F20" i="24" s="1"/>
  <c r="V23" i="24"/>
  <c r="V24" i="24" s="1"/>
  <c r="B63" i="24"/>
  <c r="J63" i="24"/>
  <c r="R63" i="24"/>
  <c r="O19" i="24"/>
  <c r="A32" i="24"/>
  <c r="A34" i="24"/>
  <c r="A40" i="24"/>
  <c r="A42" i="24"/>
  <c r="A48" i="24"/>
  <c r="A50" i="24"/>
  <c r="C63" i="24"/>
  <c r="K63" i="24"/>
  <c r="S63" i="24"/>
  <c r="R23" i="24"/>
  <c r="R24" i="24" s="1"/>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R24" i="23" s="1"/>
  <c r="K19" i="23"/>
  <c r="S23" i="23"/>
  <c r="S24" i="23" s="1"/>
  <c r="A31" i="23"/>
  <c r="A33" i="23"/>
  <c r="A37" i="23"/>
  <c r="A39" i="23"/>
  <c r="A41" i="23"/>
  <c r="A45" i="23"/>
  <c r="A47" i="23"/>
  <c r="A49" i="23"/>
  <c r="G57" i="23"/>
  <c r="O57" i="23"/>
  <c r="G59" i="23"/>
  <c r="O59" i="23"/>
  <c r="L19" i="23"/>
  <c r="T19" i="23"/>
  <c r="L23" i="23"/>
  <c r="L24" i="23" s="1"/>
  <c r="T23" i="23"/>
  <c r="T24" i="23" s="1"/>
  <c r="E19" i="23"/>
  <c r="E20" i="23" s="1"/>
  <c r="M19" i="23"/>
  <c r="E23" i="23"/>
  <c r="E24" i="23" s="1"/>
  <c r="M23" i="23"/>
  <c r="M24" i="23" s="1"/>
  <c r="I57" i="23"/>
  <c r="Q57" i="23"/>
  <c r="F23" i="23"/>
  <c r="F24" i="23" s="1"/>
  <c r="N23" i="23"/>
  <c r="N24" i="23" s="1"/>
  <c r="G19" i="23"/>
  <c r="G20" i="23" s="1"/>
  <c r="O19" i="23"/>
  <c r="A32" i="23"/>
  <c r="A34" i="23"/>
  <c r="A40" i="23"/>
  <c r="A42" i="23"/>
  <c r="A48" i="23"/>
  <c r="A50" i="23"/>
  <c r="I19" i="23"/>
  <c r="I20" i="23" s="1"/>
  <c r="Q19" i="23"/>
  <c r="U63" i="22"/>
  <c r="U65" i="22" s="1"/>
  <c r="M63" i="22"/>
  <c r="M65" i="22" s="1"/>
  <c r="E63" i="22"/>
  <c r="F63" i="22"/>
  <c r="T63" i="22"/>
  <c r="T65" i="22" s="1"/>
  <c r="L63" i="22"/>
  <c r="L65" i="22" s="1"/>
  <c r="D63" i="22"/>
  <c r="S63" i="22"/>
  <c r="S65" i="22" s="1"/>
  <c r="K63" i="22"/>
  <c r="K65" i="22" s="1"/>
  <c r="C63" i="22"/>
  <c r="N63" i="22"/>
  <c r="N65" i="22" s="1"/>
  <c r="R63" i="22"/>
  <c r="R65" i="22" s="1"/>
  <c r="J63" i="22"/>
  <c r="J65" i="22" s="1"/>
  <c r="B63" i="22"/>
  <c r="Q63" i="22"/>
  <c r="Q65" i="22" s="1"/>
  <c r="I63" i="22"/>
  <c r="I65" i="22" s="1"/>
  <c r="P63" i="22"/>
  <c r="P65" i="22" s="1"/>
  <c r="H63" i="22"/>
  <c r="O63" i="22"/>
  <c r="O65" i="22" s="1"/>
  <c r="G63" i="22"/>
  <c r="S19" i="22"/>
  <c r="D19" i="22"/>
  <c r="D20" i="22" s="1"/>
  <c r="L19" i="22"/>
  <c r="T19" i="22"/>
  <c r="L23" i="22"/>
  <c r="L24" i="22" s="1"/>
  <c r="T23" i="22"/>
  <c r="T24" i="22" s="1"/>
  <c r="K23" i="22"/>
  <c r="K24" i="22" s="1"/>
  <c r="A31" i="22"/>
  <c r="A33" i="22"/>
  <c r="A41" i="22"/>
  <c r="A47" i="22"/>
  <c r="E19" i="22"/>
  <c r="E20" i="22" s="1"/>
  <c r="M19" i="22"/>
  <c r="E23" i="22"/>
  <c r="E24" i="22" s="1"/>
  <c r="U23" i="22"/>
  <c r="U24" i="22" s="1"/>
  <c r="I57" i="22"/>
  <c r="Q57" i="22"/>
  <c r="K19" i="22"/>
  <c r="A39" i="22"/>
  <c r="A49" i="22"/>
  <c r="N19" i="22"/>
  <c r="V19" i="22"/>
  <c r="V23" i="22"/>
  <c r="V24" i="22" s="1"/>
  <c r="A32" i="22"/>
  <c r="A34" i="22"/>
  <c r="A40" i="22"/>
  <c r="A42" i="22"/>
  <c r="A48" i="22"/>
  <c r="A50" i="22"/>
  <c r="P19" i="22"/>
  <c r="P64" i="21"/>
  <c r="H23" i="21"/>
  <c r="H24" i="21" s="1"/>
  <c r="L23" i="21"/>
  <c r="L24" i="21" s="1"/>
  <c r="N23" i="21"/>
  <c r="N24" i="21" s="1"/>
  <c r="A33" i="21"/>
  <c r="A37" i="21"/>
  <c r="A41" i="21"/>
  <c r="A45" i="21"/>
  <c r="A49" i="21"/>
  <c r="E58" i="21"/>
  <c r="E61" i="21" s="1"/>
  <c r="M58" i="21"/>
  <c r="M61" i="21" s="1"/>
  <c r="U58" i="21"/>
  <c r="U61" i="21" s="1"/>
  <c r="U64" i="21" s="1"/>
  <c r="U66" i="21" s="1"/>
  <c r="S19" i="21"/>
  <c r="I23" i="21"/>
  <c r="I24" i="21" s="1"/>
  <c r="M23" i="21"/>
  <c r="M24" i="21" s="1"/>
  <c r="C57" i="21"/>
  <c r="K57" i="21"/>
  <c r="S57" i="21"/>
  <c r="G19" i="21"/>
  <c r="G20" i="21" s="1"/>
  <c r="Q19" i="21"/>
  <c r="J23" i="21"/>
  <c r="J24" i="21" s="1"/>
  <c r="R23" i="21"/>
  <c r="R24" i="21" s="1"/>
  <c r="I19" i="21"/>
  <c r="I20" i="21" s="1"/>
  <c r="L19" i="21"/>
  <c r="R19" i="21"/>
  <c r="A31" i="21"/>
  <c r="D64" i="21"/>
  <c r="D65" i="21" s="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65" i="22" l="1"/>
  <c r="C23" i="21"/>
  <c r="C24" i="21" s="1"/>
  <c r="E65" i="22"/>
  <c r="C23" i="22"/>
  <c r="C24" i="22" s="1"/>
  <c r="C65" i="29"/>
  <c r="D65" i="24"/>
  <c r="B65" i="24"/>
  <c r="H65" i="26"/>
  <c r="C65" i="26"/>
  <c r="H65" i="30"/>
  <c r="B65" i="30"/>
  <c r="D65" i="28"/>
  <c r="H64" i="22"/>
  <c r="H65" i="22" s="1"/>
  <c r="G64" i="30"/>
  <c r="G65" i="30" s="1"/>
  <c r="E64" i="27"/>
  <c r="E65" i="27" s="1"/>
  <c r="C64" i="21"/>
  <c r="C65" i="21" s="1"/>
  <c r="C64" i="23"/>
  <c r="C65" i="23" s="1"/>
  <c r="F66" i="26"/>
  <c r="F65" i="26"/>
  <c r="L64" i="22"/>
  <c r="D64" i="22"/>
  <c r="D65" i="22" s="1"/>
  <c r="Q64" i="22"/>
  <c r="U64" i="22"/>
  <c r="U66" i="22" s="1"/>
  <c r="S64" i="23"/>
  <c r="M64" i="23"/>
  <c r="M66" i="23" s="1"/>
  <c r="R64" i="23"/>
  <c r="R66" i="23" s="1"/>
  <c r="M64" i="29"/>
  <c r="D64" i="29"/>
  <c r="D65" i="29" s="1"/>
  <c r="O64" i="24"/>
  <c r="O66" i="24" s="1"/>
  <c r="I64" i="24"/>
  <c r="M64" i="24"/>
  <c r="S64" i="24"/>
  <c r="T64" i="26"/>
  <c r="T66" i="26" s="1"/>
  <c r="E64" i="26"/>
  <c r="M64" i="28"/>
  <c r="S64" i="28"/>
  <c r="P64" i="27"/>
  <c r="G64" i="21"/>
  <c r="S64" i="21"/>
  <c r="S66" i="21" s="1"/>
  <c r="E64" i="21"/>
  <c r="F64" i="21"/>
  <c r="N64" i="28"/>
  <c r="N66" i="28" s="1"/>
  <c r="J64" i="21"/>
  <c r="J66" i="21" s="1"/>
  <c r="F64" i="24"/>
  <c r="F64" i="28"/>
  <c r="D64" i="26"/>
  <c r="D65" i="26" s="1"/>
  <c r="H64" i="29"/>
  <c r="S64" i="30"/>
  <c r="S66" i="30" s="1"/>
  <c r="Q64" i="23"/>
  <c r="Q66" i="23" s="1"/>
  <c r="F64" i="30"/>
  <c r="K64" i="23"/>
  <c r="K66" i="23" s="1"/>
  <c r="R64" i="26"/>
  <c r="E64" i="24"/>
  <c r="J64" i="22"/>
  <c r="J66" i="22" s="1"/>
  <c r="H64" i="21"/>
  <c r="H65" i="21" s="1"/>
  <c r="H64" i="28"/>
  <c r="G64" i="28"/>
  <c r="P64" i="26"/>
  <c r="E64" i="28"/>
  <c r="N64" i="23"/>
  <c r="J64" i="26"/>
  <c r="B64" i="23"/>
  <c r="M64" i="27"/>
  <c r="M66" i="27" s="1"/>
  <c r="H64" i="27"/>
  <c r="G64" i="22"/>
  <c r="L64" i="29"/>
  <c r="G64" i="24"/>
  <c r="H64" i="24"/>
  <c r="D64" i="23"/>
  <c r="D65" i="23" s="1"/>
  <c r="K64" i="24"/>
  <c r="P64" i="24"/>
  <c r="U64" i="29"/>
  <c r="U66" i="29" s="1"/>
  <c r="O66" i="21"/>
  <c r="M64" i="30"/>
  <c r="M66" i="30" s="1"/>
  <c r="K64" i="26"/>
  <c r="K66" i="26" s="1"/>
  <c r="C64" i="28"/>
  <c r="C64" i="24"/>
  <c r="L64" i="27"/>
  <c r="L66" i="27" s="1"/>
  <c r="R64" i="24"/>
  <c r="R66" i="24" s="1"/>
  <c r="K64" i="29"/>
  <c r="K66" i="29" s="1"/>
  <c r="J64" i="29"/>
  <c r="J66" i="29" s="1"/>
  <c r="E64" i="29"/>
  <c r="M64" i="21"/>
  <c r="P64" i="28"/>
  <c r="P66" i="28" s="1"/>
  <c r="I64" i="21"/>
  <c r="I66" i="21" s="1"/>
  <c r="U64" i="28"/>
  <c r="U66" i="28" s="1"/>
  <c r="U64" i="24"/>
  <c r="U66" i="24" s="1"/>
  <c r="F64" i="23"/>
  <c r="U64" i="27"/>
  <c r="U66" i="27" s="1"/>
  <c r="C19" i="22"/>
  <c r="C20" i="22" s="1"/>
  <c r="S66" i="27"/>
  <c r="D66" i="30"/>
  <c r="Q66" i="30"/>
  <c r="N66" i="22"/>
  <c r="B64" i="22"/>
  <c r="B64" i="29"/>
  <c r="B64" i="28"/>
  <c r="B64" i="27"/>
  <c r="B64" i="26"/>
  <c r="B64" i="21"/>
  <c r="T66" i="29"/>
  <c r="P66" i="22"/>
  <c r="O64" i="27"/>
  <c r="O66" i="27" s="1"/>
  <c r="O64" i="28"/>
  <c r="O66" i="28" s="1"/>
  <c r="N64" i="27"/>
  <c r="N66" i="27" s="1"/>
  <c r="N64" i="30"/>
  <c r="N66" i="30" s="1"/>
  <c r="L66" i="30"/>
  <c r="J66" i="28"/>
  <c r="G64" i="26"/>
  <c r="G64" i="29"/>
  <c r="F64" i="22"/>
  <c r="O64" i="26"/>
  <c r="O66" i="26" s="1"/>
  <c r="R66" i="22"/>
  <c r="L66" i="22"/>
  <c r="T66" i="24"/>
  <c r="U66" i="23"/>
  <c r="P64" i="30"/>
  <c r="P66" i="30" s="1"/>
  <c r="P66" i="23"/>
  <c r="E66" i="22"/>
  <c r="T66" i="23"/>
  <c r="Q66" i="21"/>
  <c r="P66" i="21"/>
  <c r="K66" i="27"/>
  <c r="G64" i="23"/>
  <c r="Q66" i="24"/>
  <c r="R66" i="27"/>
  <c r="C66" i="27"/>
  <c r="H66" i="23"/>
  <c r="J66" i="27"/>
  <c r="G64" i="27"/>
  <c r="J66" i="30"/>
  <c r="F64" i="27"/>
  <c r="T66" i="27"/>
  <c r="L66" i="29"/>
  <c r="Q66" i="22"/>
  <c r="J66" i="26"/>
  <c r="C66" i="22"/>
  <c r="T66" i="21"/>
  <c r="S66" i="23"/>
  <c r="H66" i="30"/>
  <c r="E66" i="30"/>
  <c r="S66" i="24"/>
  <c r="L66" i="21"/>
  <c r="S66" i="26"/>
  <c r="L66" i="28"/>
  <c r="L66" i="26"/>
  <c r="T66" i="30"/>
  <c r="C66" i="29"/>
  <c r="R66" i="28"/>
  <c r="N64" i="26"/>
  <c r="N66" i="26" s="1"/>
  <c r="O64" i="29"/>
  <c r="O66" i="29" s="1"/>
  <c r="P64" i="29"/>
  <c r="P66" i="29" s="1"/>
  <c r="S64" i="1"/>
  <c r="R66" i="26"/>
  <c r="D66" i="27"/>
  <c r="N64" i="29"/>
  <c r="N66" i="29" s="1"/>
  <c r="R66" i="30"/>
  <c r="L66" i="23"/>
  <c r="O66" i="22"/>
  <c r="R64" i="1"/>
  <c r="J66" i="23"/>
  <c r="Q64" i="1"/>
  <c r="U64" i="1"/>
  <c r="P64" i="1"/>
  <c r="J66" i="24"/>
  <c r="Q66" i="29"/>
  <c r="F64" i="29"/>
  <c r="O64" i="23"/>
  <c r="O66" i="23" s="1"/>
  <c r="O64" i="30"/>
  <c r="O66" i="30" s="1"/>
  <c r="N64" i="24"/>
  <c r="N66" i="24" s="1"/>
  <c r="B66" i="30"/>
  <c r="B66" i="24"/>
  <c r="K66" i="30"/>
  <c r="C66" i="30"/>
  <c r="I66" i="30"/>
  <c r="R66" i="29"/>
  <c r="M66" i="29"/>
  <c r="I66" i="29"/>
  <c r="S66" i="29"/>
  <c r="T66" i="28"/>
  <c r="D66" i="28"/>
  <c r="M66" i="28"/>
  <c r="Q66" i="28"/>
  <c r="I66" i="28"/>
  <c r="S66" i="28"/>
  <c r="K66" i="28"/>
  <c r="Q66" i="27"/>
  <c r="I66" i="27"/>
  <c r="P66" i="27"/>
  <c r="Q66" i="26"/>
  <c r="P66" i="26"/>
  <c r="C66" i="26"/>
  <c r="I66" i="26"/>
  <c r="H66" i="26"/>
  <c r="L66" i="24"/>
  <c r="I66" i="24"/>
  <c r="P66" i="24"/>
  <c r="D66" i="24"/>
  <c r="K66" i="24"/>
  <c r="M66" i="24"/>
  <c r="I66" i="23"/>
  <c r="N66" i="23"/>
  <c r="E66" i="23"/>
  <c r="I66" i="22"/>
  <c r="M66" i="22"/>
  <c r="S66" i="22"/>
  <c r="K66" i="22"/>
  <c r="T66" i="22"/>
  <c r="M66" i="21"/>
  <c r="K66" i="21"/>
  <c r="D66" i="21"/>
  <c r="R66" i="21"/>
  <c r="N64" i="1"/>
  <c r="M64" i="1"/>
  <c r="T64" i="1"/>
  <c r="L64" i="1"/>
  <c r="J64" i="1"/>
  <c r="K64" i="1"/>
  <c r="O64" i="1"/>
  <c r="C64" i="1"/>
  <c r="I64" i="1"/>
  <c r="H64" i="1"/>
  <c r="H65" i="1" s="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D65" i="1" l="1"/>
  <c r="E65" i="1"/>
  <c r="F65" i="1"/>
  <c r="G65" i="1"/>
  <c r="C65" i="1"/>
  <c r="B65" i="1"/>
  <c r="C66" i="21"/>
  <c r="E66" i="27"/>
  <c r="D66" i="26"/>
  <c r="G66" i="30"/>
  <c r="H66" i="22"/>
  <c r="H66" i="21"/>
  <c r="C66" i="23"/>
  <c r="H66" i="27"/>
  <c r="H65" i="27"/>
  <c r="H66" i="28"/>
  <c r="H65" i="28"/>
  <c r="H66" i="24"/>
  <c r="H65" i="24"/>
  <c r="H66" i="29"/>
  <c r="H65" i="29"/>
  <c r="G66" i="24"/>
  <c r="G65" i="24"/>
  <c r="G66" i="22"/>
  <c r="G65" i="22"/>
  <c r="G66" i="28"/>
  <c r="G65" i="28"/>
  <c r="G66" i="21"/>
  <c r="G65" i="21"/>
  <c r="G66" i="27"/>
  <c r="G65" i="27"/>
  <c r="G66" i="29"/>
  <c r="G65" i="29"/>
  <c r="G66" i="23"/>
  <c r="G65" i="23"/>
  <c r="G66" i="26"/>
  <c r="G65" i="26"/>
  <c r="F66" i="24"/>
  <c r="F65" i="24"/>
  <c r="F66" i="30"/>
  <c r="F65" i="30"/>
  <c r="F66" i="21"/>
  <c r="F65" i="21"/>
  <c r="F66" i="23"/>
  <c r="F65" i="23"/>
  <c r="F66" i="27"/>
  <c r="F65" i="27"/>
  <c r="F66" i="29"/>
  <c r="F65" i="29"/>
  <c r="F66" i="22"/>
  <c r="F65" i="22"/>
  <c r="F66" i="28"/>
  <c r="F65" i="28"/>
  <c r="E66" i="24"/>
  <c r="E65" i="24"/>
  <c r="E66" i="28"/>
  <c r="E65" i="28"/>
  <c r="E66" i="29"/>
  <c r="E65" i="29"/>
  <c r="E66" i="26"/>
  <c r="E65" i="26"/>
  <c r="E66" i="21"/>
  <c r="E65" i="21"/>
  <c r="D66" i="23"/>
  <c r="D66" i="22"/>
  <c r="D66" i="29"/>
  <c r="C66" i="28"/>
  <c r="C65" i="28"/>
  <c r="C66" i="24"/>
  <c r="C65" i="24"/>
  <c r="B66" i="27"/>
  <c r="B65" i="27"/>
  <c r="B66" i="21"/>
  <c r="B65" i="21"/>
  <c r="B66" i="26"/>
  <c r="B65" i="26"/>
  <c r="B66" i="28"/>
  <c r="B65" i="28"/>
  <c r="B66" i="29"/>
  <c r="B65" i="29"/>
  <c r="B66" i="22"/>
  <c r="B65" i="22"/>
  <c r="B66" i="23"/>
  <c r="B65" i="23"/>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<sst xmlns="http://schemas.openxmlformats.org/spreadsheetml/2006/main" count="2277" uniqueCount="187">
  <si>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</si>
  <si>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</si>
  <si>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</si>
  <si>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</si>
  <si>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</si>
  <si>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</si>
  <si>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</si>
  <si>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</si>
  <si>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</si>
  <si>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</si>
  <si>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</si>
  <si>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</si>
  <si>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</si>
  <si>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</si>
  <si>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</si>
  <si>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</si>
  <si>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</si>
  <si>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</si>
  <si>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</si>
  <si>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</si>
  <si>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</si>
  <si>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</si>
  <si>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</si>
  <si>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</si>
  <si>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</si>
  <si>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</si>
  <si>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</si>
  <si>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</si>
  <si>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</si>
  <si>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</si>
  <si>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</si>
  <si>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</si>
  <si>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</si>
  <si>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</si>
  <si>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</si>
  <si>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</si>
  <si>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</si>
  <si>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</si>
  <si>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</si>
  <si>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</si>
  <si>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</si>
  <si>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</si>
  <si>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</si>
  <si>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</si>
  <si>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</si>
  <si>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</si>
  <si>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</si>
  <si>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</si>
  <si>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</si>
  <si>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</si>
  <si>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</si>
  <si>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</si>
  <si>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</si>
  <si>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</si>
  <si>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</si>
  <si>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</si>
  <si>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</si>
  <si>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</si>
  <si>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</si>
  <si>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</si>
  <si>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</si>
  <si>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</si>
  <si>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</si>
  <si>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</si>
  <si>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</si>
  <si>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</si>
  <si>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</si>
  <si>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</si>
  <si>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</si>
  <si>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</si>
  <si>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</si>
  <si>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</si>
  <si>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</si>
  <si>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</si>
  <si>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</si>
  <si>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</si>
  <si>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</si>
  <si>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</si>
  <si>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</si>
  <si>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</si>
  <si>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</si>
  <si>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</si>
  <si>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</si>
  <si>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</si>
  <si>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</si>
  <si>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</si>
  <si>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</si>
  <si>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</si>
  <si>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</si>
  <si>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</si>
  <si>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</si>
  <si>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</si>
  <si>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</si>
  <si>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</si>
  <si>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</si>
  <si>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</si>
  <si>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</si>
  <si>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</si>
  <si>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</si>
  <si>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</si>
  <si>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</si>
  <si>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</si>
  <si>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</si>
  <si>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</si>
  <si>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</si>
  <si>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</si>
  <si>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</si>
  <si>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</si>
  <si>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</si>
  <si>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</si>
  <si>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</si>
  <si>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</si>
  <si>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</si>
  <si>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</si>
  <si>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</si>
  <si>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</si>
  <si>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</si>
  <si>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</si>
  <si>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</si>
  <si>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</si>
  <si>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</si>
  <si>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</si>
  <si>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</si>
  <si>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</si>
  <si>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</si>
  <si>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</si>
  <si>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</si>
  <si>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</si>
  <si>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</si>
  <si>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</si>
  <si>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</si>
  <si>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</si>
  <si>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</si>
  <si>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</si>
  <si>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</si>
  <si>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</si>
  <si>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</si>
  <si>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</si>
  <si>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</si>
  <si>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</si>
  <si>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</si>
  <si>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</si>
  <si>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</si>
  <si>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</si>
  <si>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</si>
  <si>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</si>
  <si>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</si>
  <si>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</si>
  <si>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</si>
  <si>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</si>
  <si>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</si>
  <si>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</si>
  <si>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</si>
  <si>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</si>
  <si>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</si>
  <si>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</si>
  <si>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</si>
  <si>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</si>
  <si>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</si>
  <si>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</si>
  <si>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PAN-019730</t>
  </si>
  <si>
    <t xml:space="preserve">C1 </t>
  </si>
  <si>
    <t xml:space="preserve">C2 </t>
  </si>
  <si>
    <t>C3</t>
  </si>
  <si>
    <t>F1</t>
  </si>
  <si>
    <t>F2</t>
  </si>
  <si>
    <t>F9</t>
  </si>
  <si>
    <t>Moderate</t>
  </si>
  <si>
    <t>EPR-KP3594VE</t>
  </si>
  <si>
    <t>Trade effluent services</t>
  </si>
  <si>
    <t xml:space="preserve">Brookhouse farm, Brook house lane, Awowry, Wreham </t>
  </si>
  <si>
    <t>Ethan Banfield</t>
  </si>
  <si>
    <t>Beechdean</t>
  </si>
  <si>
    <t>02 05 01</t>
  </si>
  <si>
    <t>Croda Goole</t>
  </si>
  <si>
    <t>Croda Widnes</t>
  </si>
  <si>
    <t>02 03 05</t>
  </si>
  <si>
    <t>07 07 12</t>
  </si>
  <si>
    <t>d.wise</t>
  </si>
  <si>
    <t>Encirc</t>
  </si>
  <si>
    <t>02 07 05</t>
  </si>
  <si>
    <t>Maelor</t>
  </si>
  <si>
    <t>02 02 04</t>
  </si>
  <si>
    <t>Rowan Food</t>
  </si>
  <si>
    <t>Secanim</t>
  </si>
  <si>
    <t>Kellogs</t>
  </si>
  <si>
    <t>Penderyn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</si>
</sst>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P46" sqref="P4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19" t="s">
        <v>41</v>
      </c>
      <c r="B1" s="119"/>
      <c r="C1" s="135" t="s">
        <v>160</v>
      </c>
      <c r="D1" s="136"/>
      <c r="E1" s="93" t="s">
        <v>45</v>
      </c>
      <c r="F1" s="96">
        <v>41.5</v>
      </c>
      <c r="G1" s="120" t="s">
        <v>43</v>
      </c>
      <c r="H1" s="121"/>
      <c r="I1" s="96">
        <v>5.82</v>
      </c>
      <c r="J1" s="119" t="s">
        <v>153</v>
      </c>
      <c r="K1" s="119"/>
      <c r="L1" s="96">
        <v>1490</v>
      </c>
      <c r="AB1" s="18"/>
      <c r="AC1" s="18"/>
      <c r="AD1" s="30" t="s">
        <v>126</v>
      </c>
      <c r="AE1" s="17"/>
      <c r="AF1" s="17"/>
      <c r="AG1" s="18"/>
      <c r="AH1" s="18"/>
      <c r="AI1" s="40" t="s">
        <v>79</v>
      </c>
      <c r="AJ1" s="41" t="s">
        <v>94</v>
      </c>
      <c r="AK1" s="42" t="s">
        <v>95</v>
      </c>
      <c r="AL1" s="43" t="s">
        <v>125</v>
      </c>
      <c r="AM1" s="43" t="s">
        <v>131</v>
      </c>
      <c r="AN1" s="43" t="s">
        <v>111</v>
      </c>
    </row>
    <row r="2" spans="1:40" ht="13" x14ac:dyDescent="0.3">
      <c r="A2" s="119" t="s">
        <v>87</v>
      </c>
      <c r="B2" s="119"/>
      <c r="C2" s="133" t="s">
        <v>168</v>
      </c>
      <c r="D2" s="134"/>
      <c r="E2" s="93" t="s">
        <v>109</v>
      </c>
      <c r="F2" s="96" t="s">
        <v>182</v>
      </c>
      <c r="G2" s="138" t="s">
        <v>110</v>
      </c>
      <c r="H2" s="139"/>
      <c r="I2" s="96">
        <v>2191</v>
      </c>
      <c r="J2" s="119" t="s">
        <v>158</v>
      </c>
      <c r="K2" s="119"/>
      <c r="L2" s="96">
        <v>0.36</v>
      </c>
      <c r="AB2" s="30" t="s">
        <v>56</v>
      </c>
      <c r="AC2" s="17"/>
      <c r="AD2" s="30" t="s">
        <v>70</v>
      </c>
      <c r="AE2" s="17"/>
      <c r="AF2" s="17"/>
      <c r="AG2" s="44" t="s">
        <v>76</v>
      </c>
      <c r="AH2" s="18"/>
      <c r="AI2" s="45" t="s">
        <v>126</v>
      </c>
      <c r="AJ2" s="46">
        <v>0</v>
      </c>
      <c r="AK2" s="47">
        <v>0</v>
      </c>
      <c r="AL2" s="10">
        <v>0</v>
      </c>
      <c r="AM2" s="11">
        <v>0</v>
      </c>
      <c r="AN2" s="11">
        <v>0</v>
      </c>
    </row>
    <row r="3" spans="1:40" ht="13" x14ac:dyDescent="0.25">
      <c r="A3" s="120" t="s">
        <v>42</v>
      </c>
      <c r="B3" s="121"/>
      <c r="C3" s="133" t="s">
        <v>169</v>
      </c>
      <c r="D3" s="134"/>
      <c r="E3" s="93" t="s">
        <v>108</v>
      </c>
      <c r="F3" s="31" t="s">
        <v>78</v>
      </c>
      <c r="G3" s="119" t="s">
        <v>159</v>
      </c>
      <c r="H3" s="119"/>
      <c r="I3" s="96">
        <v>41020</v>
      </c>
      <c r="J3" s="120" t="s">
        <v>154</v>
      </c>
      <c r="K3" s="121"/>
      <c r="L3" s="96">
        <f>(L1/(L2*10000))*100</f>
        <v>41.388888888888886</v>
      </c>
      <c r="AB3" s="30" t="s">
        <v>57</v>
      </c>
      <c r="AC3" s="17"/>
      <c r="AD3" s="30" t="s">
        <v>71</v>
      </c>
      <c r="AE3" s="17"/>
      <c r="AF3" s="17"/>
      <c r="AG3" s="44" t="s">
        <v>77</v>
      </c>
      <c r="AH3" s="18"/>
      <c r="AI3" s="48" t="s">
        <v>113</v>
      </c>
      <c r="AJ3" s="49">
        <v>1.7</v>
      </c>
      <c r="AK3" s="50">
        <v>6</v>
      </c>
      <c r="AL3" s="51">
        <v>1</v>
      </c>
      <c r="AM3" s="11">
        <v>6.2</v>
      </c>
      <c r="AN3" s="11" t="s">
        <v>112</v>
      </c>
    </row>
    <row r="4" spans="1:40" ht="13" x14ac:dyDescent="0.25">
      <c r="A4" s="119" t="s">
        <v>0</v>
      </c>
      <c r="B4" s="119"/>
      <c r="C4" s="135" t="s">
        <v>170</v>
      </c>
      <c r="D4" s="136"/>
      <c r="E4" s="94" t="s">
        <v>1</v>
      </c>
      <c r="F4" s="95" t="s">
        <v>184</v>
      </c>
      <c r="G4" s="119"/>
      <c r="H4" s="119"/>
      <c r="I4" s="96"/>
      <c r="J4" s="120"/>
      <c r="K4" s="121"/>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19" t="s">
        <v>47</v>
      </c>
      <c r="B5" s="119"/>
      <c r="C5" s="137" t="s">
        <v>171</v>
      </c>
      <c r="D5" s="137"/>
      <c r="E5" s="94"/>
      <c r="F5" s="95"/>
      <c r="G5" s="119"/>
      <c r="H5" s="119"/>
      <c r="I5" s="96"/>
      <c r="J5" s="120"/>
      <c r="K5" s="121"/>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19" t="s">
        <v>2</v>
      </c>
      <c r="B8" s="119"/>
      <c r="C8" s="15" t="s">
        <v>161</v>
      </c>
      <c r="D8" s="15" t="s">
        <v>162</v>
      </c>
      <c r="E8" s="15" t="s">
        <v>163</v>
      </c>
      <c r="F8" s="15" t="s">
        <v>164</v>
      </c>
      <c r="G8" s="15" t="s">
        <v>165</v>
      </c>
      <c r="H8" s="15" t="s">
        <v>166</v>
      </c>
      <c r="I8" s="15">
        <v>43</v>
      </c>
      <c r="J8" s="15"/>
      <c r="K8" s="15"/>
      <c r="L8" s="15"/>
      <c r="M8" s="15"/>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19" t="s">
        <v>3</v>
      </c>
      <c r="B9" s="119"/>
      <c r="C9" s="15" t="s">
        <v>167</v>
      </c>
      <c r="D9" s="15" t="s">
        <v>167</v>
      </c>
      <c r="E9" s="15" t="s">
        <v>167</v>
      </c>
      <c r="F9" s="15">
        <v>1</v>
      </c>
      <c r="G9" s="15">
        <v>1</v>
      </c>
      <c r="H9" s="15">
        <v>1</v>
      </c>
      <c r="I9" s="15">
        <v>1</v>
      </c>
      <c r="J9" s="15"/>
      <c r="K9" s="15"/>
      <c r="L9" s="15"/>
      <c r="M9" s="15"/>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19" t="s">
        <v>4</v>
      </c>
      <c r="B10" s="119"/>
      <c r="C10" s="15">
        <v>6.5</v>
      </c>
      <c r="D10" s="15">
        <v>6.4</v>
      </c>
      <c r="E10" s="15">
        <v>5.7</v>
      </c>
      <c r="F10" s="15">
        <v>6.1</v>
      </c>
      <c r="G10" s="15">
        <v>6.3</v>
      </c>
      <c r="H10" s="15">
        <v>5.9</v>
      </c>
      <c r="I10" s="15">
        <v>5.8</v>
      </c>
      <c r="J10" s="15"/>
      <c r="K10" s="15"/>
      <c r="L10" s="15"/>
      <c r="M10" s="15"/>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19" t="s">
        <v>5</v>
      </c>
      <c r="B11" s="119"/>
      <c r="C11" s="15">
        <v>4</v>
      </c>
      <c r="D11" s="15">
        <v>3</v>
      </c>
      <c r="E11" s="15">
        <v>4</v>
      </c>
      <c r="F11" s="15">
        <v>4</v>
      </c>
      <c r="G11" s="15">
        <v>4</v>
      </c>
      <c r="H11" s="15">
        <v>3</v>
      </c>
      <c r="I11" s="15">
        <v>2</v>
      </c>
      <c r="J11" s="15"/>
      <c r="K11" s="15"/>
      <c r="L11" s="15"/>
      <c r="M11" s="15"/>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19" t="s">
        <v>6</v>
      </c>
      <c r="B12" s="119"/>
      <c r="C12" s="15">
        <v>3</v>
      </c>
      <c r="D12" s="15">
        <v>2</v>
      </c>
      <c r="E12" s="15">
        <v>2</v>
      </c>
      <c r="F12" s="15">
        <v>2</v>
      </c>
      <c r="G12" s="15">
        <v>2</v>
      </c>
      <c r="H12" s="15">
        <v>1</v>
      </c>
      <c r="I12" s="15">
        <v>1</v>
      </c>
      <c r="J12" s="15"/>
      <c r="K12" s="15"/>
      <c r="L12" s="15"/>
      <c r="M12" s="15"/>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19" t="s">
        <v>7</v>
      </c>
      <c r="B13" s="119"/>
      <c r="C13" s="15">
        <v>3</v>
      </c>
      <c r="D13" s="15">
        <v>3</v>
      </c>
      <c r="E13" s="15">
        <v>3</v>
      </c>
      <c r="F13" s="15">
        <v>2</v>
      </c>
      <c r="G13" s="15">
        <v>2</v>
      </c>
      <c r="H13" s="15">
        <v>2</v>
      </c>
      <c r="I13" s="15">
        <v>3</v>
      </c>
      <c r="J13" s="15"/>
      <c r="K13" s="15"/>
      <c r="L13" s="15"/>
      <c r="M13" s="15"/>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1" t="s">
        <v>8</v>
      </c>
      <c r="B14" s="131"/>
      <c r="C14" s="100" t="s">
        <v>113</v>
      </c>
      <c r="D14" s="100" t="s">
        <v>113</v>
      </c>
      <c r="E14" s="100" t="s">
        <v>113</v>
      </c>
      <c r="F14" s="100" t="s">
        <v>105</v>
      </c>
      <c r="G14" s="100" t="s">
        <v>105</v>
      </c>
      <c r="H14" s="100" t="s">
        <v>105</v>
      </c>
      <c r="I14" s="100" t="s">
        <v>105</v>
      </c>
      <c r="J14" s="100"/>
      <c r="K14" s="100"/>
      <c r="L14" s="100"/>
      <c r="M14" s="100"/>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0" t="s">
        <v>9</v>
      </c>
      <c r="B15" s="130"/>
      <c r="C15" s="15">
        <v>38</v>
      </c>
      <c r="D15" s="15">
        <v>38</v>
      </c>
      <c r="E15" s="15">
        <v>38</v>
      </c>
      <c r="F15" s="15">
        <v>40</v>
      </c>
      <c r="G15" s="15">
        <v>40</v>
      </c>
      <c r="H15" s="15">
        <v>40</v>
      </c>
      <c r="I15" s="15">
        <v>40</v>
      </c>
      <c r="J15" s="15"/>
      <c r="K15" s="15"/>
      <c r="L15" s="15"/>
      <c r="M15" s="15"/>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2" t="s">
        <v>44</v>
      </c>
      <c r="B16" s="132"/>
      <c r="C16" s="101" t="s">
        <v>72</v>
      </c>
      <c r="D16" s="101" t="s">
        <v>72</v>
      </c>
      <c r="E16" s="101" t="s">
        <v>72</v>
      </c>
      <c r="F16" s="101" t="s">
        <v>72</v>
      </c>
      <c r="G16" s="101" t="s">
        <v>72</v>
      </c>
      <c r="H16" s="101" t="s">
        <v>72</v>
      </c>
      <c r="I16" s="101" t="s">
        <v>72</v>
      </c>
      <c r="J16" s="101"/>
      <c r="K16" s="101"/>
      <c r="L16" s="101"/>
      <c r="M16" s="101"/>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56</v>
      </c>
      <c r="G17" s="28">
        <f t="shared" si="0"/>
        <v>56</v>
      </c>
      <c r="H17" s="28">
        <f t="shared" si="0"/>
        <v>56</v>
      </c>
      <c r="I17" s="28">
        <f t="shared" si="0"/>
        <v>56</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53.563580000000002</v>
      </c>
      <c r="D18" s="16">
        <f>$D32</f>
        <v>53.563580000000002</v>
      </c>
      <c r="E18" s="16">
        <f>$D33</f>
        <v>53.563580000000002</v>
      </c>
      <c r="F18" s="16">
        <f>$D34</f>
        <v>53.563580000000002</v>
      </c>
      <c r="G18" s="16">
        <f>$D35</f>
        <v>53.563580000000002</v>
      </c>
      <c r="H18" s="16">
        <f>$D36</f>
        <v>53.563580000000002</v>
      </c>
      <c r="I18" s="16">
        <f>$D37</f>
        <v>53.563580000000002</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-11.036419999999993</v>
      </c>
      <c r="D19" s="16">
        <f t="shared" ref="D19:V19" si="1">D18-D17</f>
        <v>-11.036419999999993</v>
      </c>
      <c r="E19" s="16">
        <f t="shared" si="1"/>
        <v>-11.036419999999993</v>
      </c>
      <c r="F19" s="16">
        <f t="shared" si="1"/>
        <v>-2.4364199999999983</v>
      </c>
      <c r="G19" s="16">
        <f t="shared" si="1"/>
        <v>-2.4364199999999983</v>
      </c>
      <c r="H19" s="16">
        <f t="shared" si="1"/>
        <v>-2.4364199999999983</v>
      </c>
      <c r="I19" s="16">
        <f t="shared" si="1"/>
        <v>-2.4364199999999983</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176</v>
      </c>
      <c r="G21" s="28">
        <f t="shared" si="2"/>
        <v>176</v>
      </c>
      <c r="H21" s="28">
        <f t="shared" si="2"/>
        <v>176</v>
      </c>
      <c r="I21" s="28">
        <f t="shared" si="2"/>
        <v>176</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4.7236000000000002</v>
      </c>
      <c r="D22" s="16">
        <f>$E32</f>
        <v>4.7236000000000002</v>
      </c>
      <c r="E22" s="16">
        <f>$E33</f>
        <v>4.7236000000000002</v>
      </c>
      <c r="F22" s="16">
        <f>$E34</f>
        <v>4.7236000000000002</v>
      </c>
      <c r="G22" s="16">
        <f>$E35</f>
        <v>4.7236000000000002</v>
      </c>
      <c r="H22" s="16">
        <f>$E36</f>
        <v>4.7236000000000002</v>
      </c>
      <c r="I22" s="16">
        <f>$E37</f>
        <v>4.7236000000000002</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-223.2764</v>
      </c>
      <c r="D23" s="16">
        <f t="shared" ref="D23:V23" si="3">D22-D21</f>
        <v>-223.2764</v>
      </c>
      <c r="E23" s="16">
        <f t="shared" si="3"/>
        <v>-223.2764</v>
      </c>
      <c r="F23" s="16">
        <f t="shared" si="3"/>
        <v>-171.2764</v>
      </c>
      <c r="G23" s="16">
        <f t="shared" si="3"/>
        <v>-171.2764</v>
      </c>
      <c r="H23" s="16">
        <f t="shared" si="3"/>
        <v>-171.2764</v>
      </c>
      <c r="I23" s="16">
        <f t="shared" si="3"/>
        <v>-171.2764</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10.8</v>
      </c>
      <c r="C28" s="15">
        <v>0.36</v>
      </c>
      <c r="D28" s="15">
        <v>1169</v>
      </c>
      <c r="E28" s="15">
        <v>196</v>
      </c>
      <c r="F28" s="15">
        <v>44.9</v>
      </c>
      <c r="G28" s="15">
        <v>3.32</v>
      </c>
      <c r="H28" s="15">
        <v>21.5</v>
      </c>
      <c r="I28" s="15">
        <v>1.52</v>
      </c>
      <c r="J28" s="15">
        <v>7.0000000000000007E-2</v>
      </c>
      <c r="K28" s="23">
        <v>0.05</v>
      </c>
      <c r="L28" s="15">
        <v>0.73</v>
      </c>
      <c r="M28" s="15">
        <v>1.42</v>
      </c>
      <c r="N28" s="15"/>
      <c r="O28" s="15"/>
      <c r="P28" s="15">
        <v>778</v>
      </c>
      <c r="Q28" s="15">
        <v>595</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 xml:space="preserve">C1 </v>
      </c>
      <c r="B31" s="15">
        <v>20</v>
      </c>
      <c r="C31" s="77">
        <f>IF(C$27="%w/w SAR",((C$28*10)*$B31),IF(C$27="%w/w DM",(((C$28*10)*($B$28/100))*$B31),IF(C$27="kg/t SAR",(C$28*$B31),IF(C$27="kg/t DM",((C$28*($B$28/100))*$B31),IF(C$27="mg/kg SAR",((C$28*0.001)*$B31),IF(C$27="mg/kg DM",(((C$28*0.001)*($B$28/100))*$B31),0))))))</f>
        <v>72</v>
      </c>
      <c r="D31" s="77">
        <f>(IF(D$27="%w/w SAR",((D$28*10)*$B31),IF(D$27="%w/w DM",(((D$28*10)*($B$28/100))*$B31),IF(D$27="kg/t SAR",(D$28*$B31),IF(D$27="kg/t DM",((D$28*($B$28/100))*$B31),IF(D$27="mg/kg SAR",((D$28*0.001)*$B31),IF(D$27="mg/kg DM",(((D$28*0.001)*($B$28/100))*$B31),"0")))))))*2.291</f>
        <v>53.563580000000002</v>
      </c>
      <c r="E31" s="77">
        <f>(IF(E$27="%w/w SAR",((E$28*10)*$B31),IF(E$27="%w/w DM",(((E$28*10)*($B$28/100))*$B31),IF(E$27="kg/t SAR",(E$28*$B31),IF(E$27="kg/t DM",((E$28*($B$28/100))*$B31),IF(E$27="mg/kg SAR",((E$28*0.001)*$B31),IF(E$27="mg/kg DM",(((E$28*0.001)*($B$28/100))*$B31),"0")))))))*1.205</f>
        <v>4.7236000000000002</v>
      </c>
      <c r="F31" s="77">
        <f>(IF(F$27="%w/w SAR",((F$28*10)*$B31),IF(F$27="%w/w DM",(((F$28*10)*($B$28/100))*$B31),IF(F$27="kg/t SAR",(F$28*$B31),IF(F$27="kg/t DM",((F$28*($B$28/100))*$B31),IF(F$27="mg/kg SAR",((F$28*0.001)*$B31),IF(F$27="mg/kg DM",(((F$28*0.001)*($B$28/100))*$B31),"0")))))))*1.658</f>
        <v>1.4888839999999999</v>
      </c>
      <c r="G31" s="77">
        <f t="shared" ref="G31:P31" si="5">IF(G$27="%w/w SAR",((G$28*10)*$B31),IF(G$27="%w/w DM",(((G$28*10)*($B$28/100))*$B31),IF(G$27="kg/t SAR",(G$28*$B31),IF(G$27="kg/t DM",((G$28*($B$28/100))*$B31),IF(G$27="mg/kg SAR",((G$28*0.001)*$B31),IF(G$27="mg/kg DM",(((G$28*0.001)*($B$28/100))*$B31),0))))))</f>
        <v>6.6400000000000001E-2</v>
      </c>
      <c r="H31" s="77">
        <f t="shared" si="5"/>
        <v>0.43000000000000005</v>
      </c>
      <c r="I31" s="77">
        <f t="shared" si="5"/>
        <v>3.0400000000000003E-2</v>
      </c>
      <c r="J31" s="77">
        <f t="shared" si="5"/>
        <v>1.4000000000000002E-3</v>
      </c>
      <c r="K31" s="77">
        <f t="shared" si="5"/>
        <v>1E-3</v>
      </c>
      <c r="L31" s="77">
        <f t="shared" si="5"/>
        <v>1.4599999999999998E-2</v>
      </c>
      <c r="M31" s="77">
        <f t="shared" si="5"/>
        <v>2.8400000000000002E-2</v>
      </c>
      <c r="N31" s="77">
        <f t="shared" si="5"/>
        <v>0</v>
      </c>
      <c r="O31" s="77">
        <f t="shared" si="5"/>
        <v>0</v>
      </c>
      <c r="P31" s="77">
        <f t="shared" si="5"/>
        <v>15.56</v>
      </c>
      <c r="Q31" s="77">
        <f>(IF(Q$27="%w/w SAR",((Q$28*10)*$B31),IF(Q$27="%w/w DM",(((Q$28*10)*($B$28/100))*$B31),IF(Q$27="kg/t SAR",(Q$28*$B31),IF(Q$27="kg/t DM",((Q$28*($B$28/100))*$B31),IF(Q$27="mg/kg SAR",((Q$28*0.001)*$B31),IF(Q$27="mg/kg DM",(((Q$28*0.001)*($B$28/100))*$B31),0)))))))*2.5</f>
        <v>29.749999999999996</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C2 </v>
      </c>
      <c r="B32" s="15">
        <v>20</v>
      </c>
      <c r="C32" s="77">
        <f t="shared" ref="C32:C50" si="6">IF(C$27="%w/w SAR",((C$28*10)*$B32),IF(C$27="%w/w DM",(((C$28*10)*($B$28/100))*$B32),IF(C$27="kg/t SAR",(C$28*$B32),IF(C$27="kg/t DM",((C$28*($B$28/100))*$B32),IF(C$27="mg/kg SAR",((C$28*0.001)*$B32),IF(C$27="mg/kg DM",(((C$28*0.001)*($B$28/100))*$B32),0))))))</f>
        <v>72</v>
      </c>
      <c r="D32" s="77">
        <f t="shared" ref="D32:D50" si="7">(IF(D$27="%w/w SAR",((D$28*10)*$B32),IF(D$27="%w/w DM",(((D$28*10)*($B$28/100))*$B32),IF(D$27="kg/t SAR",(D$28*$B32),IF(D$27="kg/t DM",((D$28*($B$28/100))*$B32),IF(D$27="mg/kg SAR",((D$28*0.001)*$B32),IF(D$27="mg/kg DM",(((D$28*0.001)*($B$28/100))*$B32),"0")))))))*2.291</f>
        <v>53.563580000000002</v>
      </c>
      <c r="E32" s="77">
        <f t="shared" ref="E32:E50" si="8">(IF(E$27="%w/w SAR",((E$28*10)*$B32),IF(E$27="%w/w DM",(((E$28*10)*($B$28/100))*$B32),IF(E$27="kg/t SAR",(E$28*$B32),IF(E$27="kg/t DM",((E$28*($B$28/100))*$B32),IF(E$27="mg/kg SAR",((E$28*0.001)*$B32),IF(E$27="mg/kg DM",(((E$28*0.001)*($B$28/100))*$B32),"0")))))))*1.205</f>
        <v>4.7236000000000002</v>
      </c>
      <c r="F32" s="77">
        <f t="shared" ref="F32:F50" si="9">(IF(F$27="%w/w SAR",((F$28*10)*$B32),IF(F$27="%w/w DM",(((F$28*10)*($B$28/100))*$B32),IF(F$27="kg/t SAR",(F$28*$B32),IF(F$27="kg/t DM",((F$28*($B$28/100))*$B32),IF(F$27="mg/kg SAR",((F$28*0.001)*$B32),IF(F$27="mg/kg DM",(((F$28*0.001)*($B$28/100))*$B32),"0")))))))*1.658</f>
        <v>1.4888839999999999</v>
      </c>
      <c r="G32" s="77">
        <f t="shared" ref="G32:P50" si="10">IF(G$27="%w/w SAR",((G$28*10)*$B32),IF(G$27="%w/w DM",(((G$28*10)*($B$28/100))*$B32),IF(G$27="kg/t SAR",(G$28*$B32),IF(G$27="kg/t DM",((G$28*($B$28/100))*$B32),IF(G$27="mg/kg SAR",((G$28*0.001)*$B32),IF(G$27="mg/kg DM",(((G$28*0.001)*($B$28/100))*$B32),0))))))</f>
        <v>6.6400000000000001E-2</v>
      </c>
      <c r="H32" s="77">
        <f t="shared" si="10"/>
        <v>0.43000000000000005</v>
      </c>
      <c r="I32" s="77">
        <f t="shared" si="10"/>
        <v>3.0400000000000003E-2</v>
      </c>
      <c r="J32" s="77">
        <f t="shared" si="10"/>
        <v>1.4000000000000002E-3</v>
      </c>
      <c r="K32" s="77">
        <f t="shared" si="10"/>
        <v>1E-3</v>
      </c>
      <c r="L32" s="77">
        <f t="shared" si="10"/>
        <v>1.4599999999999998E-2</v>
      </c>
      <c r="M32" s="77">
        <f t="shared" si="10"/>
        <v>2.8400000000000002E-2</v>
      </c>
      <c r="N32" s="77">
        <f t="shared" si="10"/>
        <v>0</v>
      </c>
      <c r="O32" s="77">
        <f t="shared" si="10"/>
        <v>0</v>
      </c>
      <c r="P32" s="77">
        <f t="shared" si="10"/>
        <v>15.56</v>
      </c>
      <c r="Q32" s="77">
        <f t="shared" ref="Q32:Q50" si="11">(IF(Q$27="%w/w SAR",((Q$28*10)*$B32),IF(Q$27="%w/w DM",(((Q$28*10)*($B$28/100))*$B32),IF(Q$27="kg/t SAR",(Q$28*$B32),IF(Q$27="kg/t DM",((Q$28*($B$28/100))*$B32),IF(Q$27="mg/kg SAR",((Q$28*0.001)*$B32),IF(Q$27="mg/kg DM",(((Q$28*0.001)*($B$28/100))*$B32),0)))))))*2.5</f>
        <v>29.749999999999996</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ht="13" x14ac:dyDescent="0.35">
      <c r="A33" s="13" t="str">
        <f>E8</f>
        <v>C3</v>
      </c>
      <c r="B33" s="15">
        <v>20</v>
      </c>
      <c r="C33" s="77">
        <f t="shared" si="6"/>
        <v>72</v>
      </c>
      <c r="D33" s="77">
        <f t="shared" si="7"/>
        <v>53.563580000000002</v>
      </c>
      <c r="E33" s="77">
        <f t="shared" si="8"/>
        <v>4.7236000000000002</v>
      </c>
      <c r="F33" s="77">
        <f t="shared" si="9"/>
        <v>1.4888839999999999</v>
      </c>
      <c r="G33" s="77">
        <f t="shared" si="10"/>
        <v>6.6400000000000001E-2</v>
      </c>
      <c r="H33" s="77">
        <f t="shared" si="10"/>
        <v>0.43000000000000005</v>
      </c>
      <c r="I33" s="77">
        <f t="shared" si="10"/>
        <v>3.0400000000000003E-2</v>
      </c>
      <c r="J33" s="77">
        <f t="shared" si="10"/>
        <v>1.4000000000000002E-3</v>
      </c>
      <c r="K33" s="77">
        <f t="shared" si="10"/>
        <v>1E-3</v>
      </c>
      <c r="L33" s="77">
        <f t="shared" si="10"/>
        <v>1.4599999999999998E-2</v>
      </c>
      <c r="M33" s="77">
        <f t="shared" si="10"/>
        <v>2.8400000000000002E-2</v>
      </c>
      <c r="N33" s="77">
        <f t="shared" si="10"/>
        <v>0</v>
      </c>
      <c r="O33" s="77">
        <f t="shared" si="10"/>
        <v>0</v>
      </c>
      <c r="P33" s="77">
        <f t="shared" si="10"/>
        <v>15.56</v>
      </c>
      <c r="Q33" s="77">
        <f t="shared" si="11"/>
        <v>29.749999999999996</v>
      </c>
      <c r="R33" s="77">
        <f t="shared" si="12"/>
        <v>0</v>
      </c>
      <c r="S33" s="77">
        <f t="shared" si="12"/>
        <v>0</v>
      </c>
      <c r="T33" s="77">
        <f t="shared" si="12"/>
        <v>0</v>
      </c>
      <c r="U33" s="77">
        <f t="shared" si="12"/>
        <v>0</v>
      </c>
      <c r="AB33" s="59"/>
      <c r="AC33" s="59"/>
      <c r="AD33" s="59"/>
      <c r="AE33" s="59"/>
      <c r="AF33" s="59"/>
      <c r="AG33" s="59"/>
      <c r="AH33" s="59"/>
      <c r="AI33" s="59"/>
    </row>
    <row r="34" spans="1:35" s="72" customFormat="1" ht="13" x14ac:dyDescent="0.35">
      <c r="A34" s="13" t="str">
        <f>F8</f>
        <v>F1</v>
      </c>
      <c r="B34" s="15">
        <v>20</v>
      </c>
      <c r="C34" s="77">
        <f t="shared" si="6"/>
        <v>72</v>
      </c>
      <c r="D34" s="77">
        <f t="shared" si="7"/>
        <v>53.563580000000002</v>
      </c>
      <c r="E34" s="77">
        <f t="shared" si="8"/>
        <v>4.7236000000000002</v>
      </c>
      <c r="F34" s="77">
        <f t="shared" si="9"/>
        <v>1.4888839999999999</v>
      </c>
      <c r="G34" s="77">
        <f t="shared" si="10"/>
        <v>6.6400000000000001E-2</v>
      </c>
      <c r="H34" s="77">
        <f t="shared" si="10"/>
        <v>0.43000000000000005</v>
      </c>
      <c r="I34" s="77">
        <f t="shared" si="10"/>
        <v>3.0400000000000003E-2</v>
      </c>
      <c r="J34" s="77">
        <f t="shared" si="10"/>
        <v>1.4000000000000002E-3</v>
      </c>
      <c r="K34" s="77">
        <f t="shared" si="10"/>
        <v>1E-3</v>
      </c>
      <c r="L34" s="77">
        <f t="shared" si="10"/>
        <v>1.4599999999999998E-2</v>
      </c>
      <c r="M34" s="77">
        <f t="shared" si="10"/>
        <v>2.8400000000000002E-2</v>
      </c>
      <c r="N34" s="77">
        <f t="shared" si="10"/>
        <v>0</v>
      </c>
      <c r="O34" s="77">
        <f t="shared" si="10"/>
        <v>0</v>
      </c>
      <c r="P34" s="77">
        <f t="shared" si="10"/>
        <v>15.56</v>
      </c>
      <c r="Q34" s="77">
        <f t="shared" si="11"/>
        <v>29.749999999999996</v>
      </c>
      <c r="R34" s="77">
        <f t="shared" si="12"/>
        <v>0</v>
      </c>
      <c r="S34" s="77">
        <f t="shared" si="12"/>
        <v>0</v>
      </c>
      <c r="T34" s="77">
        <f t="shared" si="12"/>
        <v>0</v>
      </c>
      <c r="U34" s="77">
        <f t="shared" si="12"/>
        <v>0</v>
      </c>
      <c r="AB34" s="59"/>
      <c r="AC34" s="59"/>
      <c r="AD34" s="59"/>
      <c r="AE34" s="59"/>
      <c r="AF34" s="59"/>
      <c r="AG34" s="59"/>
      <c r="AH34" s="59"/>
      <c r="AI34" s="59"/>
    </row>
    <row r="35" spans="1:35" s="72" customFormat="1" ht="13" x14ac:dyDescent="0.35">
      <c r="A35" s="13" t="str">
        <f>G8</f>
        <v>F2</v>
      </c>
      <c r="B35" s="15">
        <v>20</v>
      </c>
      <c r="C35" s="77">
        <f t="shared" si="6"/>
        <v>72</v>
      </c>
      <c r="D35" s="77">
        <f t="shared" si="7"/>
        <v>53.563580000000002</v>
      </c>
      <c r="E35" s="77">
        <f t="shared" si="8"/>
        <v>4.7236000000000002</v>
      </c>
      <c r="F35" s="77">
        <f t="shared" si="9"/>
        <v>1.4888839999999999</v>
      </c>
      <c r="G35" s="77">
        <f t="shared" si="10"/>
        <v>6.6400000000000001E-2</v>
      </c>
      <c r="H35" s="77">
        <f t="shared" si="10"/>
        <v>0.43000000000000005</v>
      </c>
      <c r="I35" s="77">
        <f t="shared" si="10"/>
        <v>3.0400000000000003E-2</v>
      </c>
      <c r="J35" s="77">
        <f t="shared" si="10"/>
        <v>1.4000000000000002E-3</v>
      </c>
      <c r="K35" s="77">
        <f t="shared" si="10"/>
        <v>1E-3</v>
      </c>
      <c r="L35" s="77">
        <f t="shared" si="10"/>
        <v>1.4599999999999998E-2</v>
      </c>
      <c r="M35" s="77">
        <f t="shared" si="10"/>
        <v>2.8400000000000002E-2</v>
      </c>
      <c r="N35" s="77">
        <f t="shared" si="10"/>
        <v>0</v>
      </c>
      <c r="O35" s="77">
        <f t="shared" si="10"/>
        <v>0</v>
      </c>
      <c r="P35" s="77">
        <f t="shared" si="10"/>
        <v>15.56</v>
      </c>
      <c r="Q35" s="77">
        <f t="shared" si="11"/>
        <v>29.749999999999996</v>
      </c>
      <c r="R35" s="77">
        <f t="shared" si="12"/>
        <v>0</v>
      </c>
      <c r="S35" s="77">
        <f t="shared" si="12"/>
        <v>0</v>
      </c>
      <c r="T35" s="77">
        <f t="shared" si="12"/>
        <v>0</v>
      </c>
      <c r="U35" s="77">
        <f t="shared" si="12"/>
        <v>0</v>
      </c>
      <c r="AB35" s="59"/>
      <c r="AC35" s="59"/>
      <c r="AD35" s="59"/>
      <c r="AE35" s="59"/>
      <c r="AF35" s="59"/>
      <c r="AG35" s="59"/>
      <c r="AH35" s="59"/>
      <c r="AI35" s="59"/>
    </row>
    <row r="36" spans="1:35" s="72" customFormat="1" ht="13" x14ac:dyDescent="0.35">
      <c r="A36" s="13" t="str">
        <f>H8</f>
        <v>F9</v>
      </c>
      <c r="B36" s="15">
        <v>20</v>
      </c>
      <c r="C36" s="77">
        <f t="shared" si="6"/>
        <v>72</v>
      </c>
      <c r="D36" s="77">
        <f t="shared" si="7"/>
        <v>53.563580000000002</v>
      </c>
      <c r="E36" s="77">
        <f t="shared" si="8"/>
        <v>4.7236000000000002</v>
      </c>
      <c r="F36" s="77">
        <f t="shared" si="9"/>
        <v>1.4888839999999999</v>
      </c>
      <c r="G36" s="77">
        <f t="shared" si="10"/>
        <v>6.6400000000000001E-2</v>
      </c>
      <c r="H36" s="77">
        <f t="shared" si="10"/>
        <v>0.43000000000000005</v>
      </c>
      <c r="I36" s="77">
        <f t="shared" si="10"/>
        <v>3.0400000000000003E-2</v>
      </c>
      <c r="J36" s="77">
        <f t="shared" si="10"/>
        <v>1.4000000000000002E-3</v>
      </c>
      <c r="K36" s="77">
        <f t="shared" si="10"/>
        <v>1E-3</v>
      </c>
      <c r="L36" s="77">
        <f t="shared" si="10"/>
        <v>1.4599999999999998E-2</v>
      </c>
      <c r="M36" s="77">
        <f t="shared" si="10"/>
        <v>2.8400000000000002E-2</v>
      </c>
      <c r="N36" s="77">
        <f t="shared" si="10"/>
        <v>0</v>
      </c>
      <c r="O36" s="77">
        <f t="shared" si="10"/>
        <v>0</v>
      </c>
      <c r="P36" s="77">
        <f t="shared" si="10"/>
        <v>15.56</v>
      </c>
      <c r="Q36" s="77">
        <f t="shared" si="11"/>
        <v>29.749999999999996</v>
      </c>
      <c r="R36" s="77">
        <f t="shared" si="12"/>
        <v>0</v>
      </c>
      <c r="S36" s="77">
        <f t="shared" si="12"/>
        <v>0</v>
      </c>
      <c r="T36" s="77">
        <f t="shared" si="12"/>
        <v>0</v>
      </c>
      <c r="U36" s="77">
        <f t="shared" si="12"/>
        <v>0</v>
      </c>
      <c r="AB36" s="59"/>
      <c r="AC36" s="59"/>
      <c r="AD36" s="59"/>
      <c r="AE36" s="59"/>
      <c r="AF36" s="59"/>
      <c r="AG36" s="59"/>
      <c r="AH36" s="59"/>
      <c r="AI36" s="59"/>
    </row>
    <row r="37" spans="1:35" s="72" customFormat="1" ht="13" x14ac:dyDescent="0.35">
      <c r="A37" s="13">
        <f>I8</f>
        <v>43</v>
      </c>
      <c r="B37" s="15">
        <v>20</v>
      </c>
      <c r="C37" s="77">
        <f t="shared" si="6"/>
        <v>72</v>
      </c>
      <c r="D37" s="77">
        <f t="shared" si="7"/>
        <v>53.563580000000002</v>
      </c>
      <c r="E37" s="77">
        <f t="shared" si="8"/>
        <v>4.7236000000000002</v>
      </c>
      <c r="F37" s="77">
        <f t="shared" si="9"/>
        <v>1.4888839999999999</v>
      </c>
      <c r="G37" s="77">
        <f t="shared" si="10"/>
        <v>6.6400000000000001E-2</v>
      </c>
      <c r="H37" s="77">
        <f t="shared" si="10"/>
        <v>0.43000000000000005</v>
      </c>
      <c r="I37" s="77">
        <f t="shared" si="10"/>
        <v>3.0400000000000003E-2</v>
      </c>
      <c r="J37" s="77">
        <f t="shared" si="10"/>
        <v>1.4000000000000002E-3</v>
      </c>
      <c r="K37" s="77">
        <f t="shared" si="10"/>
        <v>1E-3</v>
      </c>
      <c r="L37" s="77">
        <f t="shared" si="10"/>
        <v>1.4599999999999998E-2</v>
      </c>
      <c r="M37" s="77">
        <f t="shared" si="10"/>
        <v>2.8400000000000002E-2</v>
      </c>
      <c r="N37" s="77">
        <f t="shared" si="10"/>
        <v>0</v>
      </c>
      <c r="O37" s="77">
        <f t="shared" si="10"/>
        <v>0</v>
      </c>
      <c r="P37" s="77">
        <f t="shared" si="10"/>
        <v>15.56</v>
      </c>
      <c r="Q37" s="77">
        <f t="shared" si="11"/>
        <v>29.749999999999996</v>
      </c>
      <c r="R37" s="77">
        <f t="shared" si="12"/>
        <v>0</v>
      </c>
      <c r="S37" s="77">
        <f t="shared" si="12"/>
        <v>0</v>
      </c>
      <c r="T37" s="77">
        <f t="shared" si="12"/>
        <v>0</v>
      </c>
      <c r="U37" s="77">
        <f t="shared" si="12"/>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10"/>
        <v>0</v>
      </c>
      <c r="H38" s="77">
        <f t="shared" si="10"/>
        <v>0</v>
      </c>
      <c r="I38" s="77">
        <f t="shared" si="10"/>
        <v>0</v>
      </c>
      <c r="J38" s="77">
        <f t="shared" si="10"/>
        <v>0</v>
      </c>
      <c r="K38" s="77">
        <f t="shared" si="10"/>
        <v>0</v>
      </c>
      <c r="L38" s="77">
        <f t="shared" si="10"/>
        <v>0</v>
      </c>
      <c r="M38" s="77">
        <f t="shared" si="10"/>
        <v>0</v>
      </c>
      <c r="N38" s="77">
        <f t="shared" si="10"/>
        <v>0</v>
      </c>
      <c r="O38" s="77">
        <f t="shared" si="10"/>
        <v>0</v>
      </c>
      <c r="P38" s="77">
        <f t="shared" si="10"/>
        <v>0</v>
      </c>
      <c r="Q38" s="77">
        <f t="shared" si="11"/>
        <v>0</v>
      </c>
      <c r="R38" s="77">
        <f t="shared" si="12"/>
        <v>0</v>
      </c>
      <c r="S38" s="77">
        <f t="shared" si="12"/>
        <v>0</v>
      </c>
      <c r="T38" s="77">
        <f t="shared" si="12"/>
        <v>0</v>
      </c>
      <c r="U38" s="77">
        <f t="shared" si="12"/>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10"/>
        <v>0</v>
      </c>
      <c r="H39" s="77">
        <f t="shared" si="10"/>
        <v>0</v>
      </c>
      <c r="I39" s="77">
        <f t="shared" si="10"/>
        <v>0</v>
      </c>
      <c r="J39" s="77">
        <f t="shared" si="10"/>
        <v>0</v>
      </c>
      <c r="K39" s="77">
        <f t="shared" si="10"/>
        <v>0</v>
      </c>
      <c r="L39" s="77">
        <f t="shared" si="10"/>
        <v>0</v>
      </c>
      <c r="M39" s="77">
        <f t="shared" si="10"/>
        <v>0</v>
      </c>
      <c r="N39" s="77">
        <f t="shared" si="10"/>
        <v>0</v>
      </c>
      <c r="O39" s="77">
        <f t="shared" si="10"/>
        <v>0</v>
      </c>
      <c r="P39" s="77">
        <f t="shared" si="10"/>
        <v>0</v>
      </c>
      <c r="Q39" s="77">
        <f t="shared" si="11"/>
        <v>0</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10"/>
        <v>0</v>
      </c>
      <c r="H40" s="77">
        <f t="shared" si="10"/>
        <v>0</v>
      </c>
      <c r="I40" s="77">
        <f t="shared" si="10"/>
        <v>0</v>
      </c>
      <c r="J40" s="77">
        <f t="shared" si="10"/>
        <v>0</v>
      </c>
      <c r="K40" s="77">
        <f t="shared" si="10"/>
        <v>0</v>
      </c>
      <c r="L40" s="77">
        <f t="shared" si="10"/>
        <v>0</v>
      </c>
      <c r="M40" s="77">
        <f t="shared" si="10"/>
        <v>0</v>
      </c>
      <c r="N40" s="77">
        <f t="shared" si="10"/>
        <v>0</v>
      </c>
      <c r="O40" s="77">
        <f t="shared" si="10"/>
        <v>0</v>
      </c>
      <c r="P40" s="77">
        <f t="shared" si="10"/>
        <v>0</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 xml:space="preserve">C1 </v>
      </c>
      <c r="C57" s="8" t="str">
        <f t="shared" ref="C57:U57" si="13">D8</f>
        <v xml:space="preserve">C2 </v>
      </c>
      <c r="D57" s="8" t="str">
        <f t="shared" si="13"/>
        <v>C3</v>
      </c>
      <c r="E57" s="8" t="str">
        <f t="shared" si="13"/>
        <v>F1</v>
      </c>
      <c r="F57" s="8" t="str">
        <f t="shared" si="13"/>
        <v>F2</v>
      </c>
      <c r="G57" s="8" t="str">
        <f t="shared" si="13"/>
        <v>F9</v>
      </c>
      <c r="H57" s="8">
        <f t="shared" si="13"/>
        <v>43</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Arable</v>
      </c>
      <c r="F58" s="13" t="str">
        <f>G16&amp;" I "&amp;(VLOOKUP(G14,Table24[],6,FALSE))</f>
        <v>Medium/Clay I Arable</v>
      </c>
      <c r="G58" s="13" t="str">
        <f>H16&amp;" I "&amp;(VLOOKUP(H14,Table24[],6,FALSE))</f>
        <v>Medium/Clay I Arable</v>
      </c>
      <c r="H58" s="13" t="str">
        <f>I16&amp;" I "&amp;(VLOOKUP(I14,Table24[],6,FALSE))</f>
        <v>Medium/Clay I Arable</v>
      </c>
      <c r="I58" s="13" t="e">
        <f>J16&amp;" I "&amp;(VLOOKUP(J14,Table24[],6,FALSE))</f>
        <v>#N/A</v>
      </c>
      <c r="J58" s="13" t="e">
        <f>K16&amp;" I "&amp;(VLOOKUP(K14,Table24[],6,FALSE))</f>
        <v>#N/A</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6.2</v>
      </c>
      <c r="C59" s="76">
        <f>VLOOKUP(D$14,Table24[],5,FALSE)</f>
        <v>6.2</v>
      </c>
      <c r="D59" s="76">
        <f>VLOOKUP(E$14,Table24[],5,FALSE)</f>
        <v>6.2</v>
      </c>
      <c r="E59" s="76">
        <f>VLOOKUP(F$14,Table24[],5,FALSE)</f>
        <v>6.7</v>
      </c>
      <c r="F59" s="76">
        <f>VLOOKUP(G$14,Table24[],5,FALSE)</f>
        <v>6.7</v>
      </c>
      <c r="G59" s="76">
        <f>VLOOKUP(H$14,Table24[],5,FALSE)</f>
        <v>6.7</v>
      </c>
      <c r="H59" s="76">
        <f>VLOOKUP(I$14,Table24[],5,FALSE)</f>
        <v>6.7</v>
      </c>
      <c r="I59" s="76" t="e">
        <f>VLOOKUP(J$14,Table24[],5,FALSE)</f>
        <v>#N/A</v>
      </c>
      <c r="J59" s="76" t="e">
        <f>VLOOKUP(K$14,Table24[],5,FALSE)</f>
        <v>#N/A</v>
      </c>
      <c r="K59" s="76" t="e">
        <f>VLOOKUP(L$14,Table24[],5,FALSE)</f>
        <v>#N/A</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6.5</v>
      </c>
      <c r="C60" s="76">
        <f t="shared" ref="C60:U60" si="14">D10</f>
        <v>6.4</v>
      </c>
      <c r="D60" s="76">
        <f t="shared" si="14"/>
        <v>5.7</v>
      </c>
      <c r="E60" s="76">
        <f t="shared" si="14"/>
        <v>6.1</v>
      </c>
      <c r="F60" s="76">
        <f t="shared" si="14"/>
        <v>6.3</v>
      </c>
      <c r="G60" s="76">
        <f t="shared" si="14"/>
        <v>5.9</v>
      </c>
      <c r="H60" s="76">
        <f t="shared" si="14"/>
        <v>5.8</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8</v>
      </c>
      <c r="F61" s="76">
        <f t="shared" si="15"/>
        <v>8</v>
      </c>
      <c r="G61" s="76">
        <f t="shared" si="15"/>
        <v>8</v>
      </c>
      <c r="H61" s="76">
        <f t="shared" si="15"/>
        <v>8</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20</v>
      </c>
      <c r="C62" s="77">
        <f>B32</f>
        <v>20</v>
      </c>
      <c r="D62" s="77">
        <f>B33</f>
        <v>20</v>
      </c>
      <c r="E62" s="77">
        <f>B34</f>
        <v>20</v>
      </c>
      <c r="F62" s="77">
        <f>B35</f>
        <v>20</v>
      </c>
      <c r="G62" s="77">
        <f>B36</f>
        <v>20</v>
      </c>
      <c r="H62" s="77">
        <f>B37</f>
        <v>20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-1.2000000000000011</v>
      </c>
      <c r="D64" s="77">
        <f t="shared" si="17"/>
        <v>3</v>
      </c>
      <c r="E64" s="77">
        <f t="shared" si="17"/>
        <v>4.8000000000000043</v>
      </c>
      <c r="F64" s="77">
        <f t="shared" si="17"/>
        <v>3.2000000000000028</v>
      </c>
      <c r="G64" s="77">
        <f t="shared" si="17"/>
        <v>6.3999999999999986</v>
      </c>
      <c r="H64" s="77">
        <f t="shared" si="17"/>
        <v>7.2000000000000028</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1.2000000000000011</v>
      </c>
      <c r="D65" s="77">
        <f t="shared" si="18"/>
        <v>-3</v>
      </c>
      <c r="E65" s="77">
        <f t="shared" si="18"/>
        <v>-4.8000000000000043</v>
      </c>
      <c r="F65" s="77">
        <f t="shared" si="18"/>
        <v>-3.2000000000000028</v>
      </c>
      <c r="G65" s="77">
        <f t="shared" si="18"/>
        <v>-6.3999999999999986</v>
      </c>
      <c r="H65" s="77">
        <f t="shared" si="18"/>
        <v>-7.2000000000000028</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UNDER</v>
      </c>
      <c r="E66" s="78" t="str">
        <f t="shared" si="19"/>
        <v>UNDER</v>
      </c>
      <c r="F66" s="78" t="str">
        <f t="shared" si="19"/>
        <v>UNDER</v>
      </c>
      <c r="G66" s="78" t="str">
        <f t="shared" si="19"/>
        <v>UNDER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419" priority="43" operator="equal">
      <formula>"DECREASE"</formula>
    </cfRule>
    <cfRule type="cellIs" dxfId="418" priority="44" operator="equal">
      <formula>"INCREASE"</formula>
    </cfRule>
  </conditionalFormatting>
  <conditionalFormatting sqref="B62:U66 B31:B50">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F2" sqref="F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Secanim!C1:D1</f>
        <v>PAN-019730</v>
      </c>
      <c r="D1" s="141"/>
      <c r="E1" s="93" t="s">
        <v>45</v>
      </c>
      <c r="F1" s="39">
        <f>Secanim!F1</f>
        <v>41.5</v>
      </c>
      <c r="G1" s="120" t="s">
        <v>43</v>
      </c>
      <c r="H1" s="121"/>
      <c r="I1" s="118">
        <v>7.01</v>
      </c>
      <c r="J1" s="119" t="s">
        <v>153</v>
      </c>
      <c r="K1" s="119"/>
      <c r="L1" s="97">
        <v>57</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Secanim!C2:D2</f>
        <v>EPR-KP3594VE</v>
      </c>
      <c r="D2" s="143"/>
      <c r="E2" s="93" t="s">
        <v>109</v>
      </c>
      <c r="F2" s="96" t="s">
        <v>177</v>
      </c>
      <c r="G2" s="138" t="s">
        <v>110</v>
      </c>
      <c r="H2" s="139"/>
      <c r="I2" s="118">
        <v>3261</v>
      </c>
      <c r="J2" s="119" t="s">
        <v>158</v>
      </c>
      <c r="K2" s="119"/>
      <c r="L2" s="97">
        <v>0.22</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Secanim!C3:D3</f>
        <v>Trade effluent services</v>
      </c>
      <c r="D3" s="143"/>
      <c r="E3" s="93" t="s">
        <v>108</v>
      </c>
      <c r="F3" s="31" t="s">
        <v>78</v>
      </c>
      <c r="G3" s="119" t="s">
        <v>159</v>
      </c>
      <c r="H3" s="119"/>
      <c r="I3" s="118"/>
      <c r="J3" s="120" t="s">
        <v>154</v>
      </c>
      <c r="K3" s="121"/>
      <c r="L3" s="97">
        <f>(L1/(L2*10000))*100</f>
        <v>2.5909090909090908</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Secanim!C4:D4</f>
        <v xml:space="preserve">Brookhouse farm, Brook house lane, Awowry, Wreham </v>
      </c>
      <c r="D4" s="141"/>
      <c r="E4" s="94" t="s">
        <v>1</v>
      </c>
      <c r="F4" s="96" t="s">
        <v>174</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Secanim!C5:D5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Secanim!C8</f>
        <v xml:space="preserve">C1 </v>
      </c>
      <c r="D8" s="60" t="str">
        <f>Secanim!D8</f>
        <v xml:space="preserve">C2 </v>
      </c>
      <c r="E8" s="60" t="str">
        <f>Secanim!E8</f>
        <v>C3</v>
      </c>
      <c r="F8" s="60" t="str">
        <f>Secanim!F8</f>
        <v>F1</v>
      </c>
      <c r="G8" s="60" t="str">
        <f>Secanim!G8</f>
        <v>F2</v>
      </c>
      <c r="H8" s="60" t="str">
        <f>Secanim!H8</f>
        <v>F9</v>
      </c>
      <c r="I8" s="60">
        <f>Secanim!I8</f>
        <v>43</v>
      </c>
      <c r="J8" s="60">
        <f>Secanim!J8</f>
        <v>0</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Secanim!C9</f>
        <v>Moderate</v>
      </c>
      <c r="D9" s="60" t="str">
        <f>Secanim!D9</f>
        <v>Moderate</v>
      </c>
      <c r="E9" s="60" t="str">
        <f>Secanim!E9</f>
        <v>Moderate</v>
      </c>
      <c r="F9" s="60">
        <f>Secanim!F9</f>
        <v>1</v>
      </c>
      <c r="G9" s="60">
        <f>Secanim!G9</f>
        <v>1</v>
      </c>
      <c r="H9" s="60">
        <f>Secanim!H9</f>
        <v>1</v>
      </c>
      <c r="I9" s="60">
        <f>Secanim!I9</f>
        <v>1</v>
      </c>
      <c r="J9" s="60">
        <f>Secanim!J9</f>
        <v>0</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Secanim!C10</f>
        <v>6.5</v>
      </c>
      <c r="D10" s="60">
        <f>Secanim!D10</f>
        <v>6.4</v>
      </c>
      <c r="E10" s="60">
        <f>Secanim!E10</f>
        <v>5.7</v>
      </c>
      <c r="F10" s="60">
        <f>Secanim!F10</f>
        <v>6.1</v>
      </c>
      <c r="G10" s="60">
        <f>Secanim!G10</f>
        <v>6.3</v>
      </c>
      <c r="H10" s="60">
        <f>Secanim!H10</f>
        <v>5.9</v>
      </c>
      <c r="I10" s="60">
        <f>Secanim!I10</f>
        <v>5.8</v>
      </c>
      <c r="J10" s="60">
        <f>Secanim!J10</f>
        <v>0</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Secanim!C11</f>
        <v>4</v>
      </c>
      <c r="D11" s="60">
        <f>Secanim!D11</f>
        <v>3</v>
      </c>
      <c r="E11" s="60">
        <f>Secanim!E11</f>
        <v>4</v>
      </c>
      <c r="F11" s="60">
        <f>Secanim!F11</f>
        <v>4</v>
      </c>
      <c r="G11" s="60">
        <f>Secanim!G11</f>
        <v>4</v>
      </c>
      <c r="H11" s="60">
        <f>Secanim!H11</f>
        <v>3</v>
      </c>
      <c r="I11" s="60">
        <f>Secanim!I11</f>
        <v>2</v>
      </c>
      <c r="J11" s="60">
        <f>Secanim!J11</f>
        <v>0</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Secanim!C12</f>
        <v>3</v>
      </c>
      <c r="D12" s="60">
        <f>Secanim!D12</f>
        <v>2</v>
      </c>
      <c r="E12" s="60">
        <f>Secanim!E12</f>
        <v>2</v>
      </c>
      <c r="F12" s="60">
        <f>Secanim!F12</f>
        <v>2</v>
      </c>
      <c r="G12" s="60">
        <f>Secanim!G12</f>
        <v>2</v>
      </c>
      <c r="H12" s="60">
        <f>Secanim!H12</f>
        <v>1</v>
      </c>
      <c r="I12" s="60">
        <f>Secanim!I12</f>
        <v>1</v>
      </c>
      <c r="J12" s="60">
        <f>Secanim!J12</f>
        <v>0</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Secanim!C13</f>
        <v>3</v>
      </c>
      <c r="D13" s="60">
        <f>Secanim!D13</f>
        <v>3</v>
      </c>
      <c r="E13" s="60">
        <f>Secanim!E13</f>
        <v>3</v>
      </c>
      <c r="F13" s="60">
        <f>Secanim!F13</f>
        <v>2</v>
      </c>
      <c r="G13" s="60">
        <f>Secanim!G13</f>
        <v>2</v>
      </c>
      <c r="H13" s="60">
        <f>Secanim!H13</f>
        <v>2</v>
      </c>
      <c r="I13" s="60">
        <f>Secanim!I13</f>
        <v>3</v>
      </c>
      <c r="J13" s="60">
        <f>Secanim!J13</f>
        <v>0</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Secanim!C14</f>
        <v xml:space="preserve">Grass Silage (25% DM) </v>
      </c>
      <c r="D14" s="102" t="str">
        <f>Secanim!D14</f>
        <v xml:space="preserve">Grass Silage (25% DM) </v>
      </c>
      <c r="E14" s="102" t="str">
        <f>Secanim!E14</f>
        <v xml:space="preserve">Grass Silage (25% DM) </v>
      </c>
      <c r="F14" s="102" t="str">
        <f>Secanim!F14</f>
        <v>Maize- Silage (30% DM)</v>
      </c>
      <c r="G14" s="102" t="str">
        <f>Secanim!G14</f>
        <v>Maize- Silage (30% DM)</v>
      </c>
      <c r="H14" s="102" t="str">
        <f>Secanim!H14</f>
        <v>Maize- Silage (30% DM)</v>
      </c>
      <c r="I14" s="102" t="str">
        <f>Secanim!I14</f>
        <v>Maize- Silage (30% DM)</v>
      </c>
      <c r="J14" s="102">
        <f>Secanim!J14</f>
        <v>0</v>
      </c>
      <c r="K14" s="102">
        <f>Secanim!K14</f>
        <v>0</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ht="13" x14ac:dyDescent="0.25">
      <c r="A15" s="130" t="s">
        <v>9</v>
      </c>
      <c r="B15" s="130"/>
      <c r="C15" s="60">
        <f>Secanim!C15</f>
        <v>38</v>
      </c>
      <c r="D15" s="60">
        <f>Secanim!D15</f>
        <v>38</v>
      </c>
      <c r="E15" s="60">
        <f>Secanim!E15</f>
        <v>38</v>
      </c>
      <c r="F15" s="60">
        <f>Secanim!F15</f>
        <v>40</v>
      </c>
      <c r="G15" s="60">
        <f>Secanim!G15</f>
        <v>40</v>
      </c>
      <c r="H15" s="60">
        <f>Secanim!H15</f>
        <v>40</v>
      </c>
      <c r="I15" s="60">
        <f>Secanim!I15</f>
        <v>40</v>
      </c>
      <c r="J15" s="60">
        <f>Secanim!J15</f>
        <v>0</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f>Secanim!J16</f>
        <v>0</v>
      </c>
      <c r="K16" s="103">
        <f>Secanim!K16</f>
        <v>0</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56</v>
      </c>
      <c r="G17" s="28">
        <f t="shared" si="0"/>
        <v>56</v>
      </c>
      <c r="H17" s="28">
        <f t="shared" si="0"/>
        <v>56</v>
      </c>
      <c r="I17" s="28">
        <f t="shared" si="0"/>
        <v>56</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54.227969999999999</v>
      </c>
      <c r="D18" s="16">
        <f>$D32</f>
        <v>54.227969999999999</v>
      </c>
      <c r="E18" s="16">
        <f>$D33</f>
        <v>54.227969999999999</v>
      </c>
      <c r="F18" s="16">
        <f>$D34</f>
        <v>54.227969999999999</v>
      </c>
      <c r="G18" s="16">
        <f>$D35</f>
        <v>54.227969999999999</v>
      </c>
      <c r="H18" s="16">
        <f>$D36</f>
        <v>54.227969999999999</v>
      </c>
      <c r="I18" s="16">
        <f>$D37</f>
        <v>54.227969999999999</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-10.372029999999995</v>
      </c>
      <c r="D19" s="16">
        <f t="shared" ref="D19:V19" si="1">D18-D17</f>
        <v>-10.372029999999995</v>
      </c>
      <c r="E19" s="16">
        <f t="shared" si="1"/>
        <v>-10.372029999999995</v>
      </c>
      <c r="F19" s="16">
        <f t="shared" si="1"/>
        <v>-1.7720300000000009</v>
      </c>
      <c r="G19" s="16">
        <f t="shared" si="1"/>
        <v>-1.7720300000000009</v>
      </c>
      <c r="H19" s="16">
        <f t="shared" si="1"/>
        <v>-1.7720300000000009</v>
      </c>
      <c r="I19" s="16">
        <f t="shared" si="1"/>
        <v>-1.7720300000000009</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176</v>
      </c>
      <c r="G21" s="28">
        <f t="shared" si="2"/>
        <v>176</v>
      </c>
      <c r="H21" s="28">
        <f t="shared" si="2"/>
        <v>176</v>
      </c>
      <c r="I21" s="28">
        <f t="shared" si="2"/>
        <v>176</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11.604149999999999</v>
      </c>
      <c r="D22" s="16">
        <f>$E32</f>
        <v>11.604149999999999</v>
      </c>
      <c r="E22" s="16">
        <f>$E33</f>
        <v>11.604149999999999</v>
      </c>
      <c r="F22" s="16">
        <f>$E34</f>
        <v>11.604149999999999</v>
      </c>
      <c r="G22" s="16">
        <f>$E35</f>
        <v>11.604149999999999</v>
      </c>
      <c r="H22" s="16">
        <f>$E36</f>
        <v>11.604149999999999</v>
      </c>
      <c r="I22" s="16">
        <f>$E37</f>
        <v>11.604149999999999</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-216.39585</v>
      </c>
      <c r="D23" s="16">
        <f t="shared" ref="D23:V23" si="3">D22-D21</f>
        <v>-216.39585</v>
      </c>
      <c r="E23" s="16">
        <f t="shared" si="3"/>
        <v>-216.39585</v>
      </c>
      <c r="F23" s="16">
        <f t="shared" si="3"/>
        <v>-164.39585</v>
      </c>
      <c r="G23" s="16">
        <f t="shared" si="3"/>
        <v>-164.39585</v>
      </c>
      <c r="H23" s="16">
        <f t="shared" si="3"/>
        <v>-164.39585</v>
      </c>
      <c r="I23" s="16">
        <f t="shared" si="3"/>
        <v>-164.39585</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3.24</v>
      </c>
      <c r="C28" s="15">
        <v>0.22</v>
      </c>
      <c r="D28" s="15">
        <v>526</v>
      </c>
      <c r="E28" s="15">
        <v>214</v>
      </c>
      <c r="F28" s="15">
        <v>92</v>
      </c>
      <c r="G28" s="15">
        <v>0.98</v>
      </c>
      <c r="H28" s="15">
        <v>11.1</v>
      </c>
      <c r="I28" s="15">
        <v>0.5</v>
      </c>
      <c r="J28" s="15">
        <v>0.01</v>
      </c>
      <c r="K28" s="23">
        <v>0.05</v>
      </c>
      <c r="L28" s="15">
        <v>0.65300000000000002</v>
      </c>
      <c r="M28" s="15">
        <v>5.1100000000000003</v>
      </c>
      <c r="N28" s="15"/>
      <c r="O28" s="15"/>
      <c r="P28" s="15">
        <v>4373</v>
      </c>
      <c r="Q28" s="15">
        <v>2095</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 xml:space="preserve">C1 </v>
      </c>
      <c r="B31" s="15">
        <v>45</v>
      </c>
      <c r="C31" s="77">
        <f>IF(C$27="%w/w SAR",((C$28*10)*$B31),IF(C$27="%w/w DM",(((C$28*10)*($B$28/100))*$B31),IF(C$27="kg/t SAR",(C$28*$B31),IF(C$27="kg/t DM",((C$28*($B$28/100))*$B31),IF(C$27="mg/kg SAR",((C$28*0.001)*$B31),IF(C$27="mg/kg DM",(((C$28*0.001)*($B$28/100))*$B31),0))))))</f>
        <v>99.000000000000014</v>
      </c>
      <c r="D31" s="77">
        <f>(IF(D$27="%w/w SAR",((D$28*10)*$B31),IF(D$27="%w/w DM",(((D$28*10)*($B$28/100))*$B31),IF(D$27="kg/t SAR",(D$28*$B31),IF(D$27="kg/t DM",((D$28*($B$28/100))*$B31),IF(D$27="mg/kg SAR",((D$28*0.001)*$B31),IF(D$27="mg/kg DM",(((D$28*0.001)*($B$28/100))*$B31),"0")))))))*2.291</f>
        <v>54.227969999999999</v>
      </c>
      <c r="E31" s="77">
        <f>(IF(E$27="%w/w SAR",((E$28*10)*$B31),IF(E$27="%w/w DM",(((E$28*10)*($B$28/100))*$B31),IF(E$27="kg/t SAR",(E$28*$B31),IF(E$27="kg/t DM",((E$28*($B$28/100))*$B31),IF(E$27="mg/kg SAR",((E$28*0.001)*$B31),IF(E$27="mg/kg DM",(((E$28*0.001)*($B$28/100))*$B31),"0")))))))*1.205</f>
        <v>11.604149999999999</v>
      </c>
      <c r="F31" s="77">
        <f>(IF(F$27="%w/w SAR",((F$28*10)*$B31),IF(F$27="%w/w DM",(((F$28*10)*($B$28/100))*$B31),IF(F$27="kg/t SAR",(F$28*$B31),IF(F$27="kg/t DM",((F$28*($B$28/100))*$B31),IF(F$27="mg/kg SAR",((F$28*0.001)*$B31),IF(F$27="mg/kg DM",(((F$28*0.001)*($B$28/100))*$B31),"0")))))))*1.658</f>
        <v>6.8641199999999989</v>
      </c>
      <c r="G31" s="77">
        <f t="shared" ref="G31:P46" si="5">IF(G$27="%w/w SAR",((G$28*10)*$B31),IF(G$27="%w/w DM",(((G$28*10)*($B$28/100))*$B31),IF(G$27="kg/t SAR",(G$28*$B31),IF(G$27="kg/t DM",((G$28*($B$28/100))*$B31),IF(G$27="mg/kg SAR",((G$28*0.001)*$B31),IF(G$27="mg/kg DM",(((G$28*0.001)*($B$28/100))*$B31),0))))))</f>
        <v>4.41E-2</v>
      </c>
      <c r="H31" s="77">
        <f t="shared" si="5"/>
        <v>0.4995</v>
      </c>
      <c r="I31" s="77">
        <f t="shared" si="5"/>
        <v>2.2499999999999999E-2</v>
      </c>
      <c r="J31" s="77">
        <f t="shared" si="5"/>
        <v>4.5000000000000004E-4</v>
      </c>
      <c r="K31" s="77">
        <f t="shared" si="5"/>
        <v>2.2500000000000003E-3</v>
      </c>
      <c r="L31" s="77">
        <f t="shared" si="5"/>
        <v>2.9385000000000001E-2</v>
      </c>
      <c r="M31" s="77">
        <f t="shared" si="5"/>
        <v>0.22995000000000004</v>
      </c>
      <c r="N31" s="77">
        <f t="shared" si="5"/>
        <v>0</v>
      </c>
      <c r="O31" s="77">
        <f t="shared" si="5"/>
        <v>0</v>
      </c>
      <c r="P31" s="77">
        <f t="shared" si="5"/>
        <v>196.785</v>
      </c>
      <c r="Q31" s="77">
        <f>(IF(Q$27="%w/w SAR",((Q$28*10)*$B31),IF(Q$27="%w/w DM",(((Q$28*10)*($B$28/100))*$B31),IF(Q$27="kg/t SAR",(Q$28*$B31),IF(Q$27="kg/t DM",((Q$28*($B$28/100))*$B31),IF(Q$27="mg/kg SAR",((Q$28*0.001)*$B31),IF(Q$27="mg/kg DM",(((Q$28*0.001)*($B$28/100))*$B31),0)))))))*2.5</f>
        <v>235.6875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C2 </v>
      </c>
      <c r="B32" s="15">
        <v>45</v>
      </c>
      <c r="C32" s="77">
        <f t="shared" ref="C32:C50" si="6">IF(C$27="%w/w SAR",((C$28*10)*$B32),IF(C$27="%w/w DM",(((C$28*10)*($B$28/100))*$B32),IF(C$27="kg/t SAR",(C$28*$B32),IF(C$27="kg/t DM",((C$28*($B$28/100))*$B32),IF(C$27="mg/kg SAR",((C$28*0.001)*$B32),IF(C$27="mg/kg DM",(((C$28*0.001)*($B$28/100))*$B32),0))))))</f>
        <v>99.000000000000014</v>
      </c>
      <c r="D32" s="77">
        <f t="shared" ref="D32:D50" si="7">(IF(D$27="%w/w SAR",((D$28*10)*$B32),IF(D$27="%w/w DM",(((D$28*10)*($B$28/100))*$B32),IF(D$27="kg/t SAR",(D$28*$B32),IF(D$27="kg/t DM",((D$28*($B$28/100))*$B32),IF(D$27="mg/kg SAR",((D$28*0.001)*$B32),IF(D$27="mg/kg DM",(((D$28*0.001)*($B$28/100))*$B32),"0")))))))*2.291</f>
        <v>54.227969999999999</v>
      </c>
      <c r="E32" s="77">
        <f t="shared" ref="E32:E50" si="8">(IF(E$27="%w/w SAR",((E$28*10)*$B32),IF(E$27="%w/w DM",(((E$28*10)*($B$28/100))*$B32),IF(E$27="kg/t SAR",(E$28*$B32),IF(E$27="kg/t DM",((E$28*($B$28/100))*$B32),IF(E$27="mg/kg SAR",((E$28*0.001)*$B32),IF(E$27="mg/kg DM",(((E$28*0.001)*($B$28/100))*$B32),"0")))))))*1.205</f>
        <v>11.604149999999999</v>
      </c>
      <c r="F32" s="77">
        <f t="shared" ref="F32:F50" si="9">(IF(F$27="%w/w SAR",((F$28*10)*$B32),IF(F$27="%w/w DM",(((F$28*10)*($B$28/100))*$B32),IF(F$27="kg/t SAR",(F$28*$B32),IF(F$27="kg/t DM",((F$28*($B$28/100))*$B32),IF(F$27="mg/kg SAR",((F$28*0.001)*$B32),IF(F$27="mg/kg DM",(((F$28*0.001)*($B$28/100))*$B32),"0")))))))*1.658</f>
        <v>6.8641199999999989</v>
      </c>
      <c r="G32" s="77">
        <f t="shared" si="5"/>
        <v>4.41E-2</v>
      </c>
      <c r="H32" s="77">
        <f t="shared" si="5"/>
        <v>0.4995</v>
      </c>
      <c r="I32" s="77">
        <f t="shared" si="5"/>
        <v>2.2499999999999999E-2</v>
      </c>
      <c r="J32" s="77">
        <f t="shared" si="5"/>
        <v>4.5000000000000004E-4</v>
      </c>
      <c r="K32" s="77">
        <f t="shared" si="5"/>
        <v>2.2500000000000003E-3</v>
      </c>
      <c r="L32" s="77">
        <f t="shared" si="5"/>
        <v>2.9385000000000001E-2</v>
      </c>
      <c r="M32" s="77">
        <f t="shared" si="5"/>
        <v>0.22995000000000004</v>
      </c>
      <c r="N32" s="77">
        <f t="shared" si="5"/>
        <v>0</v>
      </c>
      <c r="O32" s="77">
        <f t="shared" si="5"/>
        <v>0</v>
      </c>
      <c r="P32" s="77">
        <f t="shared" si="5"/>
        <v>196.785</v>
      </c>
      <c r="Q32" s="77">
        <f t="shared" ref="Q32:Q50" si="10">(IF(Q$27="%w/w SAR",((Q$28*10)*$B32),IF(Q$27="%w/w DM",(((Q$28*10)*($B$28/100))*$B32),IF(Q$27="kg/t SAR",(Q$28*$B32),IF(Q$27="kg/t DM",((Q$28*($B$28/100))*$B32),IF(Q$27="mg/kg SAR",((Q$28*0.001)*$B32),IF(Q$27="mg/kg DM",(((Q$28*0.001)*($B$28/100))*$B32),0)))))))*2.5</f>
        <v>235.6875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C3</v>
      </c>
      <c r="B33" s="15">
        <v>45</v>
      </c>
      <c r="C33" s="77">
        <f t="shared" si="6"/>
        <v>99.000000000000014</v>
      </c>
      <c r="D33" s="77">
        <f t="shared" si="7"/>
        <v>54.227969999999999</v>
      </c>
      <c r="E33" s="77">
        <f t="shared" si="8"/>
        <v>11.604149999999999</v>
      </c>
      <c r="F33" s="77">
        <f t="shared" si="9"/>
        <v>6.8641199999999989</v>
      </c>
      <c r="G33" s="77">
        <f t="shared" si="5"/>
        <v>4.41E-2</v>
      </c>
      <c r="H33" s="77">
        <f t="shared" si="5"/>
        <v>0.4995</v>
      </c>
      <c r="I33" s="77">
        <f t="shared" si="5"/>
        <v>2.2499999999999999E-2</v>
      </c>
      <c r="J33" s="77">
        <f t="shared" si="5"/>
        <v>4.5000000000000004E-4</v>
      </c>
      <c r="K33" s="77">
        <f t="shared" si="5"/>
        <v>2.2500000000000003E-3</v>
      </c>
      <c r="L33" s="77">
        <f t="shared" si="5"/>
        <v>2.9385000000000001E-2</v>
      </c>
      <c r="M33" s="77">
        <f t="shared" si="5"/>
        <v>0.22995000000000004</v>
      </c>
      <c r="N33" s="77">
        <f t="shared" si="5"/>
        <v>0</v>
      </c>
      <c r="O33" s="77">
        <f t="shared" si="5"/>
        <v>0</v>
      </c>
      <c r="P33" s="77">
        <f t="shared" si="5"/>
        <v>196.785</v>
      </c>
      <c r="Q33" s="77">
        <f t="shared" si="10"/>
        <v>235.6875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F1</v>
      </c>
      <c r="B34" s="15">
        <v>45</v>
      </c>
      <c r="C34" s="77">
        <f t="shared" si="6"/>
        <v>99.000000000000014</v>
      </c>
      <c r="D34" s="77">
        <f t="shared" si="7"/>
        <v>54.227969999999999</v>
      </c>
      <c r="E34" s="77">
        <f t="shared" si="8"/>
        <v>11.604149999999999</v>
      </c>
      <c r="F34" s="77">
        <f t="shared" si="9"/>
        <v>6.8641199999999989</v>
      </c>
      <c r="G34" s="77">
        <f t="shared" si="5"/>
        <v>4.41E-2</v>
      </c>
      <c r="H34" s="77">
        <f t="shared" si="5"/>
        <v>0.4995</v>
      </c>
      <c r="I34" s="77">
        <f t="shared" si="5"/>
        <v>2.2499999999999999E-2</v>
      </c>
      <c r="J34" s="77">
        <f t="shared" si="5"/>
        <v>4.5000000000000004E-4</v>
      </c>
      <c r="K34" s="77">
        <f t="shared" si="5"/>
        <v>2.2500000000000003E-3</v>
      </c>
      <c r="L34" s="77">
        <f t="shared" si="5"/>
        <v>2.9385000000000001E-2</v>
      </c>
      <c r="M34" s="77">
        <f t="shared" si="5"/>
        <v>0.22995000000000004</v>
      </c>
      <c r="N34" s="77">
        <f t="shared" si="5"/>
        <v>0</v>
      </c>
      <c r="O34" s="77">
        <f t="shared" si="5"/>
        <v>0</v>
      </c>
      <c r="P34" s="77">
        <f t="shared" si="5"/>
        <v>196.785</v>
      </c>
      <c r="Q34" s="77">
        <f t="shared" si="10"/>
        <v>235.6875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F2</v>
      </c>
      <c r="B35" s="15">
        <v>45</v>
      </c>
      <c r="C35" s="77">
        <f t="shared" si="6"/>
        <v>99.000000000000014</v>
      </c>
      <c r="D35" s="77">
        <f t="shared" si="7"/>
        <v>54.227969999999999</v>
      </c>
      <c r="E35" s="77">
        <f t="shared" si="8"/>
        <v>11.604149999999999</v>
      </c>
      <c r="F35" s="77">
        <f t="shared" si="9"/>
        <v>6.8641199999999989</v>
      </c>
      <c r="G35" s="77">
        <f t="shared" si="5"/>
        <v>4.41E-2</v>
      </c>
      <c r="H35" s="77">
        <f t="shared" si="5"/>
        <v>0.4995</v>
      </c>
      <c r="I35" s="77">
        <f t="shared" si="5"/>
        <v>2.2499999999999999E-2</v>
      </c>
      <c r="J35" s="77">
        <f t="shared" si="5"/>
        <v>4.5000000000000004E-4</v>
      </c>
      <c r="K35" s="77">
        <f t="shared" si="5"/>
        <v>2.2500000000000003E-3</v>
      </c>
      <c r="L35" s="77">
        <f t="shared" si="5"/>
        <v>2.9385000000000001E-2</v>
      </c>
      <c r="M35" s="77">
        <f t="shared" si="5"/>
        <v>0.22995000000000004</v>
      </c>
      <c r="N35" s="77">
        <f t="shared" si="5"/>
        <v>0</v>
      </c>
      <c r="O35" s="77">
        <f t="shared" si="5"/>
        <v>0</v>
      </c>
      <c r="P35" s="77">
        <f t="shared" si="5"/>
        <v>196.785</v>
      </c>
      <c r="Q35" s="77">
        <f t="shared" si="10"/>
        <v>235.6875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F9</v>
      </c>
      <c r="B36" s="15">
        <v>45</v>
      </c>
      <c r="C36" s="77">
        <f t="shared" si="6"/>
        <v>99.000000000000014</v>
      </c>
      <c r="D36" s="77">
        <f t="shared" si="7"/>
        <v>54.227969999999999</v>
      </c>
      <c r="E36" s="77">
        <f t="shared" si="8"/>
        <v>11.604149999999999</v>
      </c>
      <c r="F36" s="77">
        <f t="shared" si="9"/>
        <v>6.8641199999999989</v>
      </c>
      <c r="G36" s="77">
        <f t="shared" si="5"/>
        <v>4.41E-2</v>
      </c>
      <c r="H36" s="77">
        <f t="shared" si="5"/>
        <v>0.4995</v>
      </c>
      <c r="I36" s="77">
        <f t="shared" si="5"/>
        <v>2.2499999999999999E-2</v>
      </c>
      <c r="J36" s="77">
        <f t="shared" si="5"/>
        <v>4.5000000000000004E-4</v>
      </c>
      <c r="K36" s="77">
        <f t="shared" si="5"/>
        <v>2.2500000000000003E-3</v>
      </c>
      <c r="L36" s="77">
        <f t="shared" si="5"/>
        <v>2.9385000000000001E-2</v>
      </c>
      <c r="M36" s="77">
        <f t="shared" si="5"/>
        <v>0.22995000000000004</v>
      </c>
      <c r="N36" s="77">
        <f t="shared" si="5"/>
        <v>0</v>
      </c>
      <c r="O36" s="77">
        <f t="shared" si="5"/>
        <v>0</v>
      </c>
      <c r="P36" s="77">
        <f t="shared" si="5"/>
        <v>196.785</v>
      </c>
      <c r="Q36" s="77">
        <f t="shared" si="10"/>
        <v>235.6875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43</v>
      </c>
      <c r="B37" s="15">
        <v>45</v>
      </c>
      <c r="C37" s="77">
        <f t="shared" si="6"/>
        <v>99.000000000000014</v>
      </c>
      <c r="D37" s="77">
        <f t="shared" si="7"/>
        <v>54.227969999999999</v>
      </c>
      <c r="E37" s="77">
        <f t="shared" si="8"/>
        <v>11.604149999999999</v>
      </c>
      <c r="F37" s="77">
        <f t="shared" si="9"/>
        <v>6.8641199999999989</v>
      </c>
      <c r="G37" s="77">
        <f t="shared" si="5"/>
        <v>4.41E-2</v>
      </c>
      <c r="H37" s="77">
        <f t="shared" si="5"/>
        <v>0.4995</v>
      </c>
      <c r="I37" s="77">
        <f t="shared" si="5"/>
        <v>2.2499999999999999E-2</v>
      </c>
      <c r="J37" s="77">
        <f t="shared" si="5"/>
        <v>4.5000000000000004E-4</v>
      </c>
      <c r="K37" s="77">
        <f t="shared" si="5"/>
        <v>2.2500000000000003E-3</v>
      </c>
      <c r="L37" s="77">
        <f t="shared" si="5"/>
        <v>2.9385000000000001E-2</v>
      </c>
      <c r="M37" s="77">
        <f t="shared" si="5"/>
        <v>0.22995000000000004</v>
      </c>
      <c r="N37" s="77">
        <f t="shared" si="5"/>
        <v>0</v>
      </c>
      <c r="O37" s="77">
        <f t="shared" si="5"/>
        <v>0</v>
      </c>
      <c r="P37" s="77">
        <f t="shared" si="5"/>
        <v>196.785</v>
      </c>
      <c r="Q37" s="77">
        <f t="shared" si="10"/>
        <v>235.6875</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 xml:space="preserve">C1 </v>
      </c>
      <c r="C57" s="8" t="str">
        <f t="shared" ref="C57:U57" si="13">D8</f>
        <v xml:space="preserve">C2 </v>
      </c>
      <c r="D57" s="8" t="str">
        <f t="shared" si="13"/>
        <v>C3</v>
      </c>
      <c r="E57" s="8" t="str">
        <f t="shared" si="13"/>
        <v>F1</v>
      </c>
      <c r="F57" s="8" t="str">
        <f t="shared" si="13"/>
        <v>F2</v>
      </c>
      <c r="G57" s="8" t="str">
        <f t="shared" si="13"/>
        <v>F9</v>
      </c>
      <c r="H57" s="8">
        <f t="shared" si="13"/>
        <v>43</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Arable</v>
      </c>
      <c r="F58" s="13" t="str">
        <f>G16&amp;" I "&amp;(VLOOKUP(G14,Table245[],6,FALSE))</f>
        <v>Medium/Clay I Arable</v>
      </c>
      <c r="G58" s="13" t="str">
        <f>H16&amp;" I "&amp;(VLOOKUP(H14,Table245[],6,FALSE))</f>
        <v>Medium/Clay I Arable</v>
      </c>
      <c r="H58" s="13" t="str">
        <f>I16&amp;" I "&amp;(VLOOKUP(I14,Table245[],6,FALSE))</f>
        <v>Medium/Clay I Arable</v>
      </c>
      <c r="I58" s="13" t="e">
        <f>J16&amp;" I "&amp;(VLOOKUP(J14,Table245[],6,FALSE))</f>
        <v>#N/A</v>
      </c>
      <c r="J58" s="13" t="e">
        <f>K16&amp;" I "&amp;(VLOOKUP(K14,Table245[],6,FALSE))</f>
        <v>#N/A</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6.2</v>
      </c>
      <c r="C59" s="76">
        <f>VLOOKUP(D$14,Table245[],5,FALSE)</f>
        <v>6.2</v>
      </c>
      <c r="D59" s="76">
        <f>VLOOKUP(E$14,Table245[],5,FALSE)</f>
        <v>6.2</v>
      </c>
      <c r="E59" s="76">
        <f>VLOOKUP(F$14,Table245[],5,FALSE)</f>
        <v>6.7</v>
      </c>
      <c r="F59" s="76">
        <f>VLOOKUP(G$14,Table245[],5,FALSE)</f>
        <v>6.7</v>
      </c>
      <c r="G59" s="76">
        <f>VLOOKUP(H$14,Table245[],5,FALSE)</f>
        <v>6.7</v>
      </c>
      <c r="H59" s="76">
        <f>VLOOKUP(I$14,Table245[],5,FALSE)</f>
        <v>6.7</v>
      </c>
      <c r="I59" s="76" t="e">
        <f>VLOOKUP(J$14,Table245[],5,FALSE)</f>
        <v>#N/A</v>
      </c>
      <c r="J59" s="76" t="e">
        <f>VLOOKUP(K$14,Table245[],5,FALSE)</f>
        <v>#N/A</v>
      </c>
      <c r="K59" s="76" t="e">
        <f>VLOOKUP(L$14,Table245[],5,FALSE)</f>
        <v>#N/A</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6.5</v>
      </c>
      <c r="C60" s="76">
        <f t="shared" ref="C60:U60" si="14">D10</f>
        <v>6.4</v>
      </c>
      <c r="D60" s="76">
        <f t="shared" si="14"/>
        <v>5.7</v>
      </c>
      <c r="E60" s="76">
        <f t="shared" si="14"/>
        <v>6.1</v>
      </c>
      <c r="F60" s="76">
        <f t="shared" si="14"/>
        <v>6.3</v>
      </c>
      <c r="G60" s="76">
        <f t="shared" si="14"/>
        <v>5.9</v>
      </c>
      <c r="H60" s="76">
        <f t="shared" si="14"/>
        <v>5.8</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8</v>
      </c>
      <c r="F61" s="76">
        <f t="shared" si="15"/>
        <v>8</v>
      </c>
      <c r="G61" s="76">
        <f t="shared" si="15"/>
        <v>8</v>
      </c>
      <c r="H61" s="76">
        <f t="shared" si="15"/>
        <v>8</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45</v>
      </c>
      <c r="C62" s="77">
        <f>B32</f>
        <v>45</v>
      </c>
      <c r="D62" s="77">
        <f>B33</f>
        <v>45</v>
      </c>
      <c r="E62" s="77">
        <f>B34</f>
        <v>45</v>
      </c>
      <c r="F62" s="77">
        <f>B35</f>
        <v>45</v>
      </c>
      <c r="G62" s="77">
        <f>B36</f>
        <v>45</v>
      </c>
      <c r="H62" s="77">
        <f>B37</f>
        <v>45</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-1.2000000000000011</v>
      </c>
      <c r="D64" s="77">
        <f t="shared" si="17"/>
        <v>3</v>
      </c>
      <c r="E64" s="77">
        <f t="shared" si="17"/>
        <v>4.8000000000000043</v>
      </c>
      <c r="F64" s="77">
        <f t="shared" si="17"/>
        <v>3.2000000000000028</v>
      </c>
      <c r="G64" s="77">
        <f t="shared" si="17"/>
        <v>6.3999999999999986</v>
      </c>
      <c r="H64" s="77">
        <f t="shared" si="17"/>
        <v>7.2000000000000028</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1.2000000000000011</v>
      </c>
      <c r="D65" s="77">
        <f t="shared" si="18"/>
        <v>-3</v>
      </c>
      <c r="E65" s="77">
        <f t="shared" si="18"/>
        <v>-4.8000000000000043</v>
      </c>
      <c r="F65" s="77">
        <f t="shared" si="18"/>
        <v>-3.2000000000000028</v>
      </c>
      <c r="G65" s="77">
        <f t="shared" si="18"/>
        <v>-6.3999999999999986</v>
      </c>
      <c r="H65" s="77">
        <f t="shared" si="18"/>
        <v>-7.2000000000000028</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UNDER</v>
      </c>
      <c r="E66" s="78" t="str">
        <f t="shared" si="19"/>
        <v>UNDER</v>
      </c>
      <c r="F66" s="78" t="str">
        <f t="shared" si="19"/>
        <v>UNDER</v>
      </c>
      <c r="G66" s="78" t="str">
        <f t="shared" si="19"/>
        <v>UNDER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77" priority="37" operator="equal">
      <formula>"DECREASE"</formula>
    </cfRule>
    <cfRule type="cellIs" dxfId="376" priority="38" operator="equal">
      <formula>"INCREASE"</formula>
    </cfRule>
  </conditionalFormatting>
  <conditionalFormatting sqref="B62:U66 B31:B50">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U28" sqref="U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Secanim!C1:D1</f>
        <v>PAN-019730</v>
      </c>
      <c r="D1" s="141"/>
      <c r="E1" s="93" t="s">
        <v>45</v>
      </c>
      <c r="F1" s="39">
        <f>Secanim!F1</f>
        <v>41.5</v>
      </c>
      <c r="G1" s="120" t="s">
        <v>43</v>
      </c>
      <c r="H1" s="121"/>
      <c r="I1" s="118">
        <v>7.04</v>
      </c>
      <c r="J1" s="119" t="s">
        <v>153</v>
      </c>
      <c r="K1" s="119"/>
      <c r="L1" s="97">
        <v>140</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Secanim!C2:D2</f>
        <v>EPR-KP3594VE</v>
      </c>
      <c r="D2" s="143"/>
      <c r="E2" s="93" t="s">
        <v>109</v>
      </c>
      <c r="F2" s="96" t="s">
        <v>176</v>
      </c>
      <c r="G2" s="138" t="s">
        <v>110</v>
      </c>
      <c r="H2" s="139"/>
      <c r="I2" s="118">
        <v>613</v>
      </c>
      <c r="J2" s="119" t="s">
        <v>158</v>
      </c>
      <c r="K2" s="119"/>
      <c r="L2" s="97">
        <v>0.36</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Secanim!C3:D3</f>
        <v>Trade effluent services</v>
      </c>
      <c r="D3" s="143"/>
      <c r="E3" s="93" t="s">
        <v>108</v>
      </c>
      <c r="F3" s="31" t="s">
        <v>78</v>
      </c>
      <c r="G3" s="119" t="s">
        <v>159</v>
      </c>
      <c r="H3" s="119"/>
      <c r="I3" s="118"/>
      <c r="J3" s="120" t="s">
        <v>154</v>
      </c>
      <c r="K3" s="121"/>
      <c r="L3" s="97">
        <f>(L1/(L2*10000))*100</f>
        <v>3.8888888888888888</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Secanim!C4:D4</f>
        <v xml:space="preserve">Brookhouse farm, Brook house lane, Awowry, Wreham </v>
      </c>
      <c r="D4" s="141"/>
      <c r="E4" s="94" t="s">
        <v>1</v>
      </c>
      <c r="F4" s="96" t="s">
        <v>175</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Secanim!C5:D5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Secanim!C8</f>
        <v xml:space="preserve">C1 </v>
      </c>
      <c r="D8" s="60" t="str">
        <f>Secanim!D8</f>
        <v xml:space="preserve">C2 </v>
      </c>
      <c r="E8" s="60" t="str">
        <f>Secanim!E8</f>
        <v>C3</v>
      </c>
      <c r="F8" s="60" t="str">
        <f>Secanim!F8</f>
        <v>F1</v>
      </c>
      <c r="G8" s="60" t="str">
        <f>Secanim!G8</f>
        <v>F2</v>
      </c>
      <c r="H8" s="60" t="str">
        <f>Secanim!H8</f>
        <v>F9</v>
      </c>
      <c r="I8" s="60">
        <f>Secanim!I8</f>
        <v>43</v>
      </c>
      <c r="J8" s="60">
        <f>Secanim!J8</f>
        <v>0</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Secanim!C9</f>
        <v>Moderate</v>
      </c>
      <c r="D9" s="60" t="str">
        <f>Secanim!D9</f>
        <v>Moderate</v>
      </c>
      <c r="E9" s="60" t="str">
        <f>Secanim!E9</f>
        <v>Moderate</v>
      </c>
      <c r="F9" s="60">
        <f>Secanim!F9</f>
        <v>1</v>
      </c>
      <c r="G9" s="60">
        <f>Secanim!G9</f>
        <v>1</v>
      </c>
      <c r="H9" s="60">
        <f>Secanim!H9</f>
        <v>1</v>
      </c>
      <c r="I9" s="60">
        <f>Secanim!I9</f>
        <v>1</v>
      </c>
      <c r="J9" s="60">
        <f>Secanim!J9</f>
        <v>0</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Secanim!C10</f>
        <v>6.5</v>
      </c>
      <c r="D10" s="60">
        <f>Secanim!D10</f>
        <v>6.4</v>
      </c>
      <c r="E10" s="60">
        <f>Secanim!E10</f>
        <v>5.7</v>
      </c>
      <c r="F10" s="60">
        <f>Secanim!F10</f>
        <v>6.1</v>
      </c>
      <c r="G10" s="60">
        <f>Secanim!G10</f>
        <v>6.3</v>
      </c>
      <c r="H10" s="60">
        <f>Secanim!H10</f>
        <v>5.9</v>
      </c>
      <c r="I10" s="60">
        <f>Secanim!I10</f>
        <v>5.8</v>
      </c>
      <c r="J10" s="60">
        <f>Secanim!J10</f>
        <v>0</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Secanim!C11</f>
        <v>4</v>
      </c>
      <c r="D11" s="60">
        <f>Secanim!D11</f>
        <v>3</v>
      </c>
      <c r="E11" s="60">
        <f>Secanim!E11</f>
        <v>4</v>
      </c>
      <c r="F11" s="60">
        <f>Secanim!F11</f>
        <v>4</v>
      </c>
      <c r="G11" s="60">
        <f>Secanim!G11</f>
        <v>4</v>
      </c>
      <c r="H11" s="60">
        <f>Secanim!H11</f>
        <v>3</v>
      </c>
      <c r="I11" s="60">
        <f>Secanim!I11</f>
        <v>2</v>
      </c>
      <c r="J11" s="60">
        <f>Secanim!J11</f>
        <v>0</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Secanim!C12</f>
        <v>3</v>
      </c>
      <c r="D12" s="60">
        <f>Secanim!D12</f>
        <v>2</v>
      </c>
      <c r="E12" s="60">
        <f>Secanim!E12</f>
        <v>2</v>
      </c>
      <c r="F12" s="60">
        <f>Secanim!F12</f>
        <v>2</v>
      </c>
      <c r="G12" s="60">
        <f>Secanim!G12</f>
        <v>2</v>
      </c>
      <c r="H12" s="60">
        <f>Secanim!H12</f>
        <v>1</v>
      </c>
      <c r="I12" s="60">
        <f>Secanim!I12</f>
        <v>1</v>
      </c>
      <c r="J12" s="60">
        <f>Secanim!J12</f>
        <v>0</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Secanim!C13</f>
        <v>3</v>
      </c>
      <c r="D13" s="60">
        <f>Secanim!D13</f>
        <v>3</v>
      </c>
      <c r="E13" s="60">
        <f>Secanim!E13</f>
        <v>3</v>
      </c>
      <c r="F13" s="60">
        <f>Secanim!F13</f>
        <v>2</v>
      </c>
      <c r="G13" s="60">
        <f>Secanim!G13</f>
        <v>2</v>
      </c>
      <c r="H13" s="60">
        <f>Secanim!H13</f>
        <v>2</v>
      </c>
      <c r="I13" s="60">
        <f>Secanim!I13</f>
        <v>3</v>
      </c>
      <c r="J13" s="60">
        <f>Secanim!J13</f>
        <v>0</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Secanim!C14</f>
        <v xml:space="preserve">Grass Silage (25% DM) </v>
      </c>
      <c r="D14" s="102" t="str">
        <f>Secanim!D14</f>
        <v xml:space="preserve">Grass Silage (25% DM) </v>
      </c>
      <c r="E14" s="102" t="str">
        <f>Secanim!E14</f>
        <v xml:space="preserve">Grass Silage (25% DM) </v>
      </c>
      <c r="F14" s="102" t="str">
        <f>Secanim!F14</f>
        <v>Maize- Silage (30% DM)</v>
      </c>
      <c r="G14" s="102" t="str">
        <f>Secanim!G14</f>
        <v>Maize- Silage (30% DM)</v>
      </c>
      <c r="H14" s="102" t="str">
        <f>Secanim!H14</f>
        <v>Maize- Silage (30% DM)</v>
      </c>
      <c r="I14" s="102" t="str">
        <f>Secanim!I14</f>
        <v>Maize- Silage (30% DM)</v>
      </c>
      <c r="J14" s="102">
        <f>Secanim!J14</f>
        <v>0</v>
      </c>
      <c r="K14" s="102">
        <f>Secanim!K14</f>
        <v>0</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ht="13" x14ac:dyDescent="0.25">
      <c r="A15" s="130" t="s">
        <v>9</v>
      </c>
      <c r="B15" s="130"/>
      <c r="C15" s="60">
        <f>Secanim!C15</f>
        <v>38</v>
      </c>
      <c r="D15" s="60">
        <f>Secanim!D15</f>
        <v>38</v>
      </c>
      <c r="E15" s="60">
        <f>Secanim!E15</f>
        <v>38</v>
      </c>
      <c r="F15" s="60">
        <f>Secanim!F15</f>
        <v>40</v>
      </c>
      <c r="G15" s="60">
        <f>Secanim!G15</f>
        <v>40</v>
      </c>
      <c r="H15" s="60">
        <f>Secanim!H15</f>
        <v>40</v>
      </c>
      <c r="I15" s="60">
        <f>Secanim!I15</f>
        <v>40</v>
      </c>
      <c r="J15" s="60">
        <f>Secanim!J15</f>
        <v>0</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f>Secanim!J16</f>
        <v>0</v>
      </c>
      <c r="K16" s="103">
        <f>Secanim!K16</f>
        <v>0</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56</v>
      </c>
      <c r="G17" s="28">
        <f t="shared" si="0"/>
        <v>56</v>
      </c>
      <c r="H17" s="28">
        <f t="shared" si="0"/>
        <v>56</v>
      </c>
      <c r="I17" s="28">
        <f t="shared" si="0"/>
        <v>56</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54.605984999999997</v>
      </c>
      <c r="D18" s="16">
        <f>$D32</f>
        <v>54.605984999999997</v>
      </c>
      <c r="E18" s="16">
        <f>$D33</f>
        <v>54.605984999999997</v>
      </c>
      <c r="F18" s="16">
        <f>$D34</f>
        <v>54.605984999999997</v>
      </c>
      <c r="G18" s="16">
        <f>$D35</f>
        <v>54.605984999999997</v>
      </c>
      <c r="H18" s="16">
        <f>$D36</f>
        <v>54.605984999999997</v>
      </c>
      <c r="I18" s="16">
        <f>$D37</f>
        <v>54.605984999999997</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-9.9940149999999974</v>
      </c>
      <c r="D19" s="16">
        <f t="shared" ref="D19:V19" si="1">D18-D17</f>
        <v>-9.9940149999999974</v>
      </c>
      <c r="E19" s="16">
        <f t="shared" si="1"/>
        <v>-9.9940149999999974</v>
      </c>
      <c r="F19" s="16">
        <f t="shared" si="1"/>
        <v>-1.3940150000000031</v>
      </c>
      <c r="G19" s="16">
        <f t="shared" si="1"/>
        <v>-1.3940150000000031</v>
      </c>
      <c r="H19" s="16">
        <f t="shared" si="1"/>
        <v>-1.3940150000000031</v>
      </c>
      <c r="I19" s="16">
        <f t="shared" si="1"/>
        <v>-1.3940150000000031</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(VLOOKUP(D$14,$AI2:$AK24,3,FALSE))*D$15</f>
        <v>228</v>
      </c>
      <c r="E21" s="28">
        <f t="shared" si="2"/>
        <v>228</v>
      </c>
      <c r="F21" s="28">
        <f t="shared" si="2"/>
        <v>176</v>
      </c>
      <c r="G21" s="28">
        <f t="shared" si="2"/>
        <v>176</v>
      </c>
      <c r="H21" s="28">
        <f t="shared" si="2"/>
        <v>176</v>
      </c>
      <c r="I21" s="28">
        <f t="shared" si="2"/>
        <v>176</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11.598125000000001</v>
      </c>
      <c r="D22" s="16">
        <f>$E32</f>
        <v>11.598125000000001</v>
      </c>
      <c r="E22" s="16">
        <f>$E33</f>
        <v>11.598125000000001</v>
      </c>
      <c r="F22" s="16">
        <f>$E34</f>
        <v>11.598125000000001</v>
      </c>
      <c r="G22" s="16">
        <f>$E35</f>
        <v>11.598125000000001</v>
      </c>
      <c r="H22" s="16">
        <f>$E36</f>
        <v>11.598125000000001</v>
      </c>
      <c r="I22" s="16">
        <f>$E37</f>
        <v>11.598125000000001</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-216.40187499999999</v>
      </c>
      <c r="D23" s="16">
        <f t="shared" ref="D23:V23" si="3">D22-D21</f>
        <v>-216.40187499999999</v>
      </c>
      <c r="E23" s="16">
        <f t="shared" si="3"/>
        <v>-216.40187499999999</v>
      </c>
      <c r="F23" s="16">
        <f t="shared" si="3"/>
        <v>-164.40187499999999</v>
      </c>
      <c r="G23" s="16">
        <f t="shared" si="3"/>
        <v>-164.40187499999999</v>
      </c>
      <c r="H23" s="16">
        <f t="shared" si="3"/>
        <v>-164.40187499999999</v>
      </c>
      <c r="I23" s="16">
        <f t="shared" si="3"/>
        <v>-164.40187499999999</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5.33</v>
      </c>
      <c r="C28" s="15">
        <v>0.36</v>
      </c>
      <c r="D28" s="15">
        <v>681</v>
      </c>
      <c r="E28" s="15">
        <v>275</v>
      </c>
      <c r="F28" s="15">
        <v>212</v>
      </c>
      <c r="G28" s="15">
        <v>1.48</v>
      </c>
      <c r="H28" s="15">
        <v>11.2</v>
      </c>
      <c r="I28" s="15">
        <v>0.5</v>
      </c>
      <c r="J28" s="15">
        <v>1.6E-2</v>
      </c>
      <c r="K28" s="23">
        <v>0.05</v>
      </c>
      <c r="L28" s="15">
        <v>0.318</v>
      </c>
      <c r="M28" s="15">
        <v>0.53300000000000003</v>
      </c>
      <c r="N28" s="15"/>
      <c r="O28" s="15"/>
      <c r="P28" s="15">
        <v>415</v>
      </c>
      <c r="Q28" s="15">
        <v>711</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 xml:space="preserve">C1 </v>
      </c>
      <c r="B31" s="15">
        <v>35</v>
      </c>
      <c r="C31" s="77">
        <f>IF(C$27="%w/w SAR",((C$28*10)*$B31),IF(C$27="%w/w DM",(((C$28*10)*($B$28/100))*$B31),IF(C$27="kg/t SAR",(C$28*$B31),IF(C$27="kg/t DM",((C$28*($B$28/100))*$B31),IF(C$27="mg/kg SAR",((C$28*0.001)*$B31),IF(C$27="mg/kg DM",(((C$28*0.001)*($B$28/100))*$B31),0))))))</f>
        <v>125.99999999999999</v>
      </c>
      <c r="D31" s="77">
        <f>(IF(D$27="%w/w SAR",((D$28*10)*$B31),IF(D$27="%w/w DM",(((D$28*10)*($B$28/100))*$B31),IF(D$27="kg/t SAR",(D$28*$B31),IF(D$27="kg/t DM",((D$28*($B$28/100))*$B31),IF(D$27="mg/kg SAR",((D$28*0.001)*$B31),IF(D$27="mg/kg DM",(((D$28*0.001)*($B$28/100))*$B31),"0")))))))*2.291</f>
        <v>54.605984999999997</v>
      </c>
      <c r="E31" s="77">
        <f>(IF(E$27="%w/w SAR",((E$28*10)*$B31),IF(E$27="%w/w DM",(((E$28*10)*($B$28/100))*$B31),IF(E$27="kg/t SAR",(E$28*$B31),IF(E$27="kg/t DM",((E$28*($B$28/100))*$B31),IF(E$27="mg/kg SAR",((E$28*0.001)*$B31),IF(E$27="mg/kg DM",(((E$28*0.001)*($B$28/100))*$B31),"0")))))))*1.205</f>
        <v>11.598125000000001</v>
      </c>
      <c r="F31" s="77">
        <f>(IF(F$27="%w/w SAR",((F$28*10)*$B31),IF(F$27="%w/w DM",(((F$28*10)*($B$28/100))*$B31),IF(F$27="kg/t SAR",(F$28*$B31),IF(F$27="kg/t DM",((F$28*($B$28/100))*$B31),IF(F$27="mg/kg SAR",((F$28*0.001)*$B31),IF(F$27="mg/kg DM",(((F$28*0.001)*($B$28/100))*$B31),"0")))))))*1.658</f>
        <v>12.302359999999998</v>
      </c>
      <c r="G31" s="77">
        <f t="shared" ref="G31:P46" si="5">IF(G$27="%w/w SAR",((G$28*10)*$B31),IF(G$27="%w/w DM",(((G$28*10)*($B$28/100))*$B31),IF(G$27="kg/t SAR",(G$28*$B31),IF(G$27="kg/t DM",((G$28*($B$28/100))*$B31),IF(G$27="mg/kg SAR",((G$28*0.001)*$B31),IF(G$27="mg/kg DM",(((G$28*0.001)*($B$28/100))*$B31),0))))))</f>
        <v>5.1799999999999999E-2</v>
      </c>
      <c r="H31" s="77">
        <f t="shared" si="5"/>
        <v>0.39200000000000002</v>
      </c>
      <c r="I31" s="77">
        <f t="shared" si="5"/>
        <v>1.7500000000000002E-2</v>
      </c>
      <c r="J31" s="77">
        <f t="shared" si="5"/>
        <v>5.5999999999999995E-4</v>
      </c>
      <c r="K31" s="77">
        <f t="shared" si="5"/>
        <v>1.75E-3</v>
      </c>
      <c r="L31" s="77">
        <f t="shared" si="5"/>
        <v>1.1130000000000001E-2</v>
      </c>
      <c r="M31" s="77">
        <f t="shared" si="5"/>
        <v>1.8655000000000001E-2</v>
      </c>
      <c r="N31" s="77">
        <f t="shared" si="5"/>
        <v>0</v>
      </c>
      <c r="O31" s="77">
        <f t="shared" si="5"/>
        <v>0</v>
      </c>
      <c r="P31" s="77">
        <f t="shared" si="5"/>
        <v>14.525000000000002</v>
      </c>
      <c r="Q31" s="77">
        <f>(IF(Q$27="%w/w SAR",((Q$28*10)*$B31),IF(Q$27="%w/w DM",(((Q$28*10)*($B$28/100))*$B31),IF(Q$27="kg/t SAR",(Q$28*$B31),IF(Q$27="kg/t DM",((Q$28*($B$28/100))*$B31),IF(Q$27="mg/kg SAR",((Q$28*0.001)*$B31),IF(Q$27="mg/kg DM",(((Q$28*0.001)*($B$28/100))*$B31),0)))))))*2.5</f>
        <v>62.212499999999991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C2 </v>
      </c>
      <c r="B32" s="15">
        <v>35</v>
      </c>
      <c r="C32" s="77">
        <f t="shared" ref="C32:C50" si="6">IF(C$27="%w/w SAR",((C$28*10)*$B32),IF(C$27="%w/w DM",(((C$28*10)*($B$28/100))*$B32),IF(C$27="kg/t SAR",(C$28*$B32),IF(C$27="kg/t DM",((C$28*($B$28/100))*$B32),IF(C$27="mg/kg SAR",((C$28*0.001)*$B32),IF(C$27="mg/kg DM",(((C$28*0.001)*($B$28/100))*$B32),0))))))</f>
        <v>125.99999999999999</v>
      </c>
      <c r="D32" s="77">
        <f t="shared" ref="D32:D50" si="7">(IF(D$27="%w/w SAR",((D$28*10)*$B32),IF(D$27="%w/w DM",(((D$28*10)*($B$28/100))*$B32),IF(D$27="kg/t SAR",(D$28*$B32),IF(D$27="kg/t DM",((D$28*($B$28/100))*$B32),IF(D$27="mg/kg SAR",((D$28*0.001)*$B32),IF(D$27="mg/kg DM",(((D$28*0.001)*($B$28/100))*$B32),"0")))))))*2.291</f>
        <v>54.605984999999997</v>
      </c>
      <c r="E32" s="77">
        <f t="shared" ref="E32:E50" si="8">(IF(E$27="%w/w SAR",((E$28*10)*$B32),IF(E$27="%w/w DM",(((E$28*10)*($B$28/100))*$B32),IF(E$27="kg/t SAR",(E$28*$B32),IF(E$27="kg/t DM",((E$28*($B$28/100))*$B32),IF(E$27="mg/kg SAR",((E$28*0.001)*$B32),IF(E$27="mg/kg DM",(((E$28*0.001)*($B$28/100))*$B32),"0")))))))*1.205</f>
        <v>11.598125000000001</v>
      </c>
      <c r="F32" s="77">
        <f t="shared" ref="F32:F50" si="9">(IF(F$27="%w/w SAR",((F$28*10)*$B32),IF(F$27="%w/w DM",(((F$28*10)*($B$28/100))*$B32),IF(F$27="kg/t SAR",(F$28*$B32),IF(F$27="kg/t DM",((F$28*($B$28/100))*$B32),IF(F$27="mg/kg SAR",((F$28*0.001)*$B32),IF(F$27="mg/kg DM",(((F$28*0.001)*($B$28/100))*$B32),"0")))))))*1.658</f>
        <v>12.302359999999998</v>
      </c>
      <c r="G32" s="77">
        <f t="shared" si="5"/>
        <v>5.1799999999999999E-2</v>
      </c>
      <c r="H32" s="77">
        <f t="shared" si="5"/>
        <v>0.39200000000000002</v>
      </c>
      <c r="I32" s="77">
        <f t="shared" si="5"/>
        <v>1.7500000000000002E-2</v>
      </c>
      <c r="J32" s="77">
        <f t="shared" si="5"/>
        <v>5.5999999999999995E-4</v>
      </c>
      <c r="K32" s="77">
        <f t="shared" si="5"/>
        <v>1.75E-3</v>
      </c>
      <c r="L32" s="77">
        <f t="shared" si="5"/>
        <v>1.1130000000000001E-2</v>
      </c>
      <c r="M32" s="77">
        <f t="shared" si="5"/>
        <v>1.8655000000000001E-2</v>
      </c>
      <c r="N32" s="77">
        <f t="shared" si="5"/>
        <v>0</v>
      </c>
      <c r="O32" s="77">
        <f t="shared" si="5"/>
        <v>0</v>
      </c>
      <c r="P32" s="77">
        <f t="shared" si="5"/>
        <v>14.525000000000002</v>
      </c>
      <c r="Q32" s="77">
        <f t="shared" ref="Q32:Q50" si="10">(IF(Q$27="%w/w SAR",((Q$28*10)*$B32),IF(Q$27="%w/w DM",(((Q$28*10)*($B$28/100))*$B32),IF(Q$27="kg/t SAR",(Q$28*$B32),IF(Q$27="kg/t DM",((Q$28*($B$28/100))*$B32),IF(Q$27="mg/kg SAR",((Q$28*0.001)*$B32),IF(Q$27="mg/kg DM",(((Q$28*0.001)*($B$28/100))*$B32),0)))))))*2.5</f>
        <v>62.212499999999991</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C3</v>
      </c>
      <c r="B33" s="15">
        <v>35</v>
      </c>
      <c r="C33" s="77">
        <f t="shared" si="6"/>
        <v>125.99999999999999</v>
      </c>
      <c r="D33" s="77">
        <f t="shared" si="7"/>
        <v>54.605984999999997</v>
      </c>
      <c r="E33" s="77">
        <f t="shared" si="8"/>
        <v>11.598125000000001</v>
      </c>
      <c r="F33" s="77">
        <f t="shared" si="9"/>
        <v>12.302359999999998</v>
      </c>
      <c r="G33" s="77">
        <f t="shared" si="5"/>
        <v>5.1799999999999999E-2</v>
      </c>
      <c r="H33" s="77">
        <f t="shared" si="5"/>
        <v>0.39200000000000002</v>
      </c>
      <c r="I33" s="77">
        <f t="shared" si="5"/>
        <v>1.7500000000000002E-2</v>
      </c>
      <c r="J33" s="77">
        <f t="shared" si="5"/>
        <v>5.5999999999999995E-4</v>
      </c>
      <c r="K33" s="77">
        <f t="shared" si="5"/>
        <v>1.75E-3</v>
      </c>
      <c r="L33" s="77">
        <f t="shared" si="5"/>
        <v>1.1130000000000001E-2</v>
      </c>
      <c r="M33" s="77">
        <f t="shared" si="5"/>
        <v>1.8655000000000001E-2</v>
      </c>
      <c r="N33" s="77">
        <f t="shared" si="5"/>
        <v>0</v>
      </c>
      <c r="O33" s="77">
        <f t="shared" si="5"/>
        <v>0</v>
      </c>
      <c r="P33" s="77">
        <f t="shared" si="5"/>
        <v>14.525000000000002</v>
      </c>
      <c r="Q33" s="77">
        <f t="shared" si="10"/>
        <v>62.212499999999991</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F1</v>
      </c>
      <c r="B34" s="15">
        <v>35</v>
      </c>
      <c r="C34" s="77">
        <f t="shared" si="6"/>
        <v>125.99999999999999</v>
      </c>
      <c r="D34" s="77">
        <f t="shared" si="7"/>
        <v>54.605984999999997</v>
      </c>
      <c r="E34" s="77">
        <f t="shared" si="8"/>
        <v>11.598125000000001</v>
      </c>
      <c r="F34" s="77">
        <f t="shared" si="9"/>
        <v>12.302359999999998</v>
      </c>
      <c r="G34" s="77">
        <f t="shared" si="5"/>
        <v>5.1799999999999999E-2</v>
      </c>
      <c r="H34" s="77">
        <f t="shared" si="5"/>
        <v>0.39200000000000002</v>
      </c>
      <c r="I34" s="77">
        <f t="shared" si="5"/>
        <v>1.7500000000000002E-2</v>
      </c>
      <c r="J34" s="77">
        <f t="shared" si="5"/>
        <v>5.5999999999999995E-4</v>
      </c>
      <c r="K34" s="77">
        <f t="shared" si="5"/>
        <v>1.75E-3</v>
      </c>
      <c r="L34" s="77">
        <f t="shared" si="5"/>
        <v>1.1130000000000001E-2</v>
      </c>
      <c r="M34" s="77">
        <f t="shared" si="5"/>
        <v>1.8655000000000001E-2</v>
      </c>
      <c r="N34" s="77">
        <f t="shared" si="5"/>
        <v>0</v>
      </c>
      <c r="O34" s="77">
        <f t="shared" si="5"/>
        <v>0</v>
      </c>
      <c r="P34" s="77">
        <f t="shared" si="5"/>
        <v>14.525000000000002</v>
      </c>
      <c r="Q34" s="77">
        <f t="shared" si="10"/>
        <v>62.212499999999991</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F2</v>
      </c>
      <c r="B35" s="15">
        <v>35</v>
      </c>
      <c r="C35" s="77">
        <f t="shared" si="6"/>
        <v>125.99999999999999</v>
      </c>
      <c r="D35" s="77">
        <f t="shared" si="7"/>
        <v>54.605984999999997</v>
      </c>
      <c r="E35" s="77">
        <f t="shared" si="8"/>
        <v>11.598125000000001</v>
      </c>
      <c r="F35" s="77">
        <f t="shared" si="9"/>
        <v>12.302359999999998</v>
      </c>
      <c r="G35" s="77">
        <f t="shared" si="5"/>
        <v>5.1799999999999999E-2</v>
      </c>
      <c r="H35" s="77">
        <f t="shared" si="5"/>
        <v>0.39200000000000002</v>
      </c>
      <c r="I35" s="77">
        <f t="shared" si="5"/>
        <v>1.7500000000000002E-2</v>
      </c>
      <c r="J35" s="77">
        <f t="shared" si="5"/>
        <v>5.5999999999999995E-4</v>
      </c>
      <c r="K35" s="77">
        <f t="shared" si="5"/>
        <v>1.75E-3</v>
      </c>
      <c r="L35" s="77">
        <f t="shared" si="5"/>
        <v>1.1130000000000001E-2</v>
      </c>
      <c r="M35" s="77">
        <f t="shared" si="5"/>
        <v>1.8655000000000001E-2</v>
      </c>
      <c r="N35" s="77">
        <f t="shared" si="5"/>
        <v>0</v>
      </c>
      <c r="O35" s="77">
        <f t="shared" si="5"/>
        <v>0</v>
      </c>
      <c r="P35" s="77">
        <f t="shared" si="5"/>
        <v>14.525000000000002</v>
      </c>
      <c r="Q35" s="77">
        <f t="shared" si="10"/>
        <v>62.212499999999991</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F9</v>
      </c>
      <c r="B36" s="15">
        <v>35</v>
      </c>
      <c r="C36" s="77">
        <f t="shared" si="6"/>
        <v>125.99999999999999</v>
      </c>
      <c r="D36" s="77">
        <f t="shared" si="7"/>
        <v>54.605984999999997</v>
      </c>
      <c r="E36" s="77">
        <f t="shared" si="8"/>
        <v>11.598125000000001</v>
      </c>
      <c r="F36" s="77">
        <f t="shared" si="9"/>
        <v>12.302359999999998</v>
      </c>
      <c r="G36" s="77">
        <f t="shared" si="5"/>
        <v>5.1799999999999999E-2</v>
      </c>
      <c r="H36" s="77">
        <f t="shared" si="5"/>
        <v>0.39200000000000002</v>
      </c>
      <c r="I36" s="77">
        <f t="shared" si="5"/>
        <v>1.7500000000000002E-2</v>
      </c>
      <c r="J36" s="77">
        <f t="shared" si="5"/>
        <v>5.5999999999999995E-4</v>
      </c>
      <c r="K36" s="77">
        <f t="shared" si="5"/>
        <v>1.75E-3</v>
      </c>
      <c r="L36" s="77">
        <f t="shared" si="5"/>
        <v>1.1130000000000001E-2</v>
      </c>
      <c r="M36" s="77">
        <f t="shared" si="5"/>
        <v>1.8655000000000001E-2</v>
      </c>
      <c r="N36" s="77">
        <f t="shared" si="5"/>
        <v>0</v>
      </c>
      <c r="O36" s="77">
        <f t="shared" si="5"/>
        <v>0</v>
      </c>
      <c r="P36" s="77">
        <f t="shared" si="5"/>
        <v>14.525000000000002</v>
      </c>
      <c r="Q36" s="77">
        <f t="shared" si="10"/>
        <v>62.212499999999991</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43</v>
      </c>
      <c r="B37" s="15">
        <v>35</v>
      </c>
      <c r="C37" s="77">
        <f t="shared" si="6"/>
        <v>125.99999999999999</v>
      </c>
      <c r="D37" s="77">
        <f t="shared" si="7"/>
        <v>54.605984999999997</v>
      </c>
      <c r="E37" s="77">
        <f t="shared" si="8"/>
        <v>11.598125000000001</v>
      </c>
      <c r="F37" s="77">
        <f t="shared" si="9"/>
        <v>12.302359999999998</v>
      </c>
      <c r="G37" s="77">
        <f t="shared" si="5"/>
        <v>5.1799999999999999E-2</v>
      </c>
      <c r="H37" s="77">
        <f t="shared" si="5"/>
        <v>0.39200000000000002</v>
      </c>
      <c r="I37" s="77">
        <f t="shared" si="5"/>
        <v>1.7500000000000002E-2</v>
      </c>
      <c r="J37" s="77">
        <f t="shared" si="5"/>
        <v>5.5999999999999995E-4</v>
      </c>
      <c r="K37" s="77">
        <f t="shared" si="5"/>
        <v>1.75E-3</v>
      </c>
      <c r="L37" s="77">
        <f t="shared" si="5"/>
        <v>1.1130000000000001E-2</v>
      </c>
      <c r="M37" s="77">
        <f t="shared" si="5"/>
        <v>1.8655000000000001E-2</v>
      </c>
      <c r="N37" s="77">
        <f t="shared" si="5"/>
        <v>0</v>
      </c>
      <c r="O37" s="77">
        <f t="shared" si="5"/>
        <v>0</v>
      </c>
      <c r="P37" s="77">
        <f t="shared" si="5"/>
        <v>14.525000000000002</v>
      </c>
      <c r="Q37" s="77">
        <f t="shared" si="10"/>
        <v>62.212499999999991</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 xml:space="preserve">C1 </v>
      </c>
      <c r="C57" s="8" t="str">
        <f t="shared" ref="C57:U57" si="13">D8</f>
        <v xml:space="preserve">C2 </v>
      </c>
      <c r="D57" s="8" t="str">
        <f t="shared" si="13"/>
        <v>C3</v>
      </c>
      <c r="E57" s="8" t="str">
        <f t="shared" si="13"/>
        <v>F1</v>
      </c>
      <c r="F57" s="8" t="str">
        <f t="shared" si="13"/>
        <v>F2</v>
      </c>
      <c r="G57" s="8" t="str">
        <f t="shared" si="13"/>
        <v>F9</v>
      </c>
      <c r="H57" s="8">
        <f t="shared" si="13"/>
        <v>43</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Arable</v>
      </c>
      <c r="F58" s="13" t="str">
        <f>G16&amp;" I "&amp;(VLOOKUP(G14,Table245811[],6,FALSE))</f>
        <v>Medium/Clay I Arable</v>
      </c>
      <c r="G58" s="13" t="str">
        <f>H16&amp;" I "&amp;(VLOOKUP(H14,Table245811[],6,FALSE))</f>
        <v>Medium/Clay I Arable</v>
      </c>
      <c r="H58" s="13" t="str">
        <f>I16&amp;" I "&amp;(VLOOKUP(I14,Table245811[],6,FALSE))</f>
        <v>Medium/Clay I Arable</v>
      </c>
      <c r="I58" s="13" t="e">
        <f>J16&amp;" I "&amp;(VLOOKUP(J14,Table245811[],6,FALSE))</f>
        <v>#N/A</v>
      </c>
      <c r="J58" s="13" t="e">
        <f>K16&amp;" I "&amp;(VLOOKUP(K14,Table245811[],6,FALSE))</f>
        <v>#N/A</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6.2</v>
      </c>
      <c r="C59" s="76">
        <f>VLOOKUP(D$14,Table245811[],5,FALSE)</f>
        <v>6.2</v>
      </c>
      <c r="D59" s="76">
        <f>VLOOKUP(E$14,Table245811[],5,FALSE)</f>
        <v>6.2</v>
      </c>
      <c r="E59" s="76">
        <f>VLOOKUP(F$14,Table245811[],5,FALSE)</f>
        <v>6.7</v>
      </c>
      <c r="F59" s="76">
        <f>VLOOKUP(G$14,Table245811[],5,FALSE)</f>
        <v>6.7</v>
      </c>
      <c r="G59" s="76">
        <f>VLOOKUP(H$14,Table245811[],5,FALSE)</f>
        <v>6.7</v>
      </c>
      <c r="H59" s="76">
        <f>VLOOKUP(I$14,Table245811[],5,FALSE)</f>
        <v>6.7</v>
      </c>
      <c r="I59" s="76" t="e">
        <f>VLOOKUP(J$14,Table245811[],5,FALSE)</f>
        <v>#N/A</v>
      </c>
      <c r="J59" s="76" t="e">
        <f>VLOOKUP(K$14,Table245811[],5,FALSE)</f>
        <v>#N/A</v>
      </c>
      <c r="K59" s="76" t="e">
        <f>VLOOKUP(L$14,Table245811[],5,FALSE)</f>
        <v>#N/A</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6.5</v>
      </c>
      <c r="C60" s="76">
        <f t="shared" ref="C60:U60" si="14">D10</f>
        <v>6.4</v>
      </c>
      <c r="D60" s="76">
        <f t="shared" si="14"/>
        <v>5.7</v>
      </c>
      <c r="E60" s="76">
        <f t="shared" si="14"/>
        <v>6.1</v>
      </c>
      <c r="F60" s="76">
        <f t="shared" si="14"/>
        <v>6.3</v>
      </c>
      <c r="G60" s="76">
        <f t="shared" si="14"/>
        <v>5.9</v>
      </c>
      <c r="H60" s="76">
        <f t="shared" si="14"/>
        <v>5.8</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8</v>
      </c>
      <c r="F61" s="76">
        <f t="shared" si="15"/>
        <v>8</v>
      </c>
      <c r="G61" s="76">
        <f t="shared" si="15"/>
        <v>8</v>
      </c>
      <c r="H61" s="76">
        <f t="shared" si="15"/>
        <v>8</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35</v>
      </c>
      <c r="C62" s="77">
        <f>B32</f>
        <v>35</v>
      </c>
      <c r="D62" s="77">
        <f>B33</f>
        <v>35</v>
      </c>
      <c r="E62" s="77">
        <f>B34</f>
        <v>35</v>
      </c>
      <c r="F62" s="77">
        <f>B35</f>
        <v>35</v>
      </c>
      <c r="G62" s="77">
        <f>B36</f>
        <v>35</v>
      </c>
      <c r="H62" s="77">
        <f>B37</f>
        <v>35</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-1.2000000000000011</v>
      </c>
      <c r="D64" s="77">
        <f t="shared" si="17"/>
        <v>3</v>
      </c>
      <c r="E64" s="77">
        <f t="shared" si="17"/>
        <v>4.8000000000000043</v>
      </c>
      <c r="F64" s="77">
        <f t="shared" si="17"/>
        <v>3.2000000000000028</v>
      </c>
      <c r="G64" s="77">
        <f t="shared" si="17"/>
        <v>6.3999999999999986</v>
      </c>
      <c r="H64" s="77">
        <f t="shared" si="17"/>
        <v>7.2000000000000028</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1.2000000000000011</v>
      </c>
      <c r="D65" s="77">
        <f t="shared" si="18"/>
        <v>-3</v>
      </c>
      <c r="E65" s="77">
        <f t="shared" si="18"/>
        <v>-4.8000000000000043</v>
      </c>
      <c r="F65" s="77">
        <f t="shared" si="18"/>
        <v>-3.2000000000000028</v>
      </c>
      <c r="G65" s="77">
        <f t="shared" si="18"/>
        <v>-6.3999999999999986</v>
      </c>
      <c r="H65" s="77">
        <f t="shared" si="18"/>
        <v>-7.2000000000000028</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UNDER</v>
      </c>
      <c r="E66" s="78" t="str">
        <f t="shared" si="19"/>
        <v>UNDER</v>
      </c>
      <c r="F66" s="78" t="str">
        <f t="shared" si="19"/>
        <v>UNDER</v>
      </c>
      <c r="G66" s="78" t="str">
        <f t="shared" si="19"/>
        <v>UNDER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35" priority="37" operator="equal">
      <formula>"DECREASE"</formula>
    </cfRule>
    <cfRule type="cellIs" dxfId="334" priority="38" operator="equal">
      <formula>"INCREASE"</formula>
    </cfRule>
  </conditionalFormatting>
  <conditionalFormatting sqref="B62:U66 B31:B50">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A28" sqref="A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Secanim!C1:D1</f>
        <v>PAN-019730</v>
      </c>
      <c r="D1" s="141"/>
      <c r="E1" s="93" t="s">
        <v>45</v>
      </c>
      <c r="F1" s="39">
        <f>Secanim!F1</f>
        <v>41.5</v>
      </c>
      <c r="G1" s="120" t="s">
        <v>43</v>
      </c>
      <c r="H1" s="121"/>
      <c r="I1" s="118">
        <v>7.05</v>
      </c>
      <c r="J1" s="119" t="s">
        <v>153</v>
      </c>
      <c r="K1" s="119"/>
      <c r="L1" s="97">
        <v>931</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Secanim!C2:D2</f>
        <v>EPR-KP3594VE</v>
      </c>
      <c r="D2" s="143"/>
      <c r="E2" s="93" t="s">
        <v>109</v>
      </c>
      <c r="F2" s="96" t="s">
        <v>182</v>
      </c>
      <c r="G2" s="138" t="s">
        <v>110</v>
      </c>
      <c r="H2" s="139"/>
      <c r="I2" s="118">
        <v>1784</v>
      </c>
      <c r="J2" s="119" t="s">
        <v>158</v>
      </c>
      <c r="K2" s="119"/>
      <c r="L2" s="97">
        <v>0.37</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Secanim!C3:D3</f>
        <v>Trade effluent services</v>
      </c>
      <c r="D3" s="143"/>
      <c r="E3" s="93" t="s">
        <v>108</v>
      </c>
      <c r="F3" s="31" t="s">
        <v>78</v>
      </c>
      <c r="G3" s="119" t="s">
        <v>159</v>
      </c>
      <c r="H3" s="119"/>
      <c r="I3" s="118"/>
      <c r="J3" s="120" t="s">
        <v>154</v>
      </c>
      <c r="K3" s="121"/>
      <c r="L3" s="97">
        <f>(L1/(L2*10000))*100</f>
        <v>25.162162162162161</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Secanim!C4:D4</f>
        <v xml:space="preserve">Brookhouse farm, Brook house lane, Awowry, Wreham </v>
      </c>
      <c r="D4" s="141"/>
      <c r="E4" s="94" t="s">
        <v>1</v>
      </c>
      <c r="F4" s="96" t="s">
        <v>181</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Secanim!C5:D5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Secanim!C8</f>
        <v xml:space="preserve">C1 </v>
      </c>
      <c r="D8" s="60" t="str">
        <f>Secanim!D8</f>
        <v xml:space="preserve">C2 </v>
      </c>
      <c r="E8" s="60" t="str">
        <f>Secanim!E8</f>
        <v>C3</v>
      </c>
      <c r="F8" s="60" t="str">
        <f>Secanim!F8</f>
        <v>F1</v>
      </c>
      <c r="G8" s="60" t="str">
        <f>Secanim!G8</f>
        <v>F2</v>
      </c>
      <c r="H8" s="60" t="str">
        <f>Secanim!H8</f>
        <v>F9</v>
      </c>
      <c r="I8" s="60">
        <f>Secanim!I8</f>
        <v>43</v>
      </c>
      <c r="J8" s="60">
        <f>Secanim!J8</f>
        <v>0</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Secanim!C9</f>
        <v>Moderate</v>
      </c>
      <c r="D9" s="60" t="str">
        <f>Secanim!D9</f>
        <v>Moderate</v>
      </c>
      <c r="E9" s="60" t="str">
        <f>Secanim!E9</f>
        <v>Moderate</v>
      </c>
      <c r="F9" s="60">
        <f>Secanim!F9</f>
        <v>1</v>
      </c>
      <c r="G9" s="60">
        <f>Secanim!G9</f>
        <v>1</v>
      </c>
      <c r="H9" s="60">
        <f>Secanim!H9</f>
        <v>1</v>
      </c>
      <c r="I9" s="60">
        <f>Secanim!I9</f>
        <v>1</v>
      </c>
      <c r="J9" s="60">
        <f>Secanim!J9</f>
        <v>0</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Secanim!C10</f>
        <v>6.5</v>
      </c>
      <c r="D10" s="60">
        <f>Secanim!D10</f>
        <v>6.4</v>
      </c>
      <c r="E10" s="60">
        <f>Secanim!E10</f>
        <v>5.7</v>
      </c>
      <c r="F10" s="60">
        <f>Secanim!F10</f>
        <v>6.1</v>
      </c>
      <c r="G10" s="60">
        <f>Secanim!G10</f>
        <v>6.3</v>
      </c>
      <c r="H10" s="60">
        <f>Secanim!H10</f>
        <v>5.9</v>
      </c>
      <c r="I10" s="60">
        <f>Secanim!I10</f>
        <v>5.8</v>
      </c>
      <c r="J10" s="60">
        <f>Secanim!J10</f>
        <v>0</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Secanim!C11</f>
        <v>4</v>
      </c>
      <c r="D11" s="60">
        <f>Secanim!D11</f>
        <v>3</v>
      </c>
      <c r="E11" s="60">
        <f>Secanim!E11</f>
        <v>4</v>
      </c>
      <c r="F11" s="60">
        <f>Secanim!F11</f>
        <v>4</v>
      </c>
      <c r="G11" s="60">
        <f>Secanim!G11</f>
        <v>4</v>
      </c>
      <c r="H11" s="60">
        <f>Secanim!H11</f>
        <v>3</v>
      </c>
      <c r="I11" s="60">
        <f>Secanim!I11</f>
        <v>2</v>
      </c>
      <c r="J11" s="60">
        <f>Secanim!J11</f>
        <v>0</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Secanim!C12</f>
        <v>3</v>
      </c>
      <c r="D12" s="60">
        <f>Secanim!D12</f>
        <v>2</v>
      </c>
      <c r="E12" s="60">
        <f>Secanim!E12</f>
        <v>2</v>
      </c>
      <c r="F12" s="60">
        <f>Secanim!F12</f>
        <v>2</v>
      </c>
      <c r="G12" s="60">
        <f>Secanim!G12</f>
        <v>2</v>
      </c>
      <c r="H12" s="60">
        <f>Secanim!H12</f>
        <v>1</v>
      </c>
      <c r="I12" s="60">
        <f>Secanim!I12</f>
        <v>1</v>
      </c>
      <c r="J12" s="60">
        <f>Secanim!J12</f>
        <v>0</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Secanim!C13</f>
        <v>3</v>
      </c>
      <c r="D13" s="60">
        <f>Secanim!D13</f>
        <v>3</v>
      </c>
      <c r="E13" s="60">
        <f>Secanim!E13</f>
        <v>3</v>
      </c>
      <c r="F13" s="60">
        <f>Secanim!F13</f>
        <v>2</v>
      </c>
      <c r="G13" s="60">
        <f>Secanim!G13</f>
        <v>2</v>
      </c>
      <c r="H13" s="60">
        <f>Secanim!H13</f>
        <v>2</v>
      </c>
      <c r="I13" s="60">
        <f>Secanim!I13</f>
        <v>3</v>
      </c>
      <c r="J13" s="60">
        <f>Secanim!J13</f>
        <v>0</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Secanim!C14</f>
        <v xml:space="preserve">Grass Silage (25% DM) </v>
      </c>
      <c r="D14" s="102" t="str">
        <f>Secanim!D14</f>
        <v xml:space="preserve">Grass Silage (25% DM) </v>
      </c>
      <c r="E14" s="102" t="str">
        <f>Secanim!E14</f>
        <v xml:space="preserve">Grass Silage (25% DM) </v>
      </c>
      <c r="F14" s="102" t="str">
        <f>Secanim!F14</f>
        <v>Maize- Silage (30% DM)</v>
      </c>
      <c r="G14" s="102" t="str">
        <f>Secanim!G14</f>
        <v>Maize- Silage (30% DM)</v>
      </c>
      <c r="H14" s="102" t="str">
        <f>Secanim!H14</f>
        <v>Maize- Silage (30% DM)</v>
      </c>
      <c r="I14" s="102" t="str">
        <f>Secanim!I14</f>
        <v>Maize- Silage (30% DM)</v>
      </c>
      <c r="J14" s="102">
        <f>Secanim!J14</f>
        <v>0</v>
      </c>
      <c r="K14" s="102">
        <f>Secanim!K14</f>
        <v>0</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ht="13" x14ac:dyDescent="0.25">
      <c r="A15" s="130" t="s">
        <v>9</v>
      </c>
      <c r="B15" s="130"/>
      <c r="C15" s="60">
        <f>Secanim!C15</f>
        <v>38</v>
      </c>
      <c r="D15" s="60">
        <f>Secanim!D15</f>
        <v>38</v>
      </c>
      <c r="E15" s="60">
        <f>Secanim!E15</f>
        <v>38</v>
      </c>
      <c r="F15" s="60">
        <f>Secanim!F15</f>
        <v>40</v>
      </c>
      <c r="G15" s="60">
        <f>Secanim!G15</f>
        <v>40</v>
      </c>
      <c r="H15" s="60">
        <f>Secanim!H15</f>
        <v>40</v>
      </c>
      <c r="I15" s="60">
        <f>Secanim!I15</f>
        <v>40</v>
      </c>
      <c r="J15" s="60">
        <f>Secanim!J15</f>
        <v>0</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f>Secanim!J16</f>
        <v>0</v>
      </c>
      <c r="K16" s="103">
        <f>Secanim!K16</f>
        <v>0</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56</v>
      </c>
      <c r="G17" s="28">
        <f t="shared" si="0"/>
        <v>56</v>
      </c>
      <c r="H17" s="28">
        <f t="shared" si="0"/>
        <v>56</v>
      </c>
      <c r="I17" s="28">
        <f t="shared" si="0"/>
        <v>56</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54.177568000000001</v>
      </c>
      <c r="D18" s="16">
        <f>$D32</f>
        <v>54.177568000000001</v>
      </c>
      <c r="E18" s="16">
        <f>$D33</f>
        <v>54.177568000000001</v>
      </c>
      <c r="F18" s="16">
        <f>$D34</f>
        <v>54.177568000000001</v>
      </c>
      <c r="G18" s="16">
        <f>$D35</f>
        <v>54.177568000000001</v>
      </c>
      <c r="H18" s="16">
        <f>$D36</f>
        <v>54.177568000000001</v>
      </c>
      <c r="I18" s="16">
        <f>$D37</f>
        <v>54.177568000000001</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-10.422431999999993</v>
      </c>
      <c r="D19" s="16">
        <f t="shared" ref="D19:V19" si="1">D18-D17</f>
        <v>-10.422431999999993</v>
      </c>
      <c r="E19" s="16">
        <f t="shared" si="1"/>
        <v>-10.422431999999993</v>
      </c>
      <c r="F19" s="16">
        <f t="shared" si="1"/>
        <v>-1.8224319999999992</v>
      </c>
      <c r="G19" s="16">
        <f t="shared" si="1"/>
        <v>-1.8224319999999992</v>
      </c>
      <c r="H19" s="16">
        <f t="shared" si="1"/>
        <v>-1.8224319999999992</v>
      </c>
      <c r="I19" s="16">
        <f t="shared" si="1"/>
        <v>-1.8224319999999992</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176</v>
      </c>
      <c r="G21" s="28">
        <f t="shared" si="2"/>
        <v>176</v>
      </c>
      <c r="H21" s="28">
        <f t="shared" si="2"/>
        <v>176</v>
      </c>
      <c r="I21" s="28">
        <f t="shared" si="2"/>
        <v>176</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6.6708800000000013</v>
      </c>
      <c r="D22" s="16">
        <f>$E32</f>
        <v>6.6708800000000013</v>
      </c>
      <c r="E22" s="16">
        <f>$E33</f>
        <v>6.6708800000000013</v>
      </c>
      <c r="F22" s="16">
        <f>$E34</f>
        <v>6.6708800000000013</v>
      </c>
      <c r="G22" s="16">
        <f>$E35</f>
        <v>6.6708800000000013</v>
      </c>
      <c r="H22" s="16">
        <f>$E36</f>
        <v>6.6708800000000013</v>
      </c>
      <c r="I22" s="16">
        <f>$E37</f>
        <v>6.6708800000000013</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-221.32911999999999</v>
      </c>
      <c r="D23" s="16">
        <f t="shared" ref="D23:V23" si="3">D22-D21</f>
        <v>-221.32911999999999</v>
      </c>
      <c r="E23" s="16">
        <f t="shared" si="3"/>
        <v>-221.32911999999999</v>
      </c>
      <c r="F23" s="16">
        <f t="shared" si="3"/>
        <v>-169.32911999999999</v>
      </c>
      <c r="G23" s="16">
        <f t="shared" si="3"/>
        <v>-169.32911999999999</v>
      </c>
      <c r="H23" s="16">
        <f t="shared" si="3"/>
        <v>-169.32911999999999</v>
      </c>
      <c r="I23" s="16">
        <f t="shared" si="3"/>
        <v>-169.32911999999999</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4.2699999999999996</v>
      </c>
      <c r="C28" s="15">
        <v>0.37</v>
      </c>
      <c r="D28" s="15">
        <v>739</v>
      </c>
      <c r="E28" s="15">
        <v>173</v>
      </c>
      <c r="F28" s="15">
        <v>230</v>
      </c>
      <c r="G28" s="15">
        <v>3.24</v>
      </c>
      <c r="H28" s="15">
        <v>16.3</v>
      </c>
      <c r="I28" s="15">
        <v>0.5</v>
      </c>
      <c r="J28" s="15">
        <v>0.01</v>
      </c>
      <c r="K28" s="23">
        <v>0.05</v>
      </c>
      <c r="L28" s="15">
        <v>0.879</v>
      </c>
      <c r="M28" s="15">
        <v>0.92700000000000005</v>
      </c>
      <c r="N28" s="15"/>
      <c r="O28" s="15"/>
      <c r="P28" s="15">
        <v>735</v>
      </c>
      <c r="Q28" s="15">
        <v>582</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 xml:space="preserve">C1 </v>
      </c>
      <c r="B31" s="15">
        <v>32</v>
      </c>
      <c r="C31" s="77">
        <f>IF(C$27="%w/w SAR",((C$28*10)*$B31),IF(C$27="%w/w DM",(((C$28*10)*($B$28/100))*$B31),IF(C$27="kg/t SAR",(C$28*$B31),IF(C$27="kg/t DM",((C$28*($B$28/100))*$B31),IF(C$27="mg/kg SAR",((C$28*0.001)*$B31),IF(C$27="mg/kg DM",(((C$28*0.001)*($B$28/100))*$B31),0))))))</f>
        <v>118.4</v>
      </c>
      <c r="D31" s="77">
        <f>(IF(D$27="%w/w SAR",((D$28*10)*$B31),IF(D$27="%w/w DM",(((D$28*10)*($B$28/100))*$B31),IF(D$27="kg/t SAR",(D$28*$B31),IF(D$27="kg/t DM",((D$28*($B$28/100))*$B31),IF(D$27="mg/kg SAR",((D$28*0.001)*$B31),IF(D$27="mg/kg DM",(((D$28*0.001)*($B$28/100))*$B31),"0")))))))*2.291</f>
        <v>54.177568000000001</v>
      </c>
      <c r="E31" s="77">
        <f>(IF(E$27="%w/w SAR",((E$28*10)*$B31),IF(E$27="%w/w DM",(((E$28*10)*($B$28/100))*$B31),IF(E$27="kg/t SAR",(E$28*$B31),IF(E$27="kg/t DM",((E$28*($B$28/100))*$B31),IF(E$27="mg/kg SAR",((E$28*0.001)*$B31),IF(E$27="mg/kg DM",(((E$28*0.001)*($B$28/100))*$B31),"0")))))))*1.205</f>
        <v>6.6708800000000013</v>
      </c>
      <c r="F31" s="77">
        <f>(IF(F$27="%w/w SAR",((F$28*10)*$B31),IF(F$27="%w/w DM",(((F$28*10)*($B$28/100))*$B31),IF(F$27="kg/t SAR",(F$28*$B31),IF(F$27="kg/t DM",((F$28*($B$28/100))*$B31),IF(F$27="mg/kg SAR",((F$28*0.001)*$B31),IF(F$27="mg/kg DM",(((F$28*0.001)*($B$28/100))*$B31),"0")))))))*1.658</f>
        <v>12.20288</v>
      </c>
      <c r="G31" s="77">
        <f t="shared" ref="G31:P46" si="5">IF(G$27="%w/w SAR",((G$28*10)*$B31),IF(G$27="%w/w DM",(((G$28*10)*($B$28/100))*$B31),IF(G$27="kg/t SAR",(G$28*$B31),IF(G$27="kg/t DM",((G$28*($B$28/100))*$B31),IF(G$27="mg/kg SAR",((G$28*0.001)*$B31),IF(G$27="mg/kg DM",(((G$28*0.001)*($B$28/100))*$B31),0))))))</f>
        <v>0.10368000000000001</v>
      </c>
      <c r="H31" s="77">
        <f t="shared" si="5"/>
        <v>0.52160000000000006</v>
      </c>
      <c r="I31" s="77">
        <f t="shared" si="5"/>
        <v>1.6E-2</v>
      </c>
      <c r="J31" s="77">
        <f t="shared" si="5"/>
        <v>3.2000000000000003E-4</v>
      </c>
      <c r="K31" s="77">
        <f t="shared" si="5"/>
        <v>1.6000000000000001E-3</v>
      </c>
      <c r="L31" s="77">
        <f t="shared" si="5"/>
        <v>2.8128E-2</v>
      </c>
      <c r="M31" s="77">
        <f t="shared" si="5"/>
        <v>2.9664000000000003E-2</v>
      </c>
      <c r="N31" s="77">
        <f t="shared" si="5"/>
        <v>0</v>
      </c>
      <c r="O31" s="77">
        <f t="shared" si="5"/>
        <v>0</v>
      </c>
      <c r="P31" s="77">
        <f t="shared" si="5"/>
        <v>23.52</v>
      </c>
      <c r="Q31" s="77">
        <f>(IF(Q$27="%w/w SAR",((Q$28*10)*$B31),IF(Q$27="%w/w DM",(((Q$28*10)*($B$28/100))*$B31),IF(Q$27="kg/t SAR",(Q$28*$B31),IF(Q$27="kg/t DM",((Q$28*($B$28/100))*$B31),IF(Q$27="mg/kg SAR",((Q$28*0.001)*$B31),IF(Q$27="mg/kg DM",(((Q$28*0.001)*($B$28/100))*$B31),0)))))))*2.5</f>
        <v>46.559999999999995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C2 </v>
      </c>
      <c r="B32" s="15">
        <v>32</v>
      </c>
      <c r="C32" s="77">
        <f t="shared" ref="C32:C50" si="6">IF(C$27="%w/w SAR",((C$28*10)*$B32),IF(C$27="%w/w DM",(((C$28*10)*($B$28/100))*$B32),IF(C$27="kg/t SAR",(C$28*$B32),IF(C$27="kg/t DM",((C$28*($B$28/100))*$B32),IF(C$27="mg/kg SAR",((C$28*0.001)*$B32),IF(C$27="mg/kg DM",(((C$28*0.001)*($B$28/100))*$B32),0))))))</f>
        <v>118.4</v>
      </c>
      <c r="D32" s="77">
        <f t="shared" ref="D32:D50" si="7">(IF(D$27="%w/w SAR",((D$28*10)*$B32),IF(D$27="%w/w DM",(((D$28*10)*($B$28/100))*$B32),IF(D$27="kg/t SAR",(D$28*$B32),IF(D$27="kg/t DM",((D$28*($B$28/100))*$B32),IF(D$27="mg/kg SAR",((D$28*0.001)*$B32),IF(D$27="mg/kg DM",(((D$28*0.001)*($B$28/100))*$B32),"0")))))))*2.291</f>
        <v>54.177568000000001</v>
      </c>
      <c r="E32" s="77">
        <f t="shared" ref="E32:E50" si="8">(IF(E$27="%w/w SAR",((E$28*10)*$B32),IF(E$27="%w/w DM",(((E$28*10)*($B$28/100))*$B32),IF(E$27="kg/t SAR",(E$28*$B32),IF(E$27="kg/t DM",((E$28*($B$28/100))*$B32),IF(E$27="mg/kg SAR",((E$28*0.001)*$B32),IF(E$27="mg/kg DM",(((E$28*0.001)*($B$28/100))*$B32),"0")))))))*1.205</f>
        <v>6.6708800000000013</v>
      </c>
      <c r="F32" s="77">
        <f t="shared" ref="F32:F50" si="9">(IF(F$27="%w/w SAR",((F$28*10)*$B32),IF(F$27="%w/w DM",(((F$28*10)*($B$28/100))*$B32),IF(F$27="kg/t SAR",(F$28*$B32),IF(F$27="kg/t DM",((F$28*($B$28/100))*$B32),IF(F$27="mg/kg SAR",((F$28*0.001)*$B32),IF(F$27="mg/kg DM",(((F$28*0.001)*($B$28/100))*$B32),"0")))))))*1.658</f>
        <v>12.20288</v>
      </c>
      <c r="G32" s="77">
        <f t="shared" si="5"/>
        <v>0.10368000000000001</v>
      </c>
      <c r="H32" s="77">
        <f t="shared" si="5"/>
        <v>0.52160000000000006</v>
      </c>
      <c r="I32" s="77">
        <f t="shared" si="5"/>
        <v>1.6E-2</v>
      </c>
      <c r="J32" s="77">
        <f t="shared" si="5"/>
        <v>3.2000000000000003E-4</v>
      </c>
      <c r="K32" s="77">
        <f t="shared" si="5"/>
        <v>1.6000000000000001E-3</v>
      </c>
      <c r="L32" s="77">
        <f t="shared" si="5"/>
        <v>2.8128E-2</v>
      </c>
      <c r="M32" s="77">
        <f t="shared" si="5"/>
        <v>2.9664000000000003E-2</v>
      </c>
      <c r="N32" s="77">
        <f t="shared" si="5"/>
        <v>0</v>
      </c>
      <c r="O32" s="77">
        <f t="shared" si="5"/>
        <v>0</v>
      </c>
      <c r="P32" s="77">
        <f t="shared" si="5"/>
        <v>23.52</v>
      </c>
      <c r="Q32" s="77">
        <f t="shared" ref="Q32:Q50" si="10">(IF(Q$27="%w/w SAR",((Q$28*10)*$B32),IF(Q$27="%w/w DM",(((Q$28*10)*($B$28/100))*$B32),IF(Q$27="kg/t SAR",(Q$28*$B32),IF(Q$27="kg/t DM",((Q$28*($B$28/100))*$B32),IF(Q$27="mg/kg SAR",((Q$28*0.001)*$B32),IF(Q$27="mg/kg DM",(((Q$28*0.001)*($B$28/100))*$B32),0)))))))*2.5</f>
        <v>46.559999999999995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C3</v>
      </c>
      <c r="B33" s="15">
        <v>32</v>
      </c>
      <c r="C33" s="77">
        <f t="shared" si="6"/>
        <v>118.4</v>
      </c>
      <c r="D33" s="77">
        <f t="shared" si="7"/>
        <v>54.177568000000001</v>
      </c>
      <c r="E33" s="77">
        <f t="shared" si="8"/>
        <v>6.6708800000000013</v>
      </c>
      <c r="F33" s="77">
        <f t="shared" si="9"/>
        <v>12.20288</v>
      </c>
      <c r="G33" s="77">
        <f t="shared" si="5"/>
        <v>0.10368000000000001</v>
      </c>
      <c r="H33" s="77">
        <f t="shared" si="5"/>
        <v>0.52160000000000006</v>
      </c>
      <c r="I33" s="77">
        <f t="shared" si="5"/>
        <v>1.6E-2</v>
      </c>
      <c r="J33" s="77">
        <f t="shared" si="5"/>
        <v>3.2000000000000003E-4</v>
      </c>
      <c r="K33" s="77">
        <f t="shared" si="5"/>
        <v>1.6000000000000001E-3</v>
      </c>
      <c r="L33" s="77">
        <f t="shared" si="5"/>
        <v>2.8128E-2</v>
      </c>
      <c r="M33" s="77">
        <f t="shared" si="5"/>
        <v>2.9664000000000003E-2</v>
      </c>
      <c r="N33" s="77">
        <f t="shared" si="5"/>
        <v>0</v>
      </c>
      <c r="O33" s="77">
        <f t="shared" si="5"/>
        <v>0</v>
      </c>
      <c r="P33" s="77">
        <f t="shared" si="5"/>
        <v>23.52</v>
      </c>
      <c r="Q33" s="77">
        <f t="shared" si="10"/>
        <v>46.559999999999995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F1</v>
      </c>
      <c r="B34" s="15">
        <v>32</v>
      </c>
      <c r="C34" s="77">
        <f t="shared" si="6"/>
        <v>118.4</v>
      </c>
      <c r="D34" s="77">
        <f t="shared" si="7"/>
        <v>54.177568000000001</v>
      </c>
      <c r="E34" s="77">
        <f t="shared" si="8"/>
        <v>6.6708800000000013</v>
      </c>
      <c r="F34" s="77">
        <f t="shared" si="9"/>
        <v>12.20288</v>
      </c>
      <c r="G34" s="77">
        <f t="shared" si="5"/>
        <v>0.10368000000000001</v>
      </c>
      <c r="H34" s="77">
        <f t="shared" si="5"/>
        <v>0.52160000000000006</v>
      </c>
      <c r="I34" s="77">
        <f t="shared" si="5"/>
        <v>1.6E-2</v>
      </c>
      <c r="J34" s="77">
        <f t="shared" si="5"/>
        <v>3.2000000000000003E-4</v>
      </c>
      <c r="K34" s="77">
        <f t="shared" si="5"/>
        <v>1.6000000000000001E-3</v>
      </c>
      <c r="L34" s="77">
        <f t="shared" si="5"/>
        <v>2.8128E-2</v>
      </c>
      <c r="M34" s="77">
        <f t="shared" si="5"/>
        <v>2.9664000000000003E-2</v>
      </c>
      <c r="N34" s="77">
        <f t="shared" si="5"/>
        <v>0</v>
      </c>
      <c r="O34" s="77">
        <f t="shared" si="5"/>
        <v>0</v>
      </c>
      <c r="P34" s="77">
        <f t="shared" si="5"/>
        <v>23.52</v>
      </c>
      <c r="Q34" s="77">
        <f t="shared" si="10"/>
        <v>46.559999999999995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F2</v>
      </c>
      <c r="B35" s="15">
        <v>32</v>
      </c>
      <c r="C35" s="77">
        <f t="shared" si="6"/>
        <v>118.4</v>
      </c>
      <c r="D35" s="77">
        <f t="shared" si="7"/>
        <v>54.177568000000001</v>
      </c>
      <c r="E35" s="77">
        <f t="shared" si="8"/>
        <v>6.6708800000000013</v>
      </c>
      <c r="F35" s="77">
        <f t="shared" si="9"/>
        <v>12.20288</v>
      </c>
      <c r="G35" s="77">
        <f t="shared" si="5"/>
        <v>0.10368000000000001</v>
      </c>
      <c r="H35" s="77">
        <f t="shared" si="5"/>
        <v>0.52160000000000006</v>
      </c>
      <c r="I35" s="77">
        <f t="shared" si="5"/>
        <v>1.6E-2</v>
      </c>
      <c r="J35" s="77">
        <f t="shared" si="5"/>
        <v>3.2000000000000003E-4</v>
      </c>
      <c r="K35" s="77">
        <f t="shared" si="5"/>
        <v>1.6000000000000001E-3</v>
      </c>
      <c r="L35" s="77">
        <f t="shared" si="5"/>
        <v>2.8128E-2</v>
      </c>
      <c r="M35" s="77">
        <f t="shared" si="5"/>
        <v>2.9664000000000003E-2</v>
      </c>
      <c r="N35" s="77">
        <f t="shared" si="5"/>
        <v>0</v>
      </c>
      <c r="O35" s="77">
        <f t="shared" si="5"/>
        <v>0</v>
      </c>
      <c r="P35" s="77">
        <f t="shared" si="5"/>
        <v>23.52</v>
      </c>
      <c r="Q35" s="77">
        <f t="shared" si="10"/>
        <v>46.559999999999995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F9</v>
      </c>
      <c r="B36" s="15">
        <v>32</v>
      </c>
      <c r="C36" s="77">
        <f t="shared" si="6"/>
        <v>118.4</v>
      </c>
      <c r="D36" s="77">
        <f t="shared" si="7"/>
        <v>54.177568000000001</v>
      </c>
      <c r="E36" s="77">
        <f t="shared" si="8"/>
        <v>6.6708800000000013</v>
      </c>
      <c r="F36" s="77">
        <f t="shared" si="9"/>
        <v>12.20288</v>
      </c>
      <c r="G36" s="77">
        <f t="shared" si="5"/>
        <v>0.10368000000000001</v>
      </c>
      <c r="H36" s="77">
        <f t="shared" si="5"/>
        <v>0.52160000000000006</v>
      </c>
      <c r="I36" s="77">
        <f t="shared" si="5"/>
        <v>1.6E-2</v>
      </c>
      <c r="J36" s="77">
        <f t="shared" si="5"/>
        <v>3.2000000000000003E-4</v>
      </c>
      <c r="K36" s="77">
        <f t="shared" si="5"/>
        <v>1.6000000000000001E-3</v>
      </c>
      <c r="L36" s="77">
        <f t="shared" si="5"/>
        <v>2.8128E-2</v>
      </c>
      <c r="M36" s="77">
        <f t="shared" si="5"/>
        <v>2.9664000000000003E-2</v>
      </c>
      <c r="N36" s="77">
        <f t="shared" si="5"/>
        <v>0</v>
      </c>
      <c r="O36" s="77">
        <f t="shared" si="5"/>
        <v>0</v>
      </c>
      <c r="P36" s="77">
        <f t="shared" si="5"/>
        <v>23.52</v>
      </c>
      <c r="Q36" s="77">
        <f t="shared" si="10"/>
        <v>46.559999999999995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43</v>
      </c>
      <c r="B37" s="15">
        <v>32</v>
      </c>
      <c r="C37" s="77">
        <f t="shared" si="6"/>
        <v>118.4</v>
      </c>
      <c r="D37" s="77">
        <f t="shared" si="7"/>
        <v>54.177568000000001</v>
      </c>
      <c r="E37" s="77">
        <f t="shared" si="8"/>
        <v>6.6708800000000013</v>
      </c>
      <c r="F37" s="77">
        <f t="shared" si="9"/>
        <v>12.20288</v>
      </c>
      <c r="G37" s="77">
        <f t="shared" si="5"/>
        <v>0.10368000000000001</v>
      </c>
      <c r="H37" s="77">
        <f t="shared" si="5"/>
        <v>0.52160000000000006</v>
      </c>
      <c r="I37" s="77">
        <f t="shared" si="5"/>
        <v>1.6E-2</v>
      </c>
      <c r="J37" s="77">
        <f t="shared" si="5"/>
        <v>3.2000000000000003E-4</v>
      </c>
      <c r="K37" s="77">
        <f t="shared" si="5"/>
        <v>1.6000000000000001E-3</v>
      </c>
      <c r="L37" s="77">
        <f t="shared" si="5"/>
        <v>2.8128E-2</v>
      </c>
      <c r="M37" s="77">
        <f t="shared" si="5"/>
        <v>2.9664000000000003E-2</v>
      </c>
      <c r="N37" s="77">
        <f t="shared" si="5"/>
        <v>0</v>
      </c>
      <c r="O37" s="77">
        <f t="shared" si="5"/>
        <v>0</v>
      </c>
      <c r="P37" s="77">
        <f t="shared" si="5"/>
        <v>23.52</v>
      </c>
      <c r="Q37" s="77">
        <f t="shared" si="10"/>
        <v>46.559999999999995</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 xml:space="preserve">C1 </v>
      </c>
      <c r="C57" s="8" t="str">
        <f t="shared" ref="C57:U57" si="13">D8</f>
        <v xml:space="preserve">C2 </v>
      </c>
      <c r="D57" s="8" t="str">
        <f t="shared" si="13"/>
        <v>C3</v>
      </c>
      <c r="E57" s="8" t="str">
        <f t="shared" si="13"/>
        <v>F1</v>
      </c>
      <c r="F57" s="8" t="str">
        <f t="shared" si="13"/>
        <v>F2</v>
      </c>
      <c r="G57" s="8" t="str">
        <f t="shared" si="13"/>
        <v>F9</v>
      </c>
      <c r="H57" s="8">
        <f t="shared" si="13"/>
        <v>43</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Arable</v>
      </c>
      <c r="F58" s="13" t="str">
        <f>G16&amp;" I "&amp;(VLOOKUP(G14,Table24581112[],6,FALSE))</f>
        <v>Medium/Clay I Arable</v>
      </c>
      <c r="G58" s="13" t="str">
        <f>H16&amp;" I "&amp;(VLOOKUP(H14,Table24581112[],6,FALSE))</f>
        <v>Medium/Clay I Arable</v>
      </c>
      <c r="H58" s="13" t="str">
        <f>I16&amp;" I "&amp;(VLOOKUP(I14,Table24581112[],6,FALSE))</f>
        <v>Medium/Clay I Arable</v>
      </c>
      <c r="I58" s="13" t="e">
        <f>J16&amp;" I "&amp;(VLOOKUP(J14,Table24581112[],6,FALSE))</f>
        <v>#N/A</v>
      </c>
      <c r="J58" s="13" t="e">
        <f>K16&amp;" I "&amp;(VLOOKUP(K14,Table24581112[],6,FALSE))</f>
        <v>#N/A</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6.2</v>
      </c>
      <c r="C59" s="76">
        <f>VLOOKUP(D$14,Table24581112[],5,FALSE)</f>
        <v>6.2</v>
      </c>
      <c r="D59" s="76">
        <f>VLOOKUP(E$14,Table24581112[],5,FALSE)</f>
        <v>6.2</v>
      </c>
      <c r="E59" s="76">
        <f>VLOOKUP(F$14,Table24581112[],5,FALSE)</f>
        <v>6.7</v>
      </c>
      <c r="F59" s="76">
        <f>VLOOKUP(G$14,Table24581112[],5,FALSE)</f>
        <v>6.7</v>
      </c>
      <c r="G59" s="76">
        <f>VLOOKUP(H$14,Table24581112[],5,FALSE)</f>
        <v>6.7</v>
      </c>
      <c r="H59" s="76">
        <f>VLOOKUP(I$14,Table24581112[],5,FALSE)</f>
        <v>6.7</v>
      </c>
      <c r="I59" s="76" t="e">
        <f>VLOOKUP(J$14,Table24581112[],5,FALSE)</f>
        <v>#N/A</v>
      </c>
      <c r="J59" s="76" t="e">
        <f>VLOOKUP(K$14,Table24581112[],5,FALSE)</f>
        <v>#N/A</v>
      </c>
      <c r="K59" s="76" t="e">
        <f>VLOOKUP(L$14,Table24581112[],5,FALSE)</f>
        <v>#N/A</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6.5</v>
      </c>
      <c r="C60" s="76">
        <f t="shared" ref="C60:U60" si="14">D10</f>
        <v>6.4</v>
      </c>
      <c r="D60" s="76">
        <f t="shared" si="14"/>
        <v>5.7</v>
      </c>
      <c r="E60" s="76">
        <f t="shared" si="14"/>
        <v>6.1</v>
      </c>
      <c r="F60" s="76">
        <f t="shared" si="14"/>
        <v>6.3</v>
      </c>
      <c r="G60" s="76">
        <f t="shared" si="14"/>
        <v>5.9</v>
      </c>
      <c r="H60" s="76">
        <f t="shared" si="14"/>
        <v>5.8</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8</v>
      </c>
      <c r="F61" s="76">
        <f t="shared" si="15"/>
        <v>8</v>
      </c>
      <c r="G61" s="76">
        <f t="shared" si="15"/>
        <v>8</v>
      </c>
      <c r="H61" s="76">
        <f t="shared" si="15"/>
        <v>8</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32</v>
      </c>
      <c r="C62" s="77">
        <f>B32</f>
        <v>32</v>
      </c>
      <c r="D62" s="77">
        <f>B33</f>
        <v>32</v>
      </c>
      <c r="E62" s="77">
        <f>B34</f>
        <v>32</v>
      </c>
      <c r="F62" s="77">
        <f>B35</f>
        <v>32</v>
      </c>
      <c r="G62" s="77">
        <f>B36</f>
        <v>32</v>
      </c>
      <c r="H62" s="77">
        <f>B37</f>
        <v>32</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-1.2000000000000011</v>
      </c>
      <c r="D64" s="77">
        <f t="shared" si="17"/>
        <v>3</v>
      </c>
      <c r="E64" s="77">
        <f t="shared" si="17"/>
        <v>4.8000000000000043</v>
      </c>
      <c r="F64" s="77">
        <f t="shared" si="17"/>
        <v>3.2000000000000028</v>
      </c>
      <c r="G64" s="77">
        <f t="shared" si="17"/>
        <v>6.3999999999999986</v>
      </c>
      <c r="H64" s="77">
        <f t="shared" si="17"/>
        <v>7.2000000000000028</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1.2000000000000011</v>
      </c>
      <c r="D65" s="77">
        <f t="shared" si="18"/>
        <v>-3</v>
      </c>
      <c r="E65" s="77">
        <f t="shared" si="18"/>
        <v>-4.8000000000000043</v>
      </c>
      <c r="F65" s="77">
        <f t="shared" si="18"/>
        <v>-3.2000000000000028</v>
      </c>
      <c r="G65" s="77">
        <f t="shared" si="18"/>
        <v>-6.3999999999999986</v>
      </c>
      <c r="H65" s="77">
        <f t="shared" si="18"/>
        <v>-7.2000000000000028</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UNDER</v>
      </c>
      <c r="E66" s="78" t="str">
        <f t="shared" si="19"/>
        <v>UNDER</v>
      </c>
      <c r="F66" s="78" t="str">
        <f t="shared" si="19"/>
        <v>UNDER</v>
      </c>
      <c r="G66" s="78" t="str">
        <f t="shared" si="19"/>
        <v>UNDER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93" priority="37" operator="equal">
      <formula>"DECREASE"</formula>
    </cfRule>
    <cfRule type="cellIs" dxfId="292" priority="38" operator="equal">
      <formula>"INCREASE"</formula>
    </cfRule>
  </conditionalFormatting>
  <conditionalFormatting sqref="B62:U66 B31:B50">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M3" sqref="M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19" t="s">
        <v>41</v>
      </c>
      <c r="B1" s="119"/>
      <c r="C1" s="140" t="str">
        <f>Secanim!C1:D1</f>
        <v>PAN-019730</v>
      </c>
      <c r="D1" s="141"/>
      <c r="E1" s="93" t="s">
        <v>45</v>
      </c>
      <c r="F1" s="39">
        <f>Secanim!F1</f>
        <v>41.5</v>
      </c>
      <c r="G1" s="120" t="s">
        <v>43</v>
      </c>
      <c r="H1" s="121"/>
      <c r="I1" s="118">
        <v>6.84</v>
      </c>
      <c r="J1" s="119" t="s">
        <v>153</v>
      </c>
      <c r="K1" s="119"/>
      <c r="L1" s="97">
        <v>6581</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Secanim!C2:D2</f>
        <v>EPR-KP3594VE</v>
      </c>
      <c r="D2" s="143"/>
      <c r="E2" s="93" t="s">
        <v>109</v>
      </c>
      <c r="F2" s="96" t="s">
        <v>180</v>
      </c>
      <c r="G2" s="138" t="s">
        <v>110</v>
      </c>
      <c r="H2" s="139"/>
      <c r="I2" s="118">
        <v>466</v>
      </c>
      <c r="J2" s="119" t="s">
        <v>158</v>
      </c>
      <c r="K2" s="119"/>
      <c r="L2" s="97">
        <v>8.11</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Secanim!C3:D3</f>
        <v>Trade effluent services</v>
      </c>
      <c r="D3" s="143"/>
      <c r="E3" s="93" t="s">
        <v>108</v>
      </c>
      <c r="F3" s="31" t="s">
        <v>104</v>
      </c>
      <c r="G3" s="119" t="s">
        <v>159</v>
      </c>
      <c r="H3" s="119"/>
      <c r="I3" s="118"/>
      <c r="J3" s="120" t="s">
        <v>154</v>
      </c>
      <c r="K3" s="121"/>
      <c r="L3" s="97">
        <f>(L1/(L2*10000))*100</f>
        <v>8.1146732429099888</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Secanim!C4:D4</f>
        <v xml:space="preserve">Brookhouse farm, Brook house lane, Awowry, Wreham </v>
      </c>
      <c r="D4" s="141"/>
      <c r="E4" s="94" t="s">
        <v>1</v>
      </c>
      <c r="F4" s="96" t="s">
        <v>179</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Secanim!C5:D5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Secanim!C8</f>
        <v xml:space="preserve">C1 </v>
      </c>
      <c r="D8" s="60" t="str">
        <f>Secanim!D8</f>
        <v xml:space="preserve">C2 </v>
      </c>
      <c r="E8" s="60" t="str">
        <f>Secanim!E8</f>
        <v>C3</v>
      </c>
      <c r="F8" s="60" t="str">
        <f>Secanim!F8</f>
        <v>F1</v>
      </c>
      <c r="G8" s="60" t="str">
        <f>Secanim!G8</f>
        <v>F2</v>
      </c>
      <c r="H8" s="60" t="str">
        <f>Secanim!H8</f>
        <v>F9</v>
      </c>
      <c r="I8" s="60">
        <f>Secanim!I8</f>
        <v>43</v>
      </c>
      <c r="J8" s="60">
        <f>Secanim!J8</f>
        <v>0</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Secanim!C9</f>
        <v>Moderate</v>
      </c>
      <c r="D9" s="60" t="str">
        <f>Secanim!D9</f>
        <v>Moderate</v>
      </c>
      <c r="E9" s="60" t="str">
        <f>Secanim!E9</f>
        <v>Moderate</v>
      </c>
      <c r="F9" s="60">
        <f>Secanim!F9</f>
        <v>1</v>
      </c>
      <c r="G9" s="60">
        <f>Secanim!G9</f>
        <v>1</v>
      </c>
      <c r="H9" s="60">
        <f>Secanim!H9</f>
        <v>1</v>
      </c>
      <c r="I9" s="60">
        <f>Secanim!I9</f>
        <v>1</v>
      </c>
      <c r="J9" s="60">
        <f>Secanim!J9</f>
        <v>0</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Secanim!C10</f>
        <v>6.5</v>
      </c>
      <c r="D10" s="60">
        <f>Secanim!D10</f>
        <v>6.4</v>
      </c>
      <c r="E10" s="60">
        <f>Secanim!E10</f>
        <v>5.7</v>
      </c>
      <c r="F10" s="60">
        <f>Secanim!F10</f>
        <v>6.1</v>
      </c>
      <c r="G10" s="60">
        <f>Secanim!G10</f>
        <v>6.3</v>
      </c>
      <c r="H10" s="60">
        <f>Secanim!H10</f>
        <v>5.9</v>
      </c>
      <c r="I10" s="60">
        <f>Secanim!I10</f>
        <v>5.8</v>
      </c>
      <c r="J10" s="60">
        <f>Secanim!J10</f>
        <v>0</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Secanim!C11</f>
        <v>4</v>
      </c>
      <c r="D11" s="60">
        <f>Secanim!D11</f>
        <v>3</v>
      </c>
      <c r="E11" s="60">
        <f>Secanim!E11</f>
        <v>4</v>
      </c>
      <c r="F11" s="60">
        <f>Secanim!F11</f>
        <v>4</v>
      </c>
      <c r="G11" s="60">
        <f>Secanim!G11</f>
        <v>4</v>
      </c>
      <c r="H11" s="60">
        <f>Secanim!H11</f>
        <v>3</v>
      </c>
      <c r="I11" s="60">
        <f>Secanim!I11</f>
        <v>2</v>
      </c>
      <c r="J11" s="60">
        <f>Secanim!J11</f>
        <v>0</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Secanim!C12</f>
        <v>3</v>
      </c>
      <c r="D12" s="60">
        <f>Secanim!D12</f>
        <v>2</v>
      </c>
      <c r="E12" s="60">
        <f>Secanim!E12</f>
        <v>2</v>
      </c>
      <c r="F12" s="60">
        <f>Secanim!F12</f>
        <v>2</v>
      </c>
      <c r="G12" s="60">
        <f>Secanim!G12</f>
        <v>2</v>
      </c>
      <c r="H12" s="60">
        <f>Secanim!H12</f>
        <v>1</v>
      </c>
      <c r="I12" s="60">
        <f>Secanim!I12</f>
        <v>1</v>
      </c>
      <c r="J12" s="60">
        <f>Secanim!J12</f>
        <v>0</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Secanim!C13</f>
        <v>3</v>
      </c>
      <c r="D13" s="60">
        <f>Secanim!D13</f>
        <v>3</v>
      </c>
      <c r="E13" s="60">
        <f>Secanim!E13</f>
        <v>3</v>
      </c>
      <c r="F13" s="60">
        <f>Secanim!F13</f>
        <v>2</v>
      </c>
      <c r="G13" s="60">
        <f>Secanim!G13</f>
        <v>2</v>
      </c>
      <c r="H13" s="60">
        <f>Secanim!H13</f>
        <v>2</v>
      </c>
      <c r="I13" s="60">
        <f>Secanim!I13</f>
        <v>3</v>
      </c>
      <c r="J13" s="60">
        <f>Secanim!J13</f>
        <v>0</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Secanim!C14</f>
        <v xml:space="preserve">Grass Silage (25% DM) </v>
      </c>
      <c r="D14" s="102" t="str">
        <f>Secanim!D14</f>
        <v xml:space="preserve">Grass Silage (25% DM) </v>
      </c>
      <c r="E14" s="102" t="str">
        <f>Secanim!E14</f>
        <v xml:space="preserve">Grass Silage (25% DM) </v>
      </c>
      <c r="F14" s="102" t="str">
        <f>Secanim!F14</f>
        <v>Maize- Silage (30% DM)</v>
      </c>
      <c r="G14" s="102" t="str">
        <f>Secanim!G14</f>
        <v>Maize- Silage (30% DM)</v>
      </c>
      <c r="H14" s="102" t="str">
        <f>Secanim!H14</f>
        <v>Maize- Silage (30% DM)</v>
      </c>
      <c r="I14" s="102" t="str">
        <f>Secanim!I14</f>
        <v>Maize- Silage (30% DM)</v>
      </c>
      <c r="J14" s="102">
        <f>Secanim!J14</f>
        <v>0</v>
      </c>
      <c r="K14" s="102">
        <f>Secanim!K14</f>
        <v>0</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ht="13" x14ac:dyDescent="0.25">
      <c r="A15" s="130" t="s">
        <v>9</v>
      </c>
      <c r="B15" s="130"/>
      <c r="C15" s="60">
        <f>Secanim!C15</f>
        <v>38</v>
      </c>
      <c r="D15" s="60">
        <f>Secanim!D15</f>
        <v>38</v>
      </c>
      <c r="E15" s="60">
        <f>Secanim!E15</f>
        <v>38</v>
      </c>
      <c r="F15" s="60">
        <f>Secanim!F15</f>
        <v>40</v>
      </c>
      <c r="G15" s="60">
        <f>Secanim!G15</f>
        <v>40</v>
      </c>
      <c r="H15" s="60">
        <f>Secanim!H15</f>
        <v>40</v>
      </c>
      <c r="I15" s="60">
        <f>Secanim!I15</f>
        <v>40</v>
      </c>
      <c r="J15" s="60">
        <f>Secanim!J15</f>
        <v>0</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f>Secanim!J16</f>
        <v>0</v>
      </c>
      <c r="K16" s="103">
        <f>Secanim!K16</f>
        <v>0</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56</v>
      </c>
      <c r="G17" s="28">
        <f t="shared" si="0"/>
        <v>56</v>
      </c>
      <c r="H17" s="28">
        <f t="shared" si="0"/>
        <v>56</v>
      </c>
      <c r="I17" s="28">
        <f t="shared" si="0"/>
        <v>56</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52.275808900000001</v>
      </c>
      <c r="D18" s="16">
        <f>$D32</f>
        <v>52.275808900000001</v>
      </c>
      <c r="E18" s="16">
        <f>$D33</f>
        <v>52.275808900000001</v>
      </c>
      <c r="F18" s="16">
        <f>$D34</f>
        <v>52.275808900000001</v>
      </c>
      <c r="G18" s="16">
        <f>$D35</f>
        <v>52.275808900000001</v>
      </c>
      <c r="H18" s="16">
        <f>$D36</f>
        <v>52.275808900000001</v>
      </c>
      <c r="I18" s="16">
        <f>$D37</f>
        <v>52.275808900000001</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-12.324191099999993</v>
      </c>
      <c r="D19" s="16">
        <f t="shared" ref="D19:V19" si="1">D18-D17</f>
        <v>-12.324191099999993</v>
      </c>
      <c r="E19" s="16">
        <f t="shared" si="1"/>
        <v>-12.324191099999993</v>
      </c>
      <c r="F19" s="16">
        <f t="shared" si="1"/>
        <v>-3.7241910999999988</v>
      </c>
      <c r="G19" s="16">
        <f t="shared" si="1"/>
        <v>-3.7241910999999988</v>
      </c>
      <c r="H19" s="16">
        <f t="shared" si="1"/>
        <v>-3.7241910999999988</v>
      </c>
      <c r="I19" s="16">
        <f t="shared" si="1"/>
        <v>-3.7241910999999988</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176</v>
      </c>
      <c r="G21" s="28">
        <f t="shared" si="2"/>
        <v>176</v>
      </c>
      <c r="H21" s="28">
        <f t="shared" si="2"/>
        <v>176</v>
      </c>
      <c r="I21" s="28">
        <f t="shared" si="2"/>
        <v>176</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10.775290750000002</v>
      </c>
      <c r="D22" s="16">
        <f>$E32</f>
        <v>10.775290750000002</v>
      </c>
      <c r="E22" s="16">
        <f>$E33</f>
        <v>10.775290750000002</v>
      </c>
      <c r="F22" s="16">
        <f>$E34</f>
        <v>10.775290750000002</v>
      </c>
      <c r="G22" s="16">
        <f>$E35</f>
        <v>10.775290750000002</v>
      </c>
      <c r="H22" s="16">
        <f>$E36</f>
        <v>10.775290750000002</v>
      </c>
      <c r="I22" s="16">
        <f>$E37</f>
        <v>10.775290750000002</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-217.22470924999999</v>
      </c>
      <c r="D23" s="16">
        <f t="shared" ref="D23:V23" si="3">D22-D21</f>
        <v>-217.22470924999999</v>
      </c>
      <c r="E23" s="16">
        <f t="shared" si="3"/>
        <v>-217.22470924999999</v>
      </c>
      <c r="F23" s="16">
        <f t="shared" si="3"/>
        <v>-165.22470924999999</v>
      </c>
      <c r="G23" s="16">
        <f t="shared" si="3"/>
        <v>-165.22470924999999</v>
      </c>
      <c r="H23" s="16">
        <f t="shared" si="3"/>
        <v>-165.22470924999999</v>
      </c>
      <c r="I23" s="16">
        <f t="shared" si="3"/>
        <v>-165.22470924999999</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57</v>
      </c>
      <c r="G27" s="107" t="s">
        <v>55</v>
      </c>
      <c r="H27" s="107" t="s">
        <v>55</v>
      </c>
      <c r="I27" s="107" t="s">
        <v>55</v>
      </c>
      <c r="J27" s="107" t="s">
        <v>55</v>
      </c>
      <c r="K27" s="107" t="s">
        <v>55</v>
      </c>
      <c r="L27" s="107" t="s">
        <v>55</v>
      </c>
      <c r="M27" s="107" t="s">
        <v>55</v>
      </c>
      <c r="N27" s="107" t="s">
        <v>55</v>
      </c>
      <c r="O27" s="107" t="s">
        <v>55</v>
      </c>
      <c r="P27" s="107" t="s">
        <v>57</v>
      </c>
      <c r="Q27" s="107" t="s">
        <v>57</v>
      </c>
      <c r="R27" s="107" t="s">
        <v>55</v>
      </c>
      <c r="S27" s="107" t="s">
        <v>55</v>
      </c>
      <c r="T27" s="107" t="s">
        <v>55</v>
      </c>
      <c r="U27" s="107" t="s">
        <v>55</v>
      </c>
    </row>
    <row r="28" spans="1:40" s="57" customFormat="1" x14ac:dyDescent="0.35">
      <c r="A28" s="108"/>
      <c r="B28" s="24">
        <v>8.81</v>
      </c>
      <c r="C28" s="15">
        <v>8.11</v>
      </c>
      <c r="D28" s="15">
        <v>1.85</v>
      </c>
      <c r="E28" s="15">
        <v>0.72499999999999998</v>
      </c>
      <c r="F28" s="15">
        <v>0.25900000000000001</v>
      </c>
      <c r="G28" s="15">
        <v>1.69</v>
      </c>
      <c r="H28" s="15">
        <v>29.7</v>
      </c>
      <c r="I28" s="15">
        <v>4.2300000000000004</v>
      </c>
      <c r="J28" s="15">
        <v>0.1</v>
      </c>
      <c r="K28" s="23">
        <v>0.1</v>
      </c>
      <c r="L28" s="15">
        <v>21.1</v>
      </c>
      <c r="M28" s="15">
        <v>65.599999999999994</v>
      </c>
      <c r="N28" s="15"/>
      <c r="O28" s="15"/>
      <c r="P28" s="15">
        <v>1.04</v>
      </c>
      <c r="Q28" s="15">
        <v>1.69</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 xml:space="preserve">C1 </v>
      </c>
      <c r="B31" s="15">
        <v>14</v>
      </c>
      <c r="C31" s="77">
        <f>IF(C$27="%w/w SAR",((C$28*10)*$B31),IF(C$27="%w/w DM",(((C$28*10)*($B$28/100))*$B31),IF(C$27="kg/t SAR",(C$28*$B31),IF(C$27="kg/t DM",((C$28*($B$28/100))*$B31),IF(C$27="mg/kg SAR",((C$28*0.001)*$B31),IF(C$27="mg/kg DM",(((C$28*0.001)*($B$28/100))*$B31),0))))))</f>
        <v>100.02874</v>
      </c>
      <c r="D31" s="77">
        <f>(IF(D$27="%w/w SAR",((D$28*10)*$B31),IF(D$27="%w/w DM",(((D$28*10)*($B$28/100))*$B31),IF(D$27="kg/t SAR",(D$28*$B31),IF(D$27="kg/t DM",((D$28*($B$28/100))*$B31),IF(D$27="mg/kg SAR",((D$28*0.001)*$B31),IF(D$27="mg/kg DM",(((D$28*0.001)*($B$28/100))*$B31),"0")))))))*2.291</f>
        <v>52.275808900000001</v>
      </c>
      <c r="E31" s="77">
        <f>(IF(E$27="%w/w SAR",((E$28*10)*$B31),IF(E$27="%w/w DM",(((E$28*10)*($B$28/100))*$B31),IF(E$27="kg/t SAR",(E$28*$B31),IF(E$27="kg/t DM",((E$28*($B$28/100))*$B31),IF(E$27="mg/kg SAR",((E$28*0.001)*$B31),IF(E$27="mg/kg DM",(((E$28*0.001)*($B$28/100))*$B31),"0")))))))*1.205</f>
        <v>10.775290750000002</v>
      </c>
      <c r="F31" s="77">
        <f>(IF(F$27="%w/w SAR",((F$28*10)*$B31),IF(F$27="%w/w DM",(((F$28*10)*($B$28/100))*$B31),IF(F$27="kg/t SAR",(F$28*$B31),IF(F$27="kg/t DM",((F$28*($B$28/100))*$B31),IF(F$27="mg/kg SAR",((F$28*0.001)*$B31),IF(F$27="mg/kg DM",(((F$28*0.001)*($B$28/100))*$B31),"0")))))))*1.658</f>
        <v>5.2964909480000006</v>
      </c>
      <c r="G31" s="77">
        <f t="shared" ref="G31:P46" si="5">IF(G$27="%w/w SAR",((G$28*10)*$B31),IF(G$27="%w/w DM",(((G$28*10)*($B$28/100))*$B31),IF(G$27="kg/t SAR",(G$28*$B31),IF(G$27="kg/t DM",((G$28*($B$28/100))*$B31),IF(G$27="mg/kg SAR",((G$28*0.001)*$B31),IF(G$27="mg/kg DM",(((G$28*0.001)*($B$28/100))*$B31),0))))))</f>
        <v>2.0844460000000002E-3</v>
      </c>
      <c r="H31" s="77">
        <f t="shared" si="5"/>
        <v>3.6631980000000008E-2</v>
      </c>
      <c r="I31" s="77">
        <f t="shared" si="5"/>
        <v>5.217282000000001E-3</v>
      </c>
      <c r="J31" s="77">
        <f t="shared" si="5"/>
        <v>1.2334000000000002E-4</v>
      </c>
      <c r="K31" s="77">
        <f t="shared" si="5"/>
        <v>1.2334000000000002E-4</v>
      </c>
      <c r="L31" s="77">
        <f t="shared" si="5"/>
        <v>2.6024740000000005E-2</v>
      </c>
      <c r="M31" s="77">
        <f t="shared" si="5"/>
        <v>8.0911040000000004E-2</v>
      </c>
      <c r="N31" s="77">
        <f t="shared" si="5"/>
        <v>0</v>
      </c>
      <c r="O31" s="77">
        <f t="shared" si="5"/>
        <v>0</v>
      </c>
      <c r="P31" s="77">
        <f t="shared" si="5"/>
        <v>12.827360000000002</v>
      </c>
      <c r="Q31" s="77">
        <f>(IF(Q$27="%w/w SAR",((Q$28*10)*$B31),IF(Q$27="%w/w DM",(((Q$28*10)*($B$28/100))*$B31),IF(Q$27="kg/t SAR",(Q$28*$B31),IF(Q$27="kg/t DM",((Q$28*($B$28/100))*$B31),IF(Q$27="mg/kg SAR",((Q$28*0.001)*$B31),IF(Q$27="mg/kg DM",(((Q$28*0.001)*($B$28/100))*$B31),0)))))))*2.5</f>
        <v>52.111150000000002</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C2 </v>
      </c>
      <c r="B32" s="15">
        <v>14</v>
      </c>
      <c r="C32" s="77">
        <f t="shared" ref="C32:C50" si="6">IF(C$27="%w/w SAR",((C$28*10)*$B32),IF(C$27="%w/w DM",(((C$28*10)*($B$28/100))*$B32),IF(C$27="kg/t SAR",(C$28*$B32),IF(C$27="kg/t DM",((C$28*($B$28/100))*$B32),IF(C$27="mg/kg SAR",((C$28*0.001)*$B32),IF(C$27="mg/kg DM",(((C$28*0.001)*($B$28/100))*$B32),0))))))</f>
        <v>100.02874</v>
      </c>
      <c r="D32" s="77">
        <f t="shared" ref="D32:D50" si="7">(IF(D$27="%w/w SAR",((D$28*10)*$B32),IF(D$27="%w/w DM",(((D$28*10)*($B$28/100))*$B32),IF(D$27="kg/t SAR",(D$28*$B32),IF(D$27="kg/t DM",((D$28*($B$28/100))*$B32),IF(D$27="mg/kg SAR",((D$28*0.001)*$B32),IF(D$27="mg/kg DM",(((D$28*0.001)*($B$28/100))*$B32),"0")))))))*2.291</f>
        <v>52.275808900000001</v>
      </c>
      <c r="E32" s="77">
        <f t="shared" ref="E32:E50" si="8">(IF(E$27="%w/w SAR",((E$28*10)*$B32),IF(E$27="%w/w DM",(((E$28*10)*($B$28/100))*$B32),IF(E$27="kg/t SAR",(E$28*$B32),IF(E$27="kg/t DM",((E$28*($B$28/100))*$B32),IF(E$27="mg/kg SAR",((E$28*0.001)*$B32),IF(E$27="mg/kg DM",(((E$28*0.001)*($B$28/100))*$B32),"0")))))))*1.205</f>
        <v>10.775290750000002</v>
      </c>
      <c r="F32" s="77">
        <f t="shared" ref="F32:F50" si="9">(IF(F$27="%w/w SAR",((F$28*10)*$B32),IF(F$27="%w/w DM",(((F$28*10)*($B$28/100))*$B32),IF(F$27="kg/t SAR",(F$28*$B32),IF(F$27="kg/t DM",((F$28*($B$28/100))*$B32),IF(F$27="mg/kg SAR",((F$28*0.001)*$B32),IF(F$27="mg/kg DM",(((F$28*0.001)*($B$28/100))*$B32),"0")))))))*1.658</f>
        <v>5.2964909480000006</v>
      </c>
      <c r="G32" s="77">
        <f t="shared" si="5"/>
        <v>2.0844460000000002E-3</v>
      </c>
      <c r="H32" s="77">
        <f t="shared" si="5"/>
        <v>3.6631980000000008E-2</v>
      </c>
      <c r="I32" s="77">
        <f t="shared" si="5"/>
        <v>5.217282000000001E-3</v>
      </c>
      <c r="J32" s="77">
        <f t="shared" si="5"/>
        <v>1.2334000000000002E-4</v>
      </c>
      <c r="K32" s="77">
        <f t="shared" si="5"/>
        <v>1.2334000000000002E-4</v>
      </c>
      <c r="L32" s="77">
        <f t="shared" si="5"/>
        <v>2.6024740000000005E-2</v>
      </c>
      <c r="M32" s="77">
        <f t="shared" si="5"/>
        <v>8.0911040000000004E-2</v>
      </c>
      <c r="N32" s="77">
        <f t="shared" si="5"/>
        <v>0</v>
      </c>
      <c r="O32" s="77">
        <f t="shared" si="5"/>
        <v>0</v>
      </c>
      <c r="P32" s="77">
        <f t="shared" si="5"/>
        <v>12.827360000000002</v>
      </c>
      <c r="Q32" s="77">
        <f t="shared" ref="Q32:Q50" si="10">(IF(Q$27="%w/w SAR",((Q$28*10)*$B32),IF(Q$27="%w/w DM",(((Q$28*10)*($B$28/100))*$B32),IF(Q$27="kg/t SAR",(Q$28*$B32),IF(Q$27="kg/t DM",((Q$28*($B$28/100))*$B32),IF(Q$27="mg/kg SAR",((Q$28*0.001)*$B32),IF(Q$27="mg/kg DM",(((Q$28*0.001)*($B$28/100))*$B32),0)))))))*2.5</f>
        <v>52.111150000000002</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C3</v>
      </c>
      <c r="B33" s="15">
        <v>14</v>
      </c>
      <c r="C33" s="77">
        <f t="shared" si="6"/>
        <v>100.02874</v>
      </c>
      <c r="D33" s="77">
        <f t="shared" si="7"/>
        <v>52.275808900000001</v>
      </c>
      <c r="E33" s="77">
        <f t="shared" si="8"/>
        <v>10.775290750000002</v>
      </c>
      <c r="F33" s="77">
        <f t="shared" si="9"/>
        <v>5.2964909480000006</v>
      </c>
      <c r="G33" s="77">
        <f t="shared" si="5"/>
        <v>2.0844460000000002E-3</v>
      </c>
      <c r="H33" s="77">
        <f t="shared" si="5"/>
        <v>3.6631980000000008E-2</v>
      </c>
      <c r="I33" s="77">
        <f t="shared" si="5"/>
        <v>5.217282000000001E-3</v>
      </c>
      <c r="J33" s="77">
        <f t="shared" si="5"/>
        <v>1.2334000000000002E-4</v>
      </c>
      <c r="K33" s="77">
        <f t="shared" si="5"/>
        <v>1.2334000000000002E-4</v>
      </c>
      <c r="L33" s="77">
        <f t="shared" si="5"/>
        <v>2.6024740000000005E-2</v>
      </c>
      <c r="M33" s="77">
        <f t="shared" si="5"/>
        <v>8.0911040000000004E-2</v>
      </c>
      <c r="N33" s="77">
        <f t="shared" si="5"/>
        <v>0</v>
      </c>
      <c r="O33" s="77">
        <f t="shared" si="5"/>
        <v>0</v>
      </c>
      <c r="P33" s="77">
        <f t="shared" si="5"/>
        <v>12.827360000000002</v>
      </c>
      <c r="Q33" s="77">
        <f t="shared" si="10"/>
        <v>52.111150000000002</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F1</v>
      </c>
      <c r="B34" s="15">
        <v>14</v>
      </c>
      <c r="C34" s="77">
        <f t="shared" si="6"/>
        <v>100.02874</v>
      </c>
      <c r="D34" s="77">
        <f t="shared" si="7"/>
        <v>52.275808900000001</v>
      </c>
      <c r="E34" s="77">
        <f t="shared" si="8"/>
        <v>10.775290750000002</v>
      </c>
      <c r="F34" s="77">
        <f t="shared" si="9"/>
        <v>5.2964909480000006</v>
      </c>
      <c r="G34" s="77">
        <f t="shared" si="5"/>
        <v>2.0844460000000002E-3</v>
      </c>
      <c r="H34" s="77">
        <f t="shared" si="5"/>
        <v>3.6631980000000008E-2</v>
      </c>
      <c r="I34" s="77">
        <f t="shared" si="5"/>
        <v>5.217282000000001E-3</v>
      </c>
      <c r="J34" s="77">
        <f t="shared" si="5"/>
        <v>1.2334000000000002E-4</v>
      </c>
      <c r="K34" s="77">
        <f t="shared" si="5"/>
        <v>1.2334000000000002E-4</v>
      </c>
      <c r="L34" s="77">
        <f t="shared" si="5"/>
        <v>2.6024740000000005E-2</v>
      </c>
      <c r="M34" s="77">
        <f t="shared" si="5"/>
        <v>8.0911040000000004E-2</v>
      </c>
      <c r="N34" s="77">
        <f t="shared" si="5"/>
        <v>0</v>
      </c>
      <c r="O34" s="77">
        <f t="shared" si="5"/>
        <v>0</v>
      </c>
      <c r="P34" s="77">
        <f t="shared" si="5"/>
        <v>12.827360000000002</v>
      </c>
      <c r="Q34" s="77">
        <f t="shared" si="10"/>
        <v>52.111150000000002</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F2</v>
      </c>
      <c r="B35" s="15">
        <v>14</v>
      </c>
      <c r="C35" s="77">
        <f t="shared" si="6"/>
        <v>100.02874</v>
      </c>
      <c r="D35" s="77">
        <f t="shared" si="7"/>
        <v>52.275808900000001</v>
      </c>
      <c r="E35" s="77">
        <f t="shared" si="8"/>
        <v>10.775290750000002</v>
      </c>
      <c r="F35" s="77">
        <f t="shared" si="9"/>
        <v>5.2964909480000006</v>
      </c>
      <c r="G35" s="77">
        <f t="shared" si="5"/>
        <v>2.0844460000000002E-3</v>
      </c>
      <c r="H35" s="77">
        <f t="shared" si="5"/>
        <v>3.6631980000000008E-2</v>
      </c>
      <c r="I35" s="77">
        <f t="shared" si="5"/>
        <v>5.217282000000001E-3</v>
      </c>
      <c r="J35" s="77">
        <f t="shared" si="5"/>
        <v>1.2334000000000002E-4</v>
      </c>
      <c r="K35" s="77">
        <f t="shared" si="5"/>
        <v>1.2334000000000002E-4</v>
      </c>
      <c r="L35" s="77">
        <f t="shared" si="5"/>
        <v>2.6024740000000005E-2</v>
      </c>
      <c r="M35" s="77">
        <f t="shared" si="5"/>
        <v>8.0911040000000004E-2</v>
      </c>
      <c r="N35" s="77">
        <f t="shared" si="5"/>
        <v>0</v>
      </c>
      <c r="O35" s="77">
        <f t="shared" si="5"/>
        <v>0</v>
      </c>
      <c r="P35" s="77">
        <f t="shared" si="5"/>
        <v>12.827360000000002</v>
      </c>
      <c r="Q35" s="77">
        <f t="shared" si="10"/>
        <v>52.111150000000002</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F9</v>
      </c>
      <c r="B36" s="15">
        <v>14</v>
      </c>
      <c r="C36" s="77">
        <f t="shared" si="6"/>
        <v>100.02874</v>
      </c>
      <c r="D36" s="77">
        <f t="shared" si="7"/>
        <v>52.275808900000001</v>
      </c>
      <c r="E36" s="77">
        <f t="shared" si="8"/>
        <v>10.775290750000002</v>
      </c>
      <c r="F36" s="77">
        <f t="shared" si="9"/>
        <v>5.2964909480000006</v>
      </c>
      <c r="G36" s="77">
        <f t="shared" si="5"/>
        <v>2.0844460000000002E-3</v>
      </c>
      <c r="H36" s="77">
        <f t="shared" si="5"/>
        <v>3.6631980000000008E-2</v>
      </c>
      <c r="I36" s="77">
        <f t="shared" si="5"/>
        <v>5.217282000000001E-3</v>
      </c>
      <c r="J36" s="77">
        <f t="shared" si="5"/>
        <v>1.2334000000000002E-4</v>
      </c>
      <c r="K36" s="77">
        <f t="shared" si="5"/>
        <v>1.2334000000000002E-4</v>
      </c>
      <c r="L36" s="77">
        <f t="shared" si="5"/>
        <v>2.6024740000000005E-2</v>
      </c>
      <c r="M36" s="77">
        <f t="shared" si="5"/>
        <v>8.0911040000000004E-2</v>
      </c>
      <c r="N36" s="77">
        <f t="shared" si="5"/>
        <v>0</v>
      </c>
      <c r="O36" s="77">
        <f t="shared" si="5"/>
        <v>0</v>
      </c>
      <c r="P36" s="77">
        <f t="shared" si="5"/>
        <v>12.827360000000002</v>
      </c>
      <c r="Q36" s="77">
        <f t="shared" si="10"/>
        <v>52.111150000000002</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43</v>
      </c>
      <c r="B37" s="15">
        <v>14</v>
      </c>
      <c r="C37" s="77">
        <f t="shared" si="6"/>
        <v>100.02874</v>
      </c>
      <c r="D37" s="77">
        <f t="shared" si="7"/>
        <v>52.275808900000001</v>
      </c>
      <c r="E37" s="77">
        <f t="shared" si="8"/>
        <v>10.775290750000002</v>
      </c>
      <c r="F37" s="77">
        <f t="shared" si="9"/>
        <v>5.2964909480000006</v>
      </c>
      <c r="G37" s="77">
        <f t="shared" si="5"/>
        <v>2.0844460000000002E-3</v>
      </c>
      <c r="H37" s="77">
        <f t="shared" si="5"/>
        <v>3.6631980000000008E-2</v>
      </c>
      <c r="I37" s="77">
        <f t="shared" si="5"/>
        <v>5.217282000000001E-3</v>
      </c>
      <c r="J37" s="77">
        <f t="shared" si="5"/>
        <v>1.2334000000000002E-4</v>
      </c>
      <c r="K37" s="77">
        <f t="shared" si="5"/>
        <v>1.2334000000000002E-4</v>
      </c>
      <c r="L37" s="77">
        <f t="shared" si="5"/>
        <v>2.6024740000000005E-2</v>
      </c>
      <c r="M37" s="77">
        <f t="shared" si="5"/>
        <v>8.0911040000000004E-2</v>
      </c>
      <c r="N37" s="77">
        <f t="shared" si="5"/>
        <v>0</v>
      </c>
      <c r="O37" s="77">
        <f t="shared" si="5"/>
        <v>0</v>
      </c>
      <c r="P37" s="77">
        <f t="shared" si="5"/>
        <v>12.827360000000002</v>
      </c>
      <c r="Q37" s="77">
        <f t="shared" si="10"/>
        <v>52.111150000000002</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 xml:space="preserve">C1 </v>
      </c>
      <c r="C57" s="8" t="str">
        <f t="shared" ref="C57:U57" si="13">D8</f>
        <v xml:space="preserve">C2 </v>
      </c>
      <c r="D57" s="8" t="str">
        <f t="shared" si="13"/>
        <v>C3</v>
      </c>
      <c r="E57" s="8" t="str">
        <f t="shared" si="13"/>
        <v>F1</v>
      </c>
      <c r="F57" s="8" t="str">
        <f t="shared" si="13"/>
        <v>F2</v>
      </c>
      <c r="G57" s="8" t="str">
        <f t="shared" si="13"/>
        <v>F9</v>
      </c>
      <c r="H57" s="8">
        <f t="shared" si="13"/>
        <v>43</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Arable</v>
      </c>
      <c r="F58" s="13" t="str">
        <f>G16&amp;" I "&amp;(VLOOKUP(G14,Table24581114[],6,FALSE))</f>
        <v>Medium/Clay I Arable</v>
      </c>
      <c r="G58" s="13" t="str">
        <f>H16&amp;" I "&amp;(VLOOKUP(H14,Table24581114[],6,FALSE))</f>
        <v>Medium/Clay I Arable</v>
      </c>
      <c r="H58" s="13" t="str">
        <f>I16&amp;" I "&amp;(VLOOKUP(I14,Table24581114[],6,FALSE))</f>
        <v>Medium/Clay I Arable</v>
      </c>
      <c r="I58" s="13" t="e">
        <f>J16&amp;" I "&amp;(VLOOKUP(J14,Table24581114[],6,FALSE))</f>
        <v>#N/A</v>
      </c>
      <c r="J58" s="13" t="e">
        <f>K16&amp;" I "&amp;(VLOOKUP(K14,Table24581114[],6,FALSE))</f>
        <v>#N/A</v>
      </c>
      <c r="K58" s="13" t="e">
        <f>L16&amp;" I "&amp;(VLOOKUP(L14,Table24581114[],6,FALSE))</f>
        <v>#N/A</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6.2</v>
      </c>
      <c r="C59" s="76">
        <f>VLOOKUP(D$14,Table24581114[],5,FALSE)</f>
        <v>6.2</v>
      </c>
      <c r="D59" s="76">
        <f>VLOOKUP(E$14,Table24581114[],5,FALSE)</f>
        <v>6.2</v>
      </c>
      <c r="E59" s="76">
        <f>VLOOKUP(F$14,Table24581114[],5,FALSE)</f>
        <v>6.7</v>
      </c>
      <c r="F59" s="76">
        <f>VLOOKUP(G$14,Table24581114[],5,FALSE)</f>
        <v>6.7</v>
      </c>
      <c r="G59" s="76">
        <f>VLOOKUP(H$14,Table24581114[],5,FALSE)</f>
        <v>6.7</v>
      </c>
      <c r="H59" s="76">
        <f>VLOOKUP(I$14,Table24581114[],5,FALSE)</f>
        <v>6.7</v>
      </c>
      <c r="I59" s="76" t="e">
        <f>VLOOKUP(J$14,Table24581114[],5,FALSE)</f>
        <v>#N/A</v>
      </c>
      <c r="J59" s="76" t="e">
        <f>VLOOKUP(K$14,Table24581114[],5,FALSE)</f>
        <v>#N/A</v>
      </c>
      <c r="K59" s="76" t="e">
        <f>VLOOKUP(L$14,Table24581114[],5,FALSE)</f>
        <v>#N/A</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6.5</v>
      </c>
      <c r="C60" s="76">
        <f t="shared" ref="C60:U60" si="14">D10</f>
        <v>6.4</v>
      </c>
      <c r="D60" s="76">
        <f t="shared" si="14"/>
        <v>5.7</v>
      </c>
      <c r="E60" s="76">
        <f t="shared" si="14"/>
        <v>6.1</v>
      </c>
      <c r="F60" s="76">
        <f t="shared" si="14"/>
        <v>6.3</v>
      </c>
      <c r="G60" s="76">
        <f t="shared" si="14"/>
        <v>5.9</v>
      </c>
      <c r="H60" s="76">
        <f t="shared" si="14"/>
        <v>5.8</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8</v>
      </c>
      <c r="F61" s="76">
        <f t="shared" si="15"/>
        <v>8</v>
      </c>
      <c r="G61" s="76">
        <f t="shared" si="15"/>
        <v>8</v>
      </c>
      <c r="H61" s="76">
        <f t="shared" si="15"/>
        <v>8</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14</v>
      </c>
      <c r="C62" s="77">
        <f>B32</f>
        <v>14</v>
      </c>
      <c r="D62" s="77">
        <f>B33</f>
        <v>14</v>
      </c>
      <c r="E62" s="77">
        <f>B34</f>
        <v>14</v>
      </c>
      <c r="F62" s="77">
        <f>B35</f>
        <v>14</v>
      </c>
      <c r="G62" s="77">
        <f>B36</f>
        <v>14</v>
      </c>
      <c r="H62" s="77">
        <f>B37</f>
        <v>14</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-1.2000000000000011</v>
      </c>
      <c r="D64" s="77">
        <f t="shared" si="17"/>
        <v>3</v>
      </c>
      <c r="E64" s="77">
        <f t="shared" si="17"/>
        <v>4.8000000000000043</v>
      </c>
      <c r="F64" s="77">
        <f t="shared" si="17"/>
        <v>3.2000000000000028</v>
      </c>
      <c r="G64" s="77">
        <f t="shared" si="17"/>
        <v>6.3999999999999986</v>
      </c>
      <c r="H64" s="77">
        <f t="shared" si="17"/>
        <v>7.2000000000000028</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1.2000000000000011</v>
      </c>
      <c r="D65" s="77">
        <f t="shared" si="18"/>
        <v>-3</v>
      </c>
      <c r="E65" s="77">
        <f t="shared" si="18"/>
        <v>-4.8000000000000043</v>
      </c>
      <c r="F65" s="77">
        <f t="shared" si="18"/>
        <v>-3.2000000000000028</v>
      </c>
      <c r="G65" s="77">
        <f t="shared" si="18"/>
        <v>-6.3999999999999986</v>
      </c>
      <c r="H65" s="77">
        <f t="shared" si="18"/>
        <v>-7.2000000000000028</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UNDER</v>
      </c>
      <c r="E66" s="78" t="str">
        <f t="shared" si="19"/>
        <v>UNDER</v>
      </c>
      <c r="F66" s="78" t="str">
        <f t="shared" si="19"/>
        <v>UNDER</v>
      </c>
      <c r="G66" s="78" t="str">
        <f t="shared" si="19"/>
        <v>UNDER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51" priority="37" operator="equal">
      <formula>"DECREASE"</formula>
    </cfRule>
    <cfRule type="cellIs" dxfId="250" priority="38" operator="equal">
      <formula>"INCREASE"</formula>
    </cfRule>
  </conditionalFormatting>
  <conditionalFormatting sqref="B62:U66 B31:B50">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U28" sqref="U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Secanim!C1:D1</f>
        <v>PAN-019730</v>
      </c>
      <c r="D1" s="141"/>
      <c r="E1" s="93" t="s">
        <v>45</v>
      </c>
      <c r="F1" s="39">
        <f>Secanim!F1</f>
        <v>41.5</v>
      </c>
      <c r="G1" s="120" t="s">
        <v>43</v>
      </c>
      <c r="H1" s="121"/>
      <c r="I1" s="118">
        <v>3.76</v>
      </c>
      <c r="J1" s="119" t="s">
        <v>153</v>
      </c>
      <c r="K1" s="119"/>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Secanim!C2:D2</f>
        <v>EPR-KP3594VE</v>
      </c>
      <c r="D2" s="143"/>
      <c r="E2" s="93" t="s">
        <v>109</v>
      </c>
      <c r="F2" s="96" t="s">
        <v>173</v>
      </c>
      <c r="G2" s="138" t="s">
        <v>110</v>
      </c>
      <c r="H2" s="139"/>
      <c r="I2" s="118">
        <v>516</v>
      </c>
      <c r="J2" s="119" t="s">
        <v>158</v>
      </c>
      <c r="K2" s="119"/>
      <c r="L2" s="97">
        <v>0.06</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Secanim!C3:D3</f>
        <v>Trade effluent services</v>
      </c>
      <c r="D3" s="143"/>
      <c r="E3" s="93" t="s">
        <v>108</v>
      </c>
      <c r="F3" s="31" t="s">
        <v>78</v>
      </c>
      <c r="G3" s="119" t="s">
        <v>159</v>
      </c>
      <c r="H3" s="119"/>
      <c r="I3" s="118"/>
      <c r="J3" s="120" t="s">
        <v>154</v>
      </c>
      <c r="K3" s="121"/>
      <c r="L3" s="97">
        <f>(L1/(L2*10000))*100</f>
        <v>4.1666666666666661</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Secanim!C4:D4</f>
        <v xml:space="preserve">Brookhouse farm, Brook house lane, Awowry, Wreham </v>
      </c>
      <c r="D4" s="141"/>
      <c r="E4" s="94" t="s">
        <v>1</v>
      </c>
      <c r="F4" s="96" t="s">
        <v>172</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Secanim!C5:D5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Secanim!C8</f>
        <v xml:space="preserve">C1 </v>
      </c>
      <c r="D8" s="60" t="str">
        <f>Secanim!D8</f>
        <v xml:space="preserve">C2 </v>
      </c>
      <c r="E8" s="60" t="str">
        <f>Secanim!E8</f>
        <v>C3</v>
      </c>
      <c r="F8" s="60" t="str">
        <f>Secanim!F8</f>
        <v>F1</v>
      </c>
      <c r="G8" s="60" t="str">
        <f>Secanim!G8</f>
        <v>F2</v>
      </c>
      <c r="H8" s="60" t="str">
        <f>Secanim!H8</f>
        <v>F9</v>
      </c>
      <c r="I8" s="60">
        <f>Secanim!I8</f>
        <v>43</v>
      </c>
      <c r="J8" s="60">
        <f>Secanim!J8</f>
        <v>0</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Secanim!C9</f>
        <v>Moderate</v>
      </c>
      <c r="D9" s="60" t="str">
        <f>Secanim!D9</f>
        <v>Moderate</v>
      </c>
      <c r="E9" s="60" t="str">
        <f>Secanim!E9</f>
        <v>Moderate</v>
      </c>
      <c r="F9" s="60">
        <f>Secanim!F9</f>
        <v>1</v>
      </c>
      <c r="G9" s="60">
        <f>Secanim!G9</f>
        <v>1</v>
      </c>
      <c r="H9" s="60">
        <f>Secanim!H9</f>
        <v>1</v>
      </c>
      <c r="I9" s="60">
        <f>Secanim!I9</f>
        <v>1</v>
      </c>
      <c r="J9" s="60">
        <f>Secanim!J9</f>
        <v>0</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Secanim!C10</f>
        <v>6.5</v>
      </c>
      <c r="D10" s="60">
        <f>Secanim!D10</f>
        <v>6.4</v>
      </c>
      <c r="E10" s="60">
        <f>Secanim!E10</f>
        <v>5.7</v>
      </c>
      <c r="F10" s="60">
        <f>Secanim!F10</f>
        <v>6.1</v>
      </c>
      <c r="G10" s="60">
        <f>Secanim!G10</f>
        <v>6.3</v>
      </c>
      <c r="H10" s="60">
        <f>Secanim!H10</f>
        <v>5.9</v>
      </c>
      <c r="I10" s="60">
        <f>Secanim!I10</f>
        <v>5.8</v>
      </c>
      <c r="J10" s="60">
        <f>Secanim!J10</f>
        <v>0</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Secanim!C11</f>
        <v>4</v>
      </c>
      <c r="D11" s="60">
        <f>Secanim!D11</f>
        <v>3</v>
      </c>
      <c r="E11" s="60">
        <f>Secanim!E11</f>
        <v>4</v>
      </c>
      <c r="F11" s="60">
        <f>Secanim!F11</f>
        <v>4</v>
      </c>
      <c r="G11" s="60">
        <f>Secanim!G11</f>
        <v>4</v>
      </c>
      <c r="H11" s="60">
        <f>Secanim!H11</f>
        <v>3</v>
      </c>
      <c r="I11" s="60">
        <f>Secanim!I11</f>
        <v>2</v>
      </c>
      <c r="J11" s="60">
        <f>Secanim!J11</f>
        <v>0</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Secanim!C12</f>
        <v>3</v>
      </c>
      <c r="D12" s="60">
        <f>Secanim!D12</f>
        <v>2</v>
      </c>
      <c r="E12" s="60">
        <f>Secanim!E12</f>
        <v>2</v>
      </c>
      <c r="F12" s="60">
        <f>Secanim!F12</f>
        <v>2</v>
      </c>
      <c r="G12" s="60">
        <f>Secanim!G12</f>
        <v>2</v>
      </c>
      <c r="H12" s="60">
        <f>Secanim!H12</f>
        <v>1</v>
      </c>
      <c r="I12" s="60">
        <f>Secanim!I12</f>
        <v>1</v>
      </c>
      <c r="J12" s="60">
        <f>Secanim!J12</f>
        <v>0</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Secanim!C13</f>
        <v>3</v>
      </c>
      <c r="D13" s="60">
        <f>Secanim!D13</f>
        <v>3</v>
      </c>
      <c r="E13" s="60">
        <f>Secanim!E13</f>
        <v>3</v>
      </c>
      <c r="F13" s="60">
        <f>Secanim!F13</f>
        <v>2</v>
      </c>
      <c r="G13" s="60">
        <f>Secanim!G13</f>
        <v>2</v>
      </c>
      <c r="H13" s="60">
        <f>Secanim!H13</f>
        <v>2</v>
      </c>
      <c r="I13" s="60">
        <f>Secanim!I13</f>
        <v>3</v>
      </c>
      <c r="J13" s="60">
        <f>Secanim!J13</f>
        <v>0</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Secanim!C14</f>
        <v xml:space="preserve">Grass Silage (25% DM) </v>
      </c>
      <c r="D14" s="102" t="str">
        <f>Secanim!D14</f>
        <v xml:space="preserve">Grass Silage (25% DM) </v>
      </c>
      <c r="E14" s="102" t="str">
        <f>Secanim!E14</f>
        <v xml:space="preserve">Grass Silage (25% DM) </v>
      </c>
      <c r="F14" s="102" t="str">
        <f>Secanim!F14</f>
        <v>Maize- Silage (30% DM)</v>
      </c>
      <c r="G14" s="102" t="str">
        <f>Secanim!G14</f>
        <v>Maize- Silage (30% DM)</v>
      </c>
      <c r="H14" s="102" t="str">
        <f>Secanim!H14</f>
        <v>Maize- Silage (30% DM)</v>
      </c>
      <c r="I14" s="102" t="str">
        <f>Secanim!I14</f>
        <v>Maize- Silage (30% DM)</v>
      </c>
      <c r="J14" s="102">
        <f>Secanim!J14</f>
        <v>0</v>
      </c>
      <c r="K14" s="102">
        <f>Secanim!K14</f>
        <v>0</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ht="13" x14ac:dyDescent="0.25">
      <c r="A15" s="130" t="s">
        <v>9</v>
      </c>
      <c r="B15" s="130"/>
      <c r="C15" s="60">
        <f>Secanim!C15</f>
        <v>38</v>
      </c>
      <c r="D15" s="60">
        <f>Secanim!D15</f>
        <v>38</v>
      </c>
      <c r="E15" s="60">
        <f>Secanim!E15</f>
        <v>38</v>
      </c>
      <c r="F15" s="60">
        <f>Secanim!F15</f>
        <v>40</v>
      </c>
      <c r="G15" s="60">
        <f>Secanim!G15</f>
        <v>40</v>
      </c>
      <c r="H15" s="60">
        <f>Secanim!H15</f>
        <v>40</v>
      </c>
      <c r="I15" s="60">
        <f>Secanim!I15</f>
        <v>40</v>
      </c>
      <c r="J15" s="60">
        <f>Secanim!J15</f>
        <v>0</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f>Secanim!J16</f>
        <v>0</v>
      </c>
      <c r="K16" s="103">
        <f>Secanim!K16</f>
        <v>0</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56</v>
      </c>
      <c r="G17" s="28">
        <f t="shared" si="0"/>
        <v>56</v>
      </c>
      <c r="H17" s="28">
        <f t="shared" si="0"/>
        <v>56</v>
      </c>
      <c r="I17" s="28">
        <f t="shared" si="0"/>
        <v>56</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54.324191999999996</v>
      </c>
      <c r="D18" s="16">
        <f>$D32</f>
        <v>54.324191999999996</v>
      </c>
      <c r="E18" s="16">
        <f>$D33</f>
        <v>54.324191999999996</v>
      </c>
      <c r="F18" s="16">
        <f>$D34</f>
        <v>54.324191999999996</v>
      </c>
      <c r="G18" s="16">
        <f>$D35</f>
        <v>54.324191999999996</v>
      </c>
      <c r="H18" s="16">
        <f>$D36</f>
        <v>54.324191999999996</v>
      </c>
      <c r="I18" s="16">
        <f>$D37</f>
        <v>54.324191999999996</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-10.275807999999998</v>
      </c>
      <c r="D19" s="16">
        <f t="shared" ref="D19:V19" si="1">D18-D17</f>
        <v>-10.275807999999998</v>
      </c>
      <c r="E19" s="16">
        <f t="shared" si="1"/>
        <v>-10.275807999999998</v>
      </c>
      <c r="F19" s="16">
        <f t="shared" si="1"/>
        <v>-1.6758080000000035</v>
      </c>
      <c r="G19" s="16">
        <f t="shared" si="1"/>
        <v>-1.6758080000000035</v>
      </c>
      <c r="H19" s="16">
        <f t="shared" si="1"/>
        <v>-1.6758080000000035</v>
      </c>
      <c r="I19" s="16">
        <f t="shared" si="1"/>
        <v>-1.6758080000000035</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176</v>
      </c>
      <c r="G21" s="28">
        <f t="shared" si="2"/>
        <v>176</v>
      </c>
      <c r="H21" s="28">
        <f t="shared" si="2"/>
        <v>176</v>
      </c>
      <c r="I21" s="28">
        <f t="shared" si="2"/>
        <v>176</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48.874800000000008</v>
      </c>
      <c r="D22" s="16">
        <f>$E32</f>
        <v>48.874800000000008</v>
      </c>
      <c r="E22" s="16">
        <f>$E33</f>
        <v>48.874800000000008</v>
      </c>
      <c r="F22" s="16">
        <f>$E34</f>
        <v>48.874800000000008</v>
      </c>
      <c r="G22" s="16">
        <f>$E35</f>
        <v>48.874800000000008</v>
      </c>
      <c r="H22" s="16">
        <f>$E36</f>
        <v>48.874800000000008</v>
      </c>
      <c r="I22" s="16">
        <f>$E37</f>
        <v>48.874800000000008</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-179.12520000000001</v>
      </c>
      <c r="D23" s="16">
        <f t="shared" ref="D23:V23" si="3">D22-D21</f>
        <v>-179.12520000000001</v>
      </c>
      <c r="E23" s="16">
        <f t="shared" si="3"/>
        <v>-179.12520000000001</v>
      </c>
      <c r="F23" s="16">
        <f t="shared" si="3"/>
        <v>-127.12519999999999</v>
      </c>
      <c r="G23" s="16">
        <f t="shared" si="3"/>
        <v>-127.12519999999999</v>
      </c>
      <c r="H23" s="16">
        <f t="shared" si="3"/>
        <v>-127.12519999999999</v>
      </c>
      <c r="I23" s="16">
        <f t="shared" si="3"/>
        <v>-127.12519999999999</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1.85</v>
      </c>
      <c r="C28" s="15">
        <v>0.06</v>
      </c>
      <c r="D28" s="15">
        <v>98.8</v>
      </c>
      <c r="E28" s="15">
        <v>169</v>
      </c>
      <c r="F28" s="15">
        <v>25.6</v>
      </c>
      <c r="G28" s="15">
        <v>0.221</v>
      </c>
      <c r="H28" s="15">
        <v>1</v>
      </c>
      <c r="I28" s="15">
        <v>0.5</v>
      </c>
      <c r="J28" s="15">
        <v>0.01</v>
      </c>
      <c r="K28" s="23">
        <v>0.05</v>
      </c>
      <c r="L28" s="15">
        <v>0.2</v>
      </c>
      <c r="M28" s="15">
        <v>0.2</v>
      </c>
      <c r="N28" s="15"/>
      <c r="O28" s="15"/>
      <c r="P28" s="15">
        <v>337</v>
      </c>
      <c r="Q28" s="15">
        <v>77.900000000000006</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 xml:space="preserve">C1 </v>
      </c>
      <c r="B31" s="15">
        <v>240</v>
      </c>
      <c r="C31" s="77">
        <f>IF(C$27="%w/w SAR",((C$28*10)*$B31),IF(C$27="%w/w DM",(((C$28*10)*($B$28/100))*$B31),IF(C$27="kg/t SAR",(C$28*$B31),IF(C$27="kg/t DM",((C$28*($B$28/100))*$B31),IF(C$27="mg/kg SAR",((C$28*0.001)*$B31),IF(C$27="mg/kg DM",(((C$28*0.001)*($B$28/100))*$B31),0))))))</f>
        <v>144</v>
      </c>
      <c r="D31" s="77">
        <f>(IF(D$27="%w/w SAR",((D$28*10)*$B31),IF(D$27="%w/w DM",(((D$28*10)*($B$28/100))*$B31),IF(D$27="kg/t SAR",(D$28*$B31),IF(D$27="kg/t DM",((D$28*($B$28/100))*$B31),IF(D$27="mg/kg SAR",((D$28*0.001)*$B31),IF(D$27="mg/kg DM",(((D$28*0.001)*($B$28/100))*$B31),"0")))))))*2.291</f>
        <v>54.324191999999996</v>
      </c>
      <c r="E31" s="77">
        <f>(IF(E$27="%w/w SAR",((E$28*10)*$B31),IF(E$27="%w/w DM",(((E$28*10)*($B$28/100))*$B31),IF(E$27="kg/t SAR",(E$28*$B31),IF(E$27="kg/t DM",((E$28*($B$28/100))*$B31),IF(E$27="mg/kg SAR",((E$28*0.001)*$B31),IF(E$27="mg/kg DM",(((E$28*0.001)*($B$28/100))*$B31),"0")))))))*1.205</f>
        <v>48.874800000000008</v>
      </c>
      <c r="F31" s="77">
        <f>(IF(F$27="%w/w SAR",((F$28*10)*$B31),IF(F$27="%w/w DM",(((F$28*10)*($B$28/100))*$B31),IF(F$27="kg/t SAR",(F$28*$B31),IF(F$27="kg/t DM",((F$28*($B$28/100))*$B31),IF(F$27="mg/kg SAR",((F$28*0.001)*$B31),IF(F$27="mg/kg DM",(((F$28*0.001)*($B$28/100))*$B31),"0")))))))*1.658</f>
        <v>10.186752</v>
      </c>
      <c r="G31" s="77">
        <f t="shared" ref="G31:P46" si="5">IF(G$27="%w/w SAR",((G$28*10)*$B31),IF(G$27="%w/w DM",(((G$28*10)*($B$28/100))*$B31),IF(G$27="kg/t SAR",(G$28*$B31),IF(G$27="kg/t DM",((G$28*($B$28/100))*$B31),IF(G$27="mg/kg SAR",((G$28*0.001)*$B31),IF(G$27="mg/kg DM",(((G$28*0.001)*($B$28/100))*$B31),0))))))</f>
        <v>5.3040000000000004E-2</v>
      </c>
      <c r="H31" s="77">
        <f t="shared" si="5"/>
        <v>0.24</v>
      </c>
      <c r="I31" s="77">
        <f t="shared" si="5"/>
        <v>0.12</v>
      </c>
      <c r="J31" s="77">
        <f t="shared" si="5"/>
        <v>2.4000000000000002E-3</v>
      </c>
      <c r="K31" s="77">
        <f t="shared" si="5"/>
        <v>1.2E-2</v>
      </c>
      <c r="L31" s="77">
        <f t="shared" si="5"/>
        <v>4.8000000000000001E-2</v>
      </c>
      <c r="M31" s="77">
        <f t="shared" si="5"/>
        <v>4.8000000000000001E-2</v>
      </c>
      <c r="N31" s="77">
        <f t="shared" si="5"/>
        <v>0</v>
      </c>
      <c r="O31" s="77">
        <f t="shared" si="5"/>
        <v>0</v>
      </c>
      <c r="P31" s="77">
        <f t="shared" si="5"/>
        <v>80.88000000000001</v>
      </c>
      <c r="Q31" s="77">
        <f>(IF(Q$27="%w/w SAR",((Q$28*10)*$B31),IF(Q$27="%w/w DM",(((Q$28*10)*($B$28/100))*$B31),IF(Q$27="kg/t SAR",(Q$28*$B31),IF(Q$27="kg/t DM",((Q$28*($B$28/100))*$B31),IF(Q$27="mg/kg SAR",((Q$28*0.001)*$B31),IF(Q$27="mg/kg DM",(((Q$28*0.001)*($B$28/100))*$B31),0)))))))*2.5</f>
        <v>46.74</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C2 </v>
      </c>
      <c r="B32" s="15">
        <v>240</v>
      </c>
      <c r="C32" s="77">
        <f t="shared" ref="C32:C50" si="6">IF(C$27="%w/w SAR",((C$28*10)*$B32),IF(C$27="%w/w DM",(((C$28*10)*($B$28/100))*$B32),IF(C$27="kg/t SAR",(C$28*$B32),IF(C$27="kg/t DM",((C$28*($B$28/100))*$B32),IF(C$27="mg/kg SAR",((C$28*0.001)*$B32),IF(C$27="mg/kg DM",(((C$28*0.001)*($B$28/100))*$B32),0))))))</f>
        <v>144</v>
      </c>
      <c r="D32" s="77">
        <f t="shared" ref="D32:D50" si="7">(IF(D$27="%w/w SAR",((D$28*10)*$B32),IF(D$27="%w/w DM",(((D$28*10)*($B$28/100))*$B32),IF(D$27="kg/t SAR",(D$28*$B32),IF(D$27="kg/t DM",((D$28*($B$28/100))*$B32),IF(D$27="mg/kg SAR",((D$28*0.001)*$B32),IF(D$27="mg/kg DM",(((D$28*0.001)*($B$28/100))*$B32),"0")))))))*2.291</f>
        <v>54.324191999999996</v>
      </c>
      <c r="E32" s="77">
        <f t="shared" ref="E32:E50" si="8">(IF(E$27="%w/w SAR",((E$28*10)*$B32),IF(E$27="%w/w DM",(((E$28*10)*($B$28/100))*$B32),IF(E$27="kg/t SAR",(E$28*$B32),IF(E$27="kg/t DM",((E$28*($B$28/100))*$B32),IF(E$27="mg/kg SAR",((E$28*0.001)*$B32),IF(E$27="mg/kg DM",(((E$28*0.001)*($B$28/100))*$B32),"0")))))))*1.205</f>
        <v>48.874800000000008</v>
      </c>
      <c r="F32" s="77">
        <f t="shared" ref="F32:F50" si="9">(IF(F$27="%w/w SAR",((F$28*10)*$B32),IF(F$27="%w/w DM",(((F$28*10)*($B$28/100))*$B32),IF(F$27="kg/t SAR",(F$28*$B32),IF(F$27="kg/t DM",((F$28*($B$28/100))*$B32),IF(F$27="mg/kg SAR",((F$28*0.001)*$B32),IF(F$27="mg/kg DM",(((F$28*0.001)*($B$28/100))*$B32),"0")))))))*1.658</f>
        <v>10.186752</v>
      </c>
      <c r="G32" s="77">
        <f t="shared" si="5"/>
        <v>5.3040000000000004E-2</v>
      </c>
      <c r="H32" s="77">
        <f t="shared" si="5"/>
        <v>0.24</v>
      </c>
      <c r="I32" s="77">
        <f t="shared" si="5"/>
        <v>0.12</v>
      </c>
      <c r="J32" s="77">
        <f t="shared" si="5"/>
        <v>2.4000000000000002E-3</v>
      </c>
      <c r="K32" s="77">
        <f t="shared" si="5"/>
        <v>1.2E-2</v>
      </c>
      <c r="L32" s="77">
        <f t="shared" si="5"/>
        <v>4.8000000000000001E-2</v>
      </c>
      <c r="M32" s="77">
        <f t="shared" si="5"/>
        <v>4.8000000000000001E-2</v>
      </c>
      <c r="N32" s="77">
        <f t="shared" si="5"/>
        <v>0</v>
      </c>
      <c r="O32" s="77">
        <f t="shared" si="5"/>
        <v>0</v>
      </c>
      <c r="P32" s="77">
        <f t="shared" si="5"/>
        <v>80.88000000000001</v>
      </c>
      <c r="Q32" s="77">
        <f t="shared" ref="Q32:Q50" si="10">(IF(Q$27="%w/w SAR",((Q$28*10)*$B32),IF(Q$27="%w/w DM",(((Q$28*10)*($B$28/100))*$B32),IF(Q$27="kg/t SAR",(Q$28*$B32),IF(Q$27="kg/t DM",((Q$28*($B$28/100))*$B32),IF(Q$27="mg/kg SAR",((Q$28*0.001)*$B32),IF(Q$27="mg/kg DM",(((Q$28*0.001)*($B$28/100))*$B32),0)))))))*2.5</f>
        <v>46.74</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C3</v>
      </c>
      <c r="B33" s="15">
        <v>240</v>
      </c>
      <c r="C33" s="77">
        <f t="shared" si="6"/>
        <v>144</v>
      </c>
      <c r="D33" s="77">
        <f t="shared" si="7"/>
        <v>54.324191999999996</v>
      </c>
      <c r="E33" s="77">
        <f t="shared" si="8"/>
        <v>48.874800000000008</v>
      </c>
      <c r="F33" s="77">
        <f t="shared" si="9"/>
        <v>10.186752</v>
      </c>
      <c r="G33" s="77">
        <f t="shared" si="5"/>
        <v>5.3040000000000004E-2</v>
      </c>
      <c r="H33" s="77">
        <f t="shared" si="5"/>
        <v>0.24</v>
      </c>
      <c r="I33" s="77">
        <f t="shared" si="5"/>
        <v>0.12</v>
      </c>
      <c r="J33" s="77">
        <f t="shared" si="5"/>
        <v>2.4000000000000002E-3</v>
      </c>
      <c r="K33" s="77">
        <f t="shared" si="5"/>
        <v>1.2E-2</v>
      </c>
      <c r="L33" s="77">
        <f t="shared" si="5"/>
        <v>4.8000000000000001E-2</v>
      </c>
      <c r="M33" s="77">
        <f t="shared" si="5"/>
        <v>4.8000000000000001E-2</v>
      </c>
      <c r="N33" s="77">
        <f t="shared" si="5"/>
        <v>0</v>
      </c>
      <c r="O33" s="77">
        <f t="shared" si="5"/>
        <v>0</v>
      </c>
      <c r="P33" s="77">
        <f t="shared" si="5"/>
        <v>80.88000000000001</v>
      </c>
      <c r="Q33" s="77">
        <f t="shared" si="10"/>
        <v>46.74</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F1</v>
      </c>
      <c r="B34" s="15">
        <v>240</v>
      </c>
      <c r="C34" s="77">
        <f t="shared" si="6"/>
        <v>144</v>
      </c>
      <c r="D34" s="77">
        <f t="shared" si="7"/>
        <v>54.324191999999996</v>
      </c>
      <c r="E34" s="77">
        <f t="shared" si="8"/>
        <v>48.874800000000008</v>
      </c>
      <c r="F34" s="77">
        <f t="shared" si="9"/>
        <v>10.186752</v>
      </c>
      <c r="G34" s="77">
        <f t="shared" si="5"/>
        <v>5.3040000000000004E-2</v>
      </c>
      <c r="H34" s="77">
        <f t="shared" si="5"/>
        <v>0.24</v>
      </c>
      <c r="I34" s="77">
        <f t="shared" si="5"/>
        <v>0.12</v>
      </c>
      <c r="J34" s="77">
        <f t="shared" si="5"/>
        <v>2.4000000000000002E-3</v>
      </c>
      <c r="K34" s="77">
        <f t="shared" si="5"/>
        <v>1.2E-2</v>
      </c>
      <c r="L34" s="77">
        <f t="shared" si="5"/>
        <v>4.8000000000000001E-2</v>
      </c>
      <c r="M34" s="77">
        <f t="shared" si="5"/>
        <v>4.8000000000000001E-2</v>
      </c>
      <c r="N34" s="77">
        <f t="shared" si="5"/>
        <v>0</v>
      </c>
      <c r="O34" s="77">
        <f t="shared" si="5"/>
        <v>0</v>
      </c>
      <c r="P34" s="77">
        <f t="shared" si="5"/>
        <v>80.88000000000001</v>
      </c>
      <c r="Q34" s="77">
        <f t="shared" si="10"/>
        <v>46.74</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F2</v>
      </c>
      <c r="B35" s="15">
        <v>240</v>
      </c>
      <c r="C35" s="77">
        <f t="shared" si="6"/>
        <v>144</v>
      </c>
      <c r="D35" s="77">
        <f t="shared" si="7"/>
        <v>54.324191999999996</v>
      </c>
      <c r="E35" s="77">
        <f t="shared" si="8"/>
        <v>48.874800000000008</v>
      </c>
      <c r="F35" s="77">
        <f t="shared" si="9"/>
        <v>10.186752</v>
      </c>
      <c r="G35" s="77">
        <f t="shared" si="5"/>
        <v>5.3040000000000004E-2</v>
      </c>
      <c r="H35" s="77">
        <f t="shared" si="5"/>
        <v>0.24</v>
      </c>
      <c r="I35" s="77">
        <f t="shared" si="5"/>
        <v>0.12</v>
      </c>
      <c r="J35" s="77">
        <f t="shared" si="5"/>
        <v>2.4000000000000002E-3</v>
      </c>
      <c r="K35" s="77">
        <f t="shared" si="5"/>
        <v>1.2E-2</v>
      </c>
      <c r="L35" s="77">
        <f t="shared" si="5"/>
        <v>4.8000000000000001E-2</v>
      </c>
      <c r="M35" s="77">
        <f t="shared" si="5"/>
        <v>4.8000000000000001E-2</v>
      </c>
      <c r="N35" s="77">
        <f t="shared" si="5"/>
        <v>0</v>
      </c>
      <c r="O35" s="77">
        <f t="shared" si="5"/>
        <v>0</v>
      </c>
      <c r="P35" s="77">
        <f t="shared" si="5"/>
        <v>80.88000000000001</v>
      </c>
      <c r="Q35" s="77">
        <f t="shared" si="10"/>
        <v>46.74</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F9</v>
      </c>
      <c r="B36" s="15">
        <v>240</v>
      </c>
      <c r="C36" s="77">
        <f t="shared" si="6"/>
        <v>144</v>
      </c>
      <c r="D36" s="77">
        <f t="shared" si="7"/>
        <v>54.324191999999996</v>
      </c>
      <c r="E36" s="77">
        <f t="shared" si="8"/>
        <v>48.874800000000008</v>
      </c>
      <c r="F36" s="77">
        <f t="shared" si="9"/>
        <v>10.186752</v>
      </c>
      <c r="G36" s="77">
        <f t="shared" si="5"/>
        <v>5.3040000000000004E-2</v>
      </c>
      <c r="H36" s="77">
        <f t="shared" si="5"/>
        <v>0.24</v>
      </c>
      <c r="I36" s="77">
        <f t="shared" si="5"/>
        <v>0.12</v>
      </c>
      <c r="J36" s="77">
        <f t="shared" si="5"/>
        <v>2.4000000000000002E-3</v>
      </c>
      <c r="K36" s="77">
        <f t="shared" si="5"/>
        <v>1.2E-2</v>
      </c>
      <c r="L36" s="77">
        <f t="shared" si="5"/>
        <v>4.8000000000000001E-2</v>
      </c>
      <c r="M36" s="77">
        <f t="shared" si="5"/>
        <v>4.8000000000000001E-2</v>
      </c>
      <c r="N36" s="77">
        <f t="shared" si="5"/>
        <v>0</v>
      </c>
      <c r="O36" s="77">
        <f t="shared" si="5"/>
        <v>0</v>
      </c>
      <c r="P36" s="77">
        <f t="shared" si="5"/>
        <v>80.88000000000001</v>
      </c>
      <c r="Q36" s="77">
        <f t="shared" si="10"/>
        <v>46.74</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43</v>
      </c>
      <c r="B37" s="15">
        <v>240</v>
      </c>
      <c r="C37" s="77">
        <f t="shared" si="6"/>
        <v>144</v>
      </c>
      <c r="D37" s="77">
        <f t="shared" si="7"/>
        <v>54.324191999999996</v>
      </c>
      <c r="E37" s="77">
        <f t="shared" si="8"/>
        <v>48.874800000000008</v>
      </c>
      <c r="F37" s="77">
        <f t="shared" si="9"/>
        <v>10.186752</v>
      </c>
      <c r="G37" s="77">
        <f t="shared" si="5"/>
        <v>5.3040000000000004E-2</v>
      </c>
      <c r="H37" s="77">
        <f t="shared" si="5"/>
        <v>0.24</v>
      </c>
      <c r="I37" s="77">
        <f t="shared" si="5"/>
        <v>0.12</v>
      </c>
      <c r="J37" s="77">
        <f t="shared" si="5"/>
        <v>2.4000000000000002E-3</v>
      </c>
      <c r="K37" s="77">
        <f t="shared" si="5"/>
        <v>1.2E-2</v>
      </c>
      <c r="L37" s="77">
        <f t="shared" si="5"/>
        <v>4.8000000000000001E-2</v>
      </c>
      <c r="M37" s="77">
        <f t="shared" si="5"/>
        <v>4.8000000000000001E-2</v>
      </c>
      <c r="N37" s="77">
        <f t="shared" si="5"/>
        <v>0</v>
      </c>
      <c r="O37" s="77">
        <f t="shared" si="5"/>
        <v>0</v>
      </c>
      <c r="P37" s="77">
        <f t="shared" si="5"/>
        <v>80.88000000000001</v>
      </c>
      <c r="Q37" s="77">
        <f t="shared" si="10"/>
        <v>46.74</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 xml:space="preserve">C1 </v>
      </c>
      <c r="C57" s="8" t="str">
        <f t="shared" ref="C57:U57" si="13">D8</f>
        <v xml:space="preserve">C2 </v>
      </c>
      <c r="D57" s="8" t="str">
        <f t="shared" si="13"/>
        <v>C3</v>
      </c>
      <c r="E57" s="8" t="str">
        <f t="shared" si="13"/>
        <v>F1</v>
      </c>
      <c r="F57" s="8" t="str">
        <f t="shared" si="13"/>
        <v>F2</v>
      </c>
      <c r="G57" s="8" t="str">
        <f t="shared" si="13"/>
        <v>F9</v>
      </c>
      <c r="H57" s="8">
        <f t="shared" si="13"/>
        <v>43</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Arable</v>
      </c>
      <c r="F58" s="13" t="str">
        <f>G16&amp;" I "&amp;(VLOOKUP(G14,Table245810[],6,FALSE))</f>
        <v>Medium/Clay I Arable</v>
      </c>
      <c r="G58" s="13" t="str">
        <f>H16&amp;" I "&amp;(VLOOKUP(H14,Table245810[],6,FALSE))</f>
        <v>Medium/Clay I Arable</v>
      </c>
      <c r="H58" s="13" t="str">
        <f>I16&amp;" I "&amp;(VLOOKUP(I14,Table245810[],6,FALSE))</f>
        <v>Medium/Clay I Arable</v>
      </c>
      <c r="I58" s="13" t="e">
        <f>J16&amp;" I "&amp;(VLOOKUP(J14,Table245810[],6,FALSE))</f>
        <v>#N/A</v>
      </c>
      <c r="J58" s="13" t="e">
        <f>K16&amp;" I "&amp;(VLOOKUP(K14,Table245810[],6,FALSE))</f>
        <v>#N/A</v>
      </c>
      <c r="K58" s="13" t="e">
        <f>L16&amp;" I "&amp;(VLOOKUP(L14,Table245810[],6,FALSE))</f>
        <v>#N/A</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6.2</v>
      </c>
      <c r="C59" s="76">
        <f>VLOOKUP(D$14,Table245810[],5,FALSE)</f>
        <v>6.2</v>
      </c>
      <c r="D59" s="76">
        <f>VLOOKUP(E$14,Table245810[],5,FALSE)</f>
        <v>6.2</v>
      </c>
      <c r="E59" s="76">
        <f>VLOOKUP(F$14,Table245810[],5,FALSE)</f>
        <v>6.7</v>
      </c>
      <c r="F59" s="76">
        <f>VLOOKUP(G$14,Table245810[],5,FALSE)</f>
        <v>6.7</v>
      </c>
      <c r="G59" s="76">
        <f>VLOOKUP(H$14,Table245810[],5,FALSE)</f>
        <v>6.7</v>
      </c>
      <c r="H59" s="76">
        <f>VLOOKUP(I$14,Table245810[],5,FALSE)</f>
        <v>6.7</v>
      </c>
      <c r="I59" s="76" t="e">
        <f>VLOOKUP(J$14,Table245810[],5,FALSE)</f>
        <v>#N/A</v>
      </c>
      <c r="J59" s="76" t="e">
        <f>VLOOKUP(K$14,Table245810[],5,FALSE)</f>
        <v>#N/A</v>
      </c>
      <c r="K59" s="76" t="e">
        <f>VLOOKUP(L$14,Table245810[],5,FALSE)</f>
        <v>#N/A</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6.5</v>
      </c>
      <c r="C60" s="76">
        <f t="shared" ref="C60:U60" si="14">D10</f>
        <v>6.4</v>
      </c>
      <c r="D60" s="76">
        <f t="shared" si="14"/>
        <v>5.7</v>
      </c>
      <c r="E60" s="76">
        <f t="shared" si="14"/>
        <v>6.1</v>
      </c>
      <c r="F60" s="76">
        <f t="shared" si="14"/>
        <v>6.3</v>
      </c>
      <c r="G60" s="76">
        <f t="shared" si="14"/>
        <v>5.9</v>
      </c>
      <c r="H60" s="76">
        <f t="shared" si="14"/>
        <v>5.8</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8</v>
      </c>
      <c r="F61" s="76">
        <f t="shared" si="15"/>
        <v>8</v>
      </c>
      <c r="G61" s="76">
        <f t="shared" si="15"/>
        <v>8</v>
      </c>
      <c r="H61" s="76">
        <f t="shared" si="15"/>
        <v>8</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240</v>
      </c>
      <c r="C62" s="77">
        <f>B32</f>
        <v>240</v>
      </c>
      <c r="D62" s="77">
        <f>B33</f>
        <v>240</v>
      </c>
      <c r="E62" s="77">
        <f>B34</f>
        <v>240</v>
      </c>
      <c r="F62" s="77">
        <f>B35</f>
        <v>240</v>
      </c>
      <c r="G62" s="77">
        <f>B36</f>
        <v>240</v>
      </c>
      <c r="H62" s="77">
        <f>B37</f>
        <v>240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-1.2000000000000011</v>
      </c>
      <c r="D64" s="77">
        <f t="shared" si="17"/>
        <v>3</v>
      </c>
      <c r="E64" s="77">
        <f t="shared" si="17"/>
        <v>4.8000000000000043</v>
      </c>
      <c r="F64" s="77">
        <f t="shared" si="17"/>
        <v>3.2000000000000028</v>
      </c>
      <c r="G64" s="77">
        <f t="shared" si="17"/>
        <v>6.3999999999999986</v>
      </c>
      <c r="H64" s="77">
        <f t="shared" si="17"/>
        <v>7.2000000000000028</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1.2000000000000011</v>
      </c>
      <c r="D65" s="77">
        <f t="shared" si="18"/>
        <v>-3</v>
      </c>
      <c r="E65" s="77">
        <f t="shared" si="18"/>
        <v>-4.8000000000000043</v>
      </c>
      <c r="F65" s="77">
        <f t="shared" si="18"/>
        <v>-3.2000000000000028</v>
      </c>
      <c r="G65" s="77">
        <f t="shared" si="18"/>
        <v>-6.3999999999999986</v>
      </c>
      <c r="H65" s="77">
        <f t="shared" si="18"/>
        <v>-7.2000000000000028</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UNDER</v>
      </c>
      <c r="E66" s="78" t="str">
        <f t="shared" si="19"/>
        <v>UNDER</v>
      </c>
      <c r="F66" s="78" t="str">
        <f t="shared" si="19"/>
        <v>UNDER</v>
      </c>
      <c r="G66" s="78" t="str">
        <f t="shared" si="19"/>
        <v>UNDER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09" priority="37" operator="equal">
      <formula>"DECREASE"</formula>
    </cfRule>
    <cfRule type="cellIs" dxfId="208" priority="38" operator="equal">
      <formula>"INCREASE"</formula>
    </cfRule>
  </conditionalFormatting>
  <conditionalFormatting sqref="B62:U66 B31:B50">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tabSelected="1" zoomScale="90" zoomScaleNormal="90" workbookViewId="0">
      <selection activeCell="E8" sqref="E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Secanim!C1:D1</f>
        <v>PAN-019730</v>
      </c>
      <c r="D1" s="141"/>
      <c r="E1" s="93" t="s">
        <v>45</v>
      </c>
      <c r="F1" s="39">
        <f>Secanim!F1</f>
        <v>41.5</v>
      </c>
      <c r="G1" s="120" t="s">
        <v>43</v>
      </c>
      <c r="H1" s="121"/>
      <c r="I1" s="118">
        <v>5.33</v>
      </c>
      <c r="J1" s="119" t="s">
        <v>153</v>
      </c>
      <c r="K1" s="119"/>
      <c r="L1" s="97">
        <v>242</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Secanim!C2:D2</f>
        <v>EPR-KP3594VE</v>
      </c>
      <c r="D2" s="143"/>
      <c r="E2" s="93" t="s">
        <v>109</v>
      </c>
      <c r="F2" s="96" t="s">
        <v>180</v>
      </c>
      <c r="G2" s="138" t="s">
        <v>110</v>
      </c>
      <c r="H2" s="139"/>
      <c r="I2" s="118">
        <v>890</v>
      </c>
      <c r="J2" s="119" t="s">
        <v>158</v>
      </c>
      <c r="K2" s="119"/>
      <c r="L2" s="97">
        <v>0.04</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Secanim!C3:D3</f>
        <v>Trade effluent services</v>
      </c>
      <c r="D3" s="143"/>
      <c r="E3" s="93" t="s">
        <v>108</v>
      </c>
      <c r="F3" s="31" t="s">
        <v>78</v>
      </c>
      <c r="G3" s="119" t="s">
        <v>159</v>
      </c>
      <c r="H3" s="119"/>
      <c r="I3" s="118"/>
      <c r="J3" s="120" t="s">
        <v>154</v>
      </c>
      <c r="K3" s="121"/>
      <c r="L3" s="97">
        <f>(L1/(L2*10000))*100</f>
        <v>60.5</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Secanim!C4:D4</f>
        <v xml:space="preserve">Brookhouse farm, Brook house lane, Awowry, Wreham </v>
      </c>
      <c r="D4" s="141"/>
      <c r="E4" s="94" t="s">
        <v>1</v>
      </c>
      <c r="F4" s="96" t="s">
        <v>186</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Secanim!C5:D5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Secanim!C8</f>
        <v xml:space="preserve">C1 </v>
      </c>
      <c r="D8" s="60" t="str">
        <f>Secanim!D8</f>
        <v xml:space="preserve">C2 </v>
      </c>
      <c r="E8" s="60" t="str">
        <f>Secanim!E8</f>
        <v>C3</v>
      </c>
      <c r="F8" s="60" t="str">
        <f>Secanim!F8</f>
        <v>F1</v>
      </c>
      <c r="G8" s="60" t="str">
        <f>Secanim!G8</f>
        <v>F2</v>
      </c>
      <c r="H8" s="60" t="str">
        <f>Secanim!H8</f>
        <v>F9</v>
      </c>
      <c r="I8" s="60">
        <f>Secanim!I8</f>
        <v>43</v>
      </c>
      <c r="J8" s="60">
        <f>Secanim!J8</f>
        <v>0</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Secanim!C9</f>
        <v>Moderate</v>
      </c>
      <c r="D9" s="60" t="str">
        <f>Secanim!D9</f>
        <v>Moderate</v>
      </c>
      <c r="E9" s="60" t="str">
        <f>Secanim!E9</f>
        <v>Moderate</v>
      </c>
      <c r="F9" s="60">
        <f>Secanim!F9</f>
        <v>1</v>
      </c>
      <c r="G9" s="60">
        <f>Secanim!G9</f>
        <v>1</v>
      </c>
      <c r="H9" s="60">
        <f>Secanim!H9</f>
        <v>1</v>
      </c>
      <c r="I9" s="60">
        <f>Secanim!I9</f>
        <v>1</v>
      </c>
      <c r="J9" s="60">
        <f>Secanim!J9</f>
        <v>0</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Secanim!C10</f>
        <v>6.5</v>
      </c>
      <c r="D10" s="60">
        <f>Secanim!D10</f>
        <v>6.4</v>
      </c>
      <c r="E10" s="60">
        <f>Secanim!E10</f>
        <v>5.7</v>
      </c>
      <c r="F10" s="60">
        <f>Secanim!F10</f>
        <v>6.1</v>
      </c>
      <c r="G10" s="60">
        <f>Secanim!G10</f>
        <v>6.3</v>
      </c>
      <c r="H10" s="60">
        <f>Secanim!H10</f>
        <v>5.9</v>
      </c>
      <c r="I10" s="60">
        <f>Secanim!I10</f>
        <v>5.8</v>
      </c>
      <c r="J10" s="60">
        <f>Secanim!J10</f>
        <v>0</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Secanim!C11</f>
        <v>4</v>
      </c>
      <c r="D11" s="60">
        <f>Secanim!D11</f>
        <v>3</v>
      </c>
      <c r="E11" s="60">
        <f>Secanim!E11</f>
        <v>4</v>
      </c>
      <c r="F11" s="60">
        <f>Secanim!F11</f>
        <v>4</v>
      </c>
      <c r="G11" s="60">
        <f>Secanim!G11</f>
        <v>4</v>
      </c>
      <c r="H11" s="60">
        <f>Secanim!H11</f>
        <v>3</v>
      </c>
      <c r="I11" s="60">
        <f>Secanim!I11</f>
        <v>2</v>
      </c>
      <c r="J11" s="60">
        <f>Secanim!J11</f>
        <v>0</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Secanim!C12</f>
        <v>3</v>
      </c>
      <c r="D12" s="60">
        <f>Secanim!D12</f>
        <v>2</v>
      </c>
      <c r="E12" s="60">
        <f>Secanim!E12</f>
        <v>2</v>
      </c>
      <c r="F12" s="60">
        <f>Secanim!F12</f>
        <v>2</v>
      </c>
      <c r="G12" s="60">
        <f>Secanim!G12</f>
        <v>2</v>
      </c>
      <c r="H12" s="60">
        <f>Secanim!H12</f>
        <v>1</v>
      </c>
      <c r="I12" s="60">
        <f>Secanim!I12</f>
        <v>1</v>
      </c>
      <c r="J12" s="60">
        <f>Secanim!J12</f>
        <v>0</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Secanim!C13</f>
        <v>3</v>
      </c>
      <c r="D13" s="60">
        <f>Secanim!D13</f>
        <v>3</v>
      </c>
      <c r="E13" s="60">
        <f>Secanim!E13</f>
        <v>3</v>
      </c>
      <c r="F13" s="60">
        <f>Secanim!F13</f>
        <v>2</v>
      </c>
      <c r="G13" s="60">
        <f>Secanim!G13</f>
        <v>2</v>
      </c>
      <c r="H13" s="60">
        <f>Secanim!H13</f>
        <v>2</v>
      </c>
      <c r="I13" s="60">
        <f>Secanim!I13</f>
        <v>3</v>
      </c>
      <c r="J13" s="60">
        <f>Secanim!J13</f>
        <v>0</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Secanim!C14</f>
        <v xml:space="preserve">Grass Silage (25% DM) </v>
      </c>
      <c r="D14" s="102" t="str">
        <f>Secanim!D14</f>
        <v xml:space="preserve">Grass Silage (25% DM) </v>
      </c>
      <c r="E14" s="102" t="str">
        <f>Secanim!E14</f>
        <v xml:space="preserve">Grass Silage (25% DM) </v>
      </c>
      <c r="F14" s="102" t="str">
        <f>Secanim!F14</f>
        <v>Maize- Silage (30% DM)</v>
      </c>
      <c r="G14" s="102" t="str">
        <f>Secanim!G14</f>
        <v>Maize- Silage (30% DM)</v>
      </c>
      <c r="H14" s="102" t="str">
        <f>Secanim!H14</f>
        <v>Maize- Silage (30% DM)</v>
      </c>
      <c r="I14" s="102" t="str">
        <f>Secanim!I14</f>
        <v>Maize- Silage (30% DM)</v>
      </c>
      <c r="J14" s="102">
        <f>Secanim!J14</f>
        <v>0</v>
      </c>
      <c r="K14" s="102">
        <f>Secanim!K14</f>
        <v>0</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ht="13" x14ac:dyDescent="0.25">
      <c r="A15" s="130" t="s">
        <v>9</v>
      </c>
      <c r="B15" s="130"/>
      <c r="C15" s="60">
        <f>Secanim!C15</f>
        <v>38</v>
      </c>
      <c r="D15" s="60">
        <f>Secanim!D15</f>
        <v>38</v>
      </c>
      <c r="E15" s="60">
        <f>Secanim!E15</f>
        <v>38</v>
      </c>
      <c r="F15" s="60">
        <f>Secanim!F15</f>
        <v>40</v>
      </c>
      <c r="G15" s="60">
        <f>Secanim!G15</f>
        <v>40</v>
      </c>
      <c r="H15" s="60">
        <f>Secanim!H15</f>
        <v>40</v>
      </c>
      <c r="I15" s="60">
        <f>Secanim!I15</f>
        <v>40</v>
      </c>
      <c r="J15" s="60">
        <f>Secanim!J15</f>
        <v>0</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f>Secanim!J16</f>
        <v>0</v>
      </c>
      <c r="K16" s="103">
        <f>Secanim!K16</f>
        <v>0</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56</v>
      </c>
      <c r="G17" s="28">
        <f t="shared" si="0"/>
        <v>56</v>
      </c>
      <c r="H17" s="28">
        <f t="shared" si="0"/>
        <v>56</v>
      </c>
      <c r="I17" s="28">
        <f t="shared" si="0"/>
        <v>56</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54.525799999999997</v>
      </c>
      <c r="D18" s="16">
        <f>$D32</f>
        <v>54.525799999999997</v>
      </c>
      <c r="E18" s="16">
        <f>$D33</f>
        <v>54.525799999999997</v>
      </c>
      <c r="F18" s="16">
        <f>$D34</f>
        <v>54.525799999999997</v>
      </c>
      <c r="G18" s="16">
        <f>$D35</f>
        <v>54.525799999999997</v>
      </c>
      <c r="H18" s="16">
        <f>$D36</f>
        <v>54.525799999999997</v>
      </c>
      <c r="I18" s="16">
        <f>$D37</f>
        <v>54.525799999999997</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-10.074199999999998</v>
      </c>
      <c r="D19" s="16">
        <f t="shared" ref="D19:V19" si="1">D18-D17</f>
        <v>-10.074199999999998</v>
      </c>
      <c r="E19" s="16">
        <f t="shared" si="1"/>
        <v>-10.074199999999998</v>
      </c>
      <c r="F19" s="16">
        <f t="shared" si="1"/>
        <v>-1.4742000000000033</v>
      </c>
      <c r="G19" s="16">
        <f t="shared" si="1"/>
        <v>-1.4742000000000033</v>
      </c>
      <c r="H19" s="16">
        <f t="shared" si="1"/>
        <v>-1.4742000000000033</v>
      </c>
      <c r="I19" s="16">
        <f t="shared" si="1"/>
        <v>-1.4742000000000033</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176</v>
      </c>
      <c r="G21" s="28">
        <f t="shared" si="2"/>
        <v>176</v>
      </c>
      <c r="H21" s="28">
        <f t="shared" si="2"/>
        <v>176</v>
      </c>
      <c r="I21" s="28">
        <f t="shared" si="2"/>
        <v>176</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57.767700000000012</v>
      </c>
      <c r="D22" s="16">
        <f>$E32</f>
        <v>57.767700000000012</v>
      </c>
      <c r="E22" s="16">
        <f>$E33</f>
        <v>57.767700000000012</v>
      </c>
      <c r="F22" s="16">
        <f>$E34</f>
        <v>57.767700000000012</v>
      </c>
      <c r="G22" s="16">
        <f>$E35</f>
        <v>57.767700000000012</v>
      </c>
      <c r="H22" s="16">
        <f>$E36</f>
        <v>57.767700000000012</v>
      </c>
      <c r="I22" s="16">
        <f>$E37</f>
        <v>57.767700000000012</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-170.23229999999998</v>
      </c>
      <c r="D23" s="16">
        <f t="shared" ref="D23:V23" si="3">D22-D21</f>
        <v>-170.23229999999998</v>
      </c>
      <c r="E23" s="16">
        <f t="shared" si="3"/>
        <v>-170.23229999999998</v>
      </c>
      <c r="F23" s="16">
        <f t="shared" si="3"/>
        <v>-118.23229999999998</v>
      </c>
      <c r="G23" s="16">
        <f t="shared" si="3"/>
        <v>-118.23229999999998</v>
      </c>
      <c r="H23" s="16">
        <f t="shared" si="3"/>
        <v>-118.23229999999998</v>
      </c>
      <c r="I23" s="16">
        <f t="shared" si="3"/>
        <v>-118.23229999999998</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0.67</v>
      </c>
      <c r="C28" s="15">
        <v>0.04</v>
      </c>
      <c r="D28" s="15">
        <v>140</v>
      </c>
      <c r="E28" s="15">
        <v>282</v>
      </c>
      <c r="F28" s="15">
        <v>34.4</v>
      </c>
      <c r="G28" s="15">
        <v>1.63</v>
      </c>
      <c r="H28" s="15">
        <v>0.5</v>
      </c>
      <c r="I28" s="15">
        <v>0.5</v>
      </c>
      <c r="J28" s="15">
        <v>0.01</v>
      </c>
      <c r="K28" s="23">
        <v>0.05</v>
      </c>
      <c r="L28" s="15">
        <v>0.2</v>
      </c>
      <c r="M28" s="15">
        <v>0.2</v>
      </c>
      <c r="N28" s="15"/>
      <c r="O28" s="15"/>
      <c r="P28" s="15">
        <v>888</v>
      </c>
      <c r="Q28" s="15">
        <v>44.5</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 xml:space="preserve">C1 </v>
      </c>
      <c r="B31" s="15">
        <v>170</v>
      </c>
      <c r="C31" s="77">
        <f>IF(C$27="%w/w SAR",((C$28*10)*$B31),IF(C$27="%w/w DM",(((C$28*10)*($B$28/100))*$B31),IF(C$27="kg/t SAR",(C$28*$B31),IF(C$27="kg/t DM",((C$28*($B$28/100))*$B31),IF(C$27="mg/kg SAR",((C$28*0.001)*$B31),IF(C$27="mg/kg DM",(((C$28*0.001)*($B$28/100))*$B31),0))))))</f>
        <v>68</v>
      </c>
      <c r="D31" s="77">
        <f>(IF(D$27="%w/w SAR",((D$28*10)*$B31),IF(D$27="%w/w DM",(((D$28*10)*($B$28/100))*$B31),IF(D$27="kg/t SAR",(D$28*$B31),IF(D$27="kg/t DM",((D$28*($B$28/100))*$B31),IF(D$27="mg/kg SAR",((D$28*0.001)*$B31),IF(D$27="mg/kg DM",(((D$28*0.001)*($B$28/100))*$B31),"0")))))))*2.291</f>
        <v>54.525799999999997</v>
      </c>
      <c r="E31" s="77">
        <f>(IF(E$27="%w/w SAR",((E$28*10)*$B31),IF(E$27="%w/w DM",(((E$28*10)*($B$28/100))*$B31),IF(E$27="kg/t SAR",(E$28*$B31),IF(E$27="kg/t DM",((E$28*($B$28/100))*$B31),IF(E$27="mg/kg SAR",((E$28*0.001)*$B31),IF(E$27="mg/kg DM",(((E$28*0.001)*($B$28/100))*$B31),"0")))))))*1.205</f>
        <v>57.767700000000012</v>
      </c>
      <c r="F31" s="77">
        <f>(IF(F$27="%w/w SAR",((F$28*10)*$B31),IF(F$27="%w/w DM",(((F$28*10)*($B$28/100))*$B31),IF(F$27="kg/t SAR",(F$28*$B31),IF(F$27="kg/t DM",((F$28*($B$28/100))*$B31),IF(F$27="mg/kg SAR",((F$28*0.001)*$B31),IF(F$27="mg/kg DM",(((F$28*0.001)*($B$28/100))*$B31),"0")))))))*1.658</f>
        <v>9.6959839999999993</v>
      </c>
      <c r="G31" s="77">
        <f t="shared" ref="G31:P46" si="5">IF(G$27="%w/w SAR",((G$28*10)*$B31),IF(G$27="%w/w DM",(((G$28*10)*($B$28/100))*$B31),IF(G$27="kg/t SAR",(G$28*$B31),IF(G$27="kg/t DM",((G$28*($B$28/100))*$B31),IF(G$27="mg/kg SAR",((G$28*0.001)*$B31),IF(G$27="mg/kg DM",(((G$28*0.001)*($B$28/100))*$B31),0))))))</f>
        <v>0.27710000000000001</v>
      </c>
      <c r="H31" s="77">
        <f t="shared" si="5"/>
        <v>8.5000000000000006E-2</v>
      </c>
      <c r="I31" s="77">
        <f t="shared" si="5"/>
        <v>8.5000000000000006E-2</v>
      </c>
      <c r="J31" s="77">
        <f t="shared" si="5"/>
        <v>1.7000000000000001E-3</v>
      </c>
      <c r="K31" s="77">
        <f t="shared" si="5"/>
        <v>8.5000000000000006E-3</v>
      </c>
      <c r="L31" s="77">
        <f t="shared" si="5"/>
        <v>3.4000000000000002E-2</v>
      </c>
      <c r="M31" s="77">
        <f t="shared" si="5"/>
        <v>3.4000000000000002E-2</v>
      </c>
      <c r="N31" s="77">
        <f t="shared" si="5"/>
        <v>0</v>
      </c>
      <c r="O31" s="77">
        <f t="shared" si="5"/>
        <v>0</v>
      </c>
      <c r="P31" s="77">
        <f t="shared" si="5"/>
        <v>150.96</v>
      </c>
      <c r="Q31" s="77">
        <f>(IF(Q$27="%w/w SAR",((Q$28*10)*$B31),IF(Q$27="%w/w DM",(((Q$28*10)*($B$28/100))*$B31),IF(Q$27="kg/t SAR",(Q$28*$B31),IF(Q$27="kg/t DM",((Q$28*($B$28/100))*$B31),IF(Q$27="mg/kg SAR",((Q$28*0.001)*$B31),IF(Q$27="mg/kg DM",(((Q$28*0.001)*($B$28/100))*$B31),0)))))))*2.5</f>
        <v>18.912499999999998</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C2 </v>
      </c>
      <c r="B32" s="15">
        <v>170</v>
      </c>
      <c r="C32" s="77">
        <f t="shared" ref="C32:C50" si="6">IF(C$27="%w/w SAR",((C$28*10)*$B32),IF(C$27="%w/w DM",(((C$28*10)*($B$28/100))*$B32),IF(C$27="kg/t SAR",(C$28*$B32),IF(C$27="kg/t DM",((C$28*($B$28/100))*$B32),IF(C$27="mg/kg SAR",((C$28*0.001)*$B32),IF(C$27="mg/kg DM",(((C$28*0.001)*($B$28/100))*$B32),0))))))</f>
        <v>68</v>
      </c>
      <c r="D32" s="77">
        <f t="shared" ref="D32:D50" si="7">(IF(D$27="%w/w SAR",((D$28*10)*$B32),IF(D$27="%w/w DM",(((D$28*10)*($B$28/100))*$B32),IF(D$27="kg/t SAR",(D$28*$B32),IF(D$27="kg/t DM",((D$28*($B$28/100))*$B32),IF(D$27="mg/kg SAR",((D$28*0.001)*$B32),IF(D$27="mg/kg DM",(((D$28*0.001)*($B$28/100))*$B32),"0")))))))*2.291</f>
        <v>54.525799999999997</v>
      </c>
      <c r="E32" s="77">
        <f t="shared" ref="E32:E50" si="8">(IF(E$27="%w/w SAR",((E$28*10)*$B32),IF(E$27="%w/w DM",(((E$28*10)*($B$28/100))*$B32),IF(E$27="kg/t SAR",(E$28*$B32),IF(E$27="kg/t DM",((E$28*($B$28/100))*$B32),IF(E$27="mg/kg SAR",((E$28*0.001)*$B32),IF(E$27="mg/kg DM",(((E$28*0.001)*($B$28/100))*$B32),"0")))))))*1.205</f>
        <v>57.767700000000012</v>
      </c>
      <c r="F32" s="77">
        <f t="shared" ref="F32:F50" si="9">(IF(F$27="%w/w SAR",((F$28*10)*$B32),IF(F$27="%w/w DM",(((F$28*10)*($B$28/100))*$B32),IF(F$27="kg/t SAR",(F$28*$B32),IF(F$27="kg/t DM",((F$28*($B$28/100))*$B32),IF(F$27="mg/kg SAR",((F$28*0.001)*$B32),IF(F$27="mg/kg DM",(((F$28*0.001)*($B$28/100))*$B32),"0")))))))*1.658</f>
        <v>9.6959839999999993</v>
      </c>
      <c r="G32" s="77">
        <f t="shared" si="5"/>
        <v>0.27710000000000001</v>
      </c>
      <c r="H32" s="77">
        <f t="shared" si="5"/>
        <v>8.5000000000000006E-2</v>
      </c>
      <c r="I32" s="77">
        <f t="shared" si="5"/>
        <v>8.5000000000000006E-2</v>
      </c>
      <c r="J32" s="77">
        <f t="shared" si="5"/>
        <v>1.7000000000000001E-3</v>
      </c>
      <c r="K32" s="77">
        <f t="shared" si="5"/>
        <v>8.5000000000000006E-3</v>
      </c>
      <c r="L32" s="77">
        <f t="shared" si="5"/>
        <v>3.4000000000000002E-2</v>
      </c>
      <c r="M32" s="77">
        <f t="shared" si="5"/>
        <v>3.4000000000000002E-2</v>
      </c>
      <c r="N32" s="77">
        <f t="shared" si="5"/>
        <v>0</v>
      </c>
      <c r="O32" s="77">
        <f t="shared" si="5"/>
        <v>0</v>
      </c>
      <c r="P32" s="77">
        <f t="shared" si="5"/>
        <v>150.96</v>
      </c>
      <c r="Q32" s="77">
        <f t="shared" ref="Q32:Q50" si="10">(IF(Q$27="%w/w SAR",((Q$28*10)*$B32),IF(Q$27="%w/w DM",(((Q$28*10)*($B$28/100))*$B32),IF(Q$27="kg/t SAR",(Q$28*$B32),IF(Q$27="kg/t DM",((Q$28*($B$28/100))*$B32),IF(Q$27="mg/kg SAR",((Q$28*0.001)*$B32),IF(Q$27="mg/kg DM",(((Q$28*0.001)*($B$28/100))*$B32),0)))))))*2.5</f>
        <v>18.912499999999998</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C3</v>
      </c>
      <c r="B33" s="15">
        <v>170</v>
      </c>
      <c r="C33" s="77">
        <f t="shared" si="6"/>
        <v>68</v>
      </c>
      <c r="D33" s="77">
        <f t="shared" si="7"/>
        <v>54.525799999999997</v>
      </c>
      <c r="E33" s="77">
        <f t="shared" si="8"/>
        <v>57.767700000000012</v>
      </c>
      <c r="F33" s="77">
        <f t="shared" si="9"/>
        <v>9.6959839999999993</v>
      </c>
      <c r="G33" s="77">
        <f t="shared" si="5"/>
        <v>0.27710000000000001</v>
      </c>
      <c r="H33" s="77">
        <f t="shared" si="5"/>
        <v>8.5000000000000006E-2</v>
      </c>
      <c r="I33" s="77">
        <f t="shared" si="5"/>
        <v>8.5000000000000006E-2</v>
      </c>
      <c r="J33" s="77">
        <f t="shared" si="5"/>
        <v>1.7000000000000001E-3</v>
      </c>
      <c r="K33" s="77">
        <f t="shared" si="5"/>
        <v>8.5000000000000006E-3</v>
      </c>
      <c r="L33" s="77">
        <f t="shared" si="5"/>
        <v>3.4000000000000002E-2</v>
      </c>
      <c r="M33" s="77">
        <f t="shared" si="5"/>
        <v>3.4000000000000002E-2</v>
      </c>
      <c r="N33" s="77">
        <f t="shared" si="5"/>
        <v>0</v>
      </c>
      <c r="O33" s="77">
        <f t="shared" si="5"/>
        <v>0</v>
      </c>
      <c r="P33" s="77">
        <f t="shared" si="5"/>
        <v>150.96</v>
      </c>
      <c r="Q33" s="77">
        <f t="shared" si="10"/>
        <v>18.912499999999998</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F1</v>
      </c>
      <c r="B34" s="15">
        <v>170</v>
      </c>
      <c r="C34" s="77">
        <f t="shared" si="6"/>
        <v>68</v>
      </c>
      <c r="D34" s="77">
        <f t="shared" si="7"/>
        <v>54.525799999999997</v>
      </c>
      <c r="E34" s="77">
        <f t="shared" si="8"/>
        <v>57.767700000000012</v>
      </c>
      <c r="F34" s="77">
        <f t="shared" si="9"/>
        <v>9.6959839999999993</v>
      </c>
      <c r="G34" s="77">
        <f t="shared" si="5"/>
        <v>0.27710000000000001</v>
      </c>
      <c r="H34" s="77">
        <f t="shared" si="5"/>
        <v>8.5000000000000006E-2</v>
      </c>
      <c r="I34" s="77">
        <f t="shared" si="5"/>
        <v>8.5000000000000006E-2</v>
      </c>
      <c r="J34" s="77">
        <f t="shared" si="5"/>
        <v>1.7000000000000001E-3</v>
      </c>
      <c r="K34" s="77">
        <f t="shared" si="5"/>
        <v>8.5000000000000006E-3</v>
      </c>
      <c r="L34" s="77">
        <f t="shared" si="5"/>
        <v>3.4000000000000002E-2</v>
      </c>
      <c r="M34" s="77">
        <f t="shared" si="5"/>
        <v>3.4000000000000002E-2</v>
      </c>
      <c r="N34" s="77">
        <f t="shared" si="5"/>
        <v>0</v>
      </c>
      <c r="O34" s="77">
        <f t="shared" si="5"/>
        <v>0</v>
      </c>
      <c r="P34" s="77">
        <f t="shared" si="5"/>
        <v>150.96</v>
      </c>
      <c r="Q34" s="77">
        <f t="shared" si="10"/>
        <v>18.912499999999998</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F2</v>
      </c>
      <c r="B35" s="15">
        <v>170</v>
      </c>
      <c r="C35" s="77">
        <f t="shared" si="6"/>
        <v>68</v>
      </c>
      <c r="D35" s="77">
        <f t="shared" si="7"/>
        <v>54.525799999999997</v>
      </c>
      <c r="E35" s="77">
        <f t="shared" si="8"/>
        <v>57.767700000000012</v>
      </c>
      <c r="F35" s="77">
        <f t="shared" si="9"/>
        <v>9.6959839999999993</v>
      </c>
      <c r="G35" s="77">
        <f t="shared" si="5"/>
        <v>0.27710000000000001</v>
      </c>
      <c r="H35" s="77">
        <f t="shared" si="5"/>
        <v>8.5000000000000006E-2</v>
      </c>
      <c r="I35" s="77">
        <f t="shared" si="5"/>
        <v>8.5000000000000006E-2</v>
      </c>
      <c r="J35" s="77">
        <f t="shared" si="5"/>
        <v>1.7000000000000001E-3</v>
      </c>
      <c r="K35" s="77">
        <f t="shared" si="5"/>
        <v>8.5000000000000006E-3</v>
      </c>
      <c r="L35" s="77">
        <f t="shared" si="5"/>
        <v>3.4000000000000002E-2</v>
      </c>
      <c r="M35" s="77">
        <f t="shared" si="5"/>
        <v>3.4000000000000002E-2</v>
      </c>
      <c r="N35" s="77">
        <f t="shared" si="5"/>
        <v>0</v>
      </c>
      <c r="O35" s="77">
        <f t="shared" si="5"/>
        <v>0</v>
      </c>
      <c r="P35" s="77">
        <f t="shared" si="5"/>
        <v>150.96</v>
      </c>
      <c r="Q35" s="77">
        <f t="shared" si="10"/>
        <v>18.912499999999998</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F9</v>
      </c>
      <c r="B36" s="15">
        <v>170</v>
      </c>
      <c r="C36" s="77">
        <f t="shared" si="6"/>
        <v>68</v>
      </c>
      <c r="D36" s="77">
        <f t="shared" si="7"/>
        <v>54.525799999999997</v>
      </c>
      <c r="E36" s="77">
        <f t="shared" si="8"/>
        <v>57.767700000000012</v>
      </c>
      <c r="F36" s="77">
        <f t="shared" si="9"/>
        <v>9.6959839999999993</v>
      </c>
      <c r="G36" s="77">
        <f t="shared" si="5"/>
        <v>0.27710000000000001</v>
      </c>
      <c r="H36" s="77">
        <f t="shared" si="5"/>
        <v>8.5000000000000006E-2</v>
      </c>
      <c r="I36" s="77">
        <f t="shared" si="5"/>
        <v>8.5000000000000006E-2</v>
      </c>
      <c r="J36" s="77">
        <f t="shared" si="5"/>
        <v>1.7000000000000001E-3</v>
      </c>
      <c r="K36" s="77">
        <f t="shared" si="5"/>
        <v>8.5000000000000006E-3</v>
      </c>
      <c r="L36" s="77">
        <f t="shared" si="5"/>
        <v>3.4000000000000002E-2</v>
      </c>
      <c r="M36" s="77">
        <f t="shared" si="5"/>
        <v>3.4000000000000002E-2</v>
      </c>
      <c r="N36" s="77">
        <f t="shared" si="5"/>
        <v>0</v>
      </c>
      <c r="O36" s="77">
        <f t="shared" si="5"/>
        <v>0</v>
      </c>
      <c r="P36" s="77">
        <f t="shared" si="5"/>
        <v>150.96</v>
      </c>
      <c r="Q36" s="77">
        <f t="shared" si="10"/>
        <v>18.912499999999998</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43</v>
      </c>
      <c r="B37" s="15">
        <v>170</v>
      </c>
      <c r="C37" s="77">
        <f t="shared" si="6"/>
        <v>68</v>
      </c>
      <c r="D37" s="77">
        <f t="shared" si="7"/>
        <v>54.525799999999997</v>
      </c>
      <c r="E37" s="77">
        <f t="shared" si="8"/>
        <v>57.767700000000012</v>
      </c>
      <c r="F37" s="77">
        <f t="shared" si="9"/>
        <v>9.6959839999999993</v>
      </c>
      <c r="G37" s="77">
        <f t="shared" si="5"/>
        <v>0.27710000000000001</v>
      </c>
      <c r="H37" s="77">
        <f t="shared" si="5"/>
        <v>8.5000000000000006E-2</v>
      </c>
      <c r="I37" s="77">
        <f t="shared" si="5"/>
        <v>8.5000000000000006E-2</v>
      </c>
      <c r="J37" s="77">
        <f t="shared" si="5"/>
        <v>1.7000000000000001E-3</v>
      </c>
      <c r="K37" s="77">
        <f t="shared" si="5"/>
        <v>8.5000000000000006E-3</v>
      </c>
      <c r="L37" s="77">
        <f t="shared" si="5"/>
        <v>3.4000000000000002E-2</v>
      </c>
      <c r="M37" s="77">
        <f t="shared" si="5"/>
        <v>3.4000000000000002E-2</v>
      </c>
      <c r="N37" s="77">
        <f t="shared" si="5"/>
        <v>0</v>
      </c>
      <c r="O37" s="77">
        <f t="shared" si="5"/>
        <v>0</v>
      </c>
      <c r="P37" s="77">
        <f t="shared" si="5"/>
        <v>150.96</v>
      </c>
      <c r="Q37" s="77">
        <f t="shared" si="10"/>
        <v>18.912499999999998</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 xml:space="preserve">C1 </v>
      </c>
      <c r="C57" s="8" t="str">
        <f t="shared" ref="C57:U57" si="13">D8</f>
        <v xml:space="preserve">C2 </v>
      </c>
      <c r="D57" s="8" t="str">
        <f t="shared" si="13"/>
        <v>C3</v>
      </c>
      <c r="E57" s="8" t="str">
        <f t="shared" si="13"/>
        <v>F1</v>
      </c>
      <c r="F57" s="8" t="str">
        <f t="shared" si="13"/>
        <v>F2</v>
      </c>
      <c r="G57" s="8" t="str">
        <f t="shared" si="13"/>
        <v>F9</v>
      </c>
      <c r="H57" s="8">
        <f t="shared" si="13"/>
        <v>43</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Arable</v>
      </c>
      <c r="F58" s="13" t="str">
        <f>G16&amp;" I "&amp;(VLOOKUP(G14,Table2458[],6,FALSE))</f>
        <v>Medium/Clay I Arable</v>
      </c>
      <c r="G58" s="13" t="str">
        <f>H16&amp;" I "&amp;(VLOOKUP(H14,Table2458[],6,FALSE))</f>
        <v>Medium/Clay I Arable</v>
      </c>
      <c r="H58" s="13" t="str">
        <f>I16&amp;" I "&amp;(VLOOKUP(I14,Table2458[],6,FALSE))</f>
        <v>Medium/Clay I Arable</v>
      </c>
      <c r="I58" s="13" t="e">
        <f>J16&amp;" I "&amp;(VLOOKUP(J14,Table2458[],6,FALSE))</f>
        <v>#N/A</v>
      </c>
      <c r="J58" s="13" t="e">
        <f>K16&amp;" I "&amp;(VLOOKUP(K14,Table2458[],6,FALSE))</f>
        <v>#N/A</v>
      </c>
      <c r="K58" s="13" t="e">
        <f>L16&amp;" I "&amp;(VLOOKUP(L14,Table2458[],6,FALSE))</f>
        <v>#N/A</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6.2</v>
      </c>
      <c r="C59" s="76">
        <f>VLOOKUP(D$14,Table2458[],5,FALSE)</f>
        <v>6.2</v>
      </c>
      <c r="D59" s="76">
        <f>VLOOKUP(E$14,Table2458[],5,FALSE)</f>
        <v>6.2</v>
      </c>
      <c r="E59" s="76">
        <f>VLOOKUP(F$14,Table2458[],5,FALSE)</f>
        <v>6.7</v>
      </c>
      <c r="F59" s="76">
        <f>VLOOKUP(G$14,Table2458[],5,FALSE)</f>
        <v>6.7</v>
      </c>
      <c r="G59" s="76">
        <f>VLOOKUP(H$14,Table2458[],5,FALSE)</f>
        <v>6.7</v>
      </c>
      <c r="H59" s="76">
        <f>VLOOKUP(I$14,Table2458[],5,FALSE)</f>
        <v>6.7</v>
      </c>
      <c r="I59" s="76" t="e">
        <f>VLOOKUP(J$14,Table2458[],5,FALSE)</f>
        <v>#N/A</v>
      </c>
      <c r="J59" s="76" t="e">
        <f>VLOOKUP(K$14,Table2458[],5,FALSE)</f>
        <v>#N/A</v>
      </c>
      <c r="K59" s="76" t="e">
        <f>VLOOKUP(L$14,Table2458[],5,FALSE)</f>
        <v>#N/A</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6.5</v>
      </c>
      <c r="C60" s="76">
        <f t="shared" ref="C60:U60" si="14">D10</f>
        <v>6.4</v>
      </c>
      <c r="D60" s="76">
        <f t="shared" si="14"/>
        <v>5.7</v>
      </c>
      <c r="E60" s="76">
        <f t="shared" si="14"/>
        <v>6.1</v>
      </c>
      <c r="F60" s="76">
        <f t="shared" si="14"/>
        <v>6.3</v>
      </c>
      <c r="G60" s="76">
        <f t="shared" si="14"/>
        <v>5.9</v>
      </c>
      <c r="H60" s="76">
        <f t="shared" si="14"/>
        <v>5.8</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8</v>
      </c>
      <c r="F61" s="76">
        <f t="shared" si="15"/>
        <v>8</v>
      </c>
      <c r="G61" s="76">
        <f t="shared" si="15"/>
        <v>8</v>
      </c>
      <c r="H61" s="76">
        <f t="shared" si="15"/>
        <v>8</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170</v>
      </c>
      <c r="C62" s="77">
        <f>B32</f>
        <v>170</v>
      </c>
      <c r="D62" s="77">
        <f>B33</f>
        <v>170</v>
      </c>
      <c r="E62" s="77">
        <f>B34</f>
        <v>170</v>
      </c>
      <c r="F62" s="77">
        <f>B35</f>
        <v>170</v>
      </c>
      <c r="G62" s="77">
        <f>B36</f>
        <v>170</v>
      </c>
      <c r="H62" s="77">
        <f>B37</f>
        <v>170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-1.2000000000000011</v>
      </c>
      <c r="D64" s="77">
        <f t="shared" si="17"/>
        <v>3</v>
      </c>
      <c r="E64" s="77">
        <f t="shared" si="17"/>
        <v>4.8000000000000043</v>
      </c>
      <c r="F64" s="77">
        <f t="shared" si="17"/>
        <v>3.2000000000000028</v>
      </c>
      <c r="G64" s="77">
        <f t="shared" si="17"/>
        <v>6.3999999999999986</v>
      </c>
      <c r="H64" s="77">
        <f t="shared" si="17"/>
        <v>7.2000000000000028</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1.2000000000000011</v>
      </c>
      <c r="D65" s="77">
        <f t="shared" si="18"/>
        <v>-3</v>
      </c>
      <c r="E65" s="77">
        <f t="shared" si="18"/>
        <v>-4.8000000000000043</v>
      </c>
      <c r="F65" s="77">
        <f t="shared" si="18"/>
        <v>-3.2000000000000028</v>
      </c>
      <c r="G65" s="77">
        <f t="shared" si="18"/>
        <v>-6.3999999999999986</v>
      </c>
      <c r="H65" s="77">
        <f t="shared" si="18"/>
        <v>-7.2000000000000028</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UNDER</v>
      </c>
      <c r="E66" s="78" t="str">
        <f t="shared" si="19"/>
        <v>UNDER</v>
      </c>
      <c r="F66" s="78" t="str">
        <f t="shared" si="19"/>
        <v>UNDER</v>
      </c>
      <c r="G66" s="78" t="str">
        <f t="shared" si="19"/>
        <v>UNDER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7" priority="37" operator="equal">
      <formula>"DECREASE"</formula>
    </cfRule>
    <cfRule type="cellIs" dxfId="166" priority="38" operator="equal">
      <formula>"INCREASE"</formula>
    </cfRule>
  </conditionalFormatting>
  <conditionalFormatting sqref="B62:U66 B31:B50">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A28" sqref="A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Secanim!C1:D1</f>
        <v>PAN-019730</v>
      </c>
      <c r="D1" s="141"/>
      <c r="E1" s="93" t="s">
        <v>45</v>
      </c>
      <c r="F1" s="39">
        <f>Secanim!F1</f>
        <v>41.5</v>
      </c>
      <c r="G1" s="120" t="s">
        <v>43</v>
      </c>
      <c r="H1" s="121"/>
      <c r="I1" s="118">
        <v>4.0199999999999996</v>
      </c>
      <c r="J1" s="119" t="s">
        <v>153</v>
      </c>
      <c r="K1" s="119"/>
      <c r="L1" s="97">
        <v>50</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Secanim!C2:D2</f>
        <v>EPR-KP3594VE</v>
      </c>
      <c r="D2" s="143"/>
      <c r="E2" s="93" t="s">
        <v>109</v>
      </c>
      <c r="F2" s="96" t="s">
        <v>182</v>
      </c>
      <c r="G2" s="138" t="s">
        <v>110</v>
      </c>
      <c r="H2" s="139"/>
      <c r="I2" s="118">
        <v>299</v>
      </c>
      <c r="J2" s="119" t="s">
        <v>158</v>
      </c>
      <c r="K2" s="119"/>
      <c r="L2" s="97">
        <v>0.32</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Secanim!C3:D3</f>
        <v>Trade effluent services</v>
      </c>
      <c r="D3" s="143"/>
      <c r="E3" s="93" t="s">
        <v>108</v>
      </c>
      <c r="F3" s="31" t="s">
        <v>78</v>
      </c>
      <c r="G3" s="119" t="s">
        <v>159</v>
      </c>
      <c r="H3" s="119"/>
      <c r="I3" s="118">
        <v>200</v>
      </c>
      <c r="J3" s="120" t="s">
        <v>154</v>
      </c>
      <c r="K3" s="121"/>
      <c r="L3" s="97">
        <f>(L1/(L2*10000))*100</f>
        <v>1.5625</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Secanim!C4:D4</f>
        <v xml:space="preserve">Brookhouse farm, Brook house lane, Awowry, Wreham </v>
      </c>
      <c r="D4" s="141"/>
      <c r="E4" s="94" t="s">
        <v>1</v>
      </c>
      <c r="F4" s="96" t="s">
        <v>185</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Secanim!C5:D5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Secanim!C8</f>
        <v xml:space="preserve">C1 </v>
      </c>
      <c r="D8" s="60" t="str">
        <f>Secanim!D8</f>
        <v xml:space="preserve">C2 </v>
      </c>
      <c r="E8" s="60" t="str">
        <f>Secanim!E8</f>
        <v>C3</v>
      </c>
      <c r="F8" s="60" t="str">
        <f>Secanim!F8</f>
        <v>F1</v>
      </c>
      <c r="G8" s="60" t="str">
        <f>Secanim!G8</f>
        <v>F2</v>
      </c>
      <c r="H8" s="60" t="str">
        <f>Secanim!H8</f>
        <v>F9</v>
      </c>
      <c r="I8" s="60">
        <f>Secanim!I8</f>
        <v>43</v>
      </c>
      <c r="J8" s="60">
        <f>Secanim!J8</f>
        <v>0</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Secanim!C9</f>
        <v>Moderate</v>
      </c>
      <c r="D9" s="60" t="str">
        <f>Secanim!D9</f>
        <v>Moderate</v>
      </c>
      <c r="E9" s="60" t="str">
        <f>Secanim!E9</f>
        <v>Moderate</v>
      </c>
      <c r="F9" s="60">
        <f>Secanim!F9</f>
        <v>1</v>
      </c>
      <c r="G9" s="60">
        <f>Secanim!G9</f>
        <v>1</v>
      </c>
      <c r="H9" s="60">
        <f>Secanim!H9</f>
        <v>1</v>
      </c>
      <c r="I9" s="60">
        <f>Secanim!I9</f>
        <v>1</v>
      </c>
      <c r="J9" s="60">
        <f>Secanim!J9</f>
        <v>0</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Secanim!C10</f>
        <v>6.5</v>
      </c>
      <c r="D10" s="60">
        <f>Secanim!D10</f>
        <v>6.4</v>
      </c>
      <c r="E10" s="60">
        <f>Secanim!E10</f>
        <v>5.7</v>
      </c>
      <c r="F10" s="60">
        <f>Secanim!F10</f>
        <v>6.1</v>
      </c>
      <c r="G10" s="60">
        <f>Secanim!G10</f>
        <v>6.3</v>
      </c>
      <c r="H10" s="60">
        <f>Secanim!H10</f>
        <v>5.9</v>
      </c>
      <c r="I10" s="60">
        <f>Secanim!I10</f>
        <v>5.8</v>
      </c>
      <c r="J10" s="60">
        <f>Secanim!J10</f>
        <v>0</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Secanim!C11</f>
        <v>4</v>
      </c>
      <c r="D11" s="60">
        <f>Secanim!D11</f>
        <v>3</v>
      </c>
      <c r="E11" s="60">
        <f>Secanim!E11</f>
        <v>4</v>
      </c>
      <c r="F11" s="60">
        <f>Secanim!F11</f>
        <v>4</v>
      </c>
      <c r="G11" s="60">
        <f>Secanim!G11</f>
        <v>4</v>
      </c>
      <c r="H11" s="60">
        <f>Secanim!H11</f>
        <v>3</v>
      </c>
      <c r="I11" s="60">
        <f>Secanim!I11</f>
        <v>2</v>
      </c>
      <c r="J11" s="60">
        <f>Secanim!J11</f>
        <v>0</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Secanim!C12</f>
        <v>3</v>
      </c>
      <c r="D12" s="60">
        <f>Secanim!D12</f>
        <v>2</v>
      </c>
      <c r="E12" s="60">
        <f>Secanim!E12</f>
        <v>2</v>
      </c>
      <c r="F12" s="60">
        <f>Secanim!F12</f>
        <v>2</v>
      </c>
      <c r="G12" s="60">
        <f>Secanim!G12</f>
        <v>2</v>
      </c>
      <c r="H12" s="60">
        <f>Secanim!H12</f>
        <v>1</v>
      </c>
      <c r="I12" s="60">
        <f>Secanim!I12</f>
        <v>1</v>
      </c>
      <c r="J12" s="60">
        <f>Secanim!J12</f>
        <v>0</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Secanim!C13</f>
        <v>3</v>
      </c>
      <c r="D13" s="60">
        <f>Secanim!D13</f>
        <v>3</v>
      </c>
      <c r="E13" s="60">
        <f>Secanim!E13</f>
        <v>3</v>
      </c>
      <c r="F13" s="60">
        <f>Secanim!F13</f>
        <v>2</v>
      </c>
      <c r="G13" s="60">
        <f>Secanim!G13</f>
        <v>2</v>
      </c>
      <c r="H13" s="60">
        <f>Secanim!H13</f>
        <v>2</v>
      </c>
      <c r="I13" s="60">
        <f>Secanim!I13</f>
        <v>3</v>
      </c>
      <c r="J13" s="60">
        <f>Secanim!J13</f>
        <v>0</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Secanim!C14</f>
        <v xml:space="preserve">Grass Silage (25% DM) </v>
      </c>
      <c r="D14" s="102" t="str">
        <f>Secanim!D14</f>
        <v xml:space="preserve">Grass Silage (25% DM) </v>
      </c>
      <c r="E14" s="102" t="str">
        <f>Secanim!E14</f>
        <v xml:space="preserve">Grass Silage (25% DM) </v>
      </c>
      <c r="F14" s="102" t="str">
        <f>Secanim!F14</f>
        <v>Maize- Silage (30% DM)</v>
      </c>
      <c r="G14" s="102" t="str">
        <f>Secanim!G14</f>
        <v>Maize- Silage (30% DM)</v>
      </c>
      <c r="H14" s="102" t="str">
        <f>Secanim!H14</f>
        <v>Maize- Silage (30% DM)</v>
      </c>
      <c r="I14" s="102" t="str">
        <f>Secanim!I14</f>
        <v>Maize- Silage (30% DM)</v>
      </c>
      <c r="J14" s="102">
        <f>Secanim!J14</f>
        <v>0</v>
      </c>
      <c r="K14" s="102">
        <f>Secanim!K14</f>
        <v>0</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ht="13" x14ac:dyDescent="0.25">
      <c r="A15" s="130" t="s">
        <v>9</v>
      </c>
      <c r="B15" s="130"/>
      <c r="C15" s="60">
        <f>Secanim!C15</f>
        <v>38</v>
      </c>
      <c r="D15" s="60">
        <f>Secanim!D15</f>
        <v>38</v>
      </c>
      <c r="E15" s="60">
        <f>Secanim!E15</f>
        <v>38</v>
      </c>
      <c r="F15" s="60">
        <f>Secanim!F15</f>
        <v>40</v>
      </c>
      <c r="G15" s="60">
        <f>Secanim!G15</f>
        <v>40</v>
      </c>
      <c r="H15" s="60">
        <f>Secanim!H15</f>
        <v>40</v>
      </c>
      <c r="I15" s="60">
        <f>Secanim!I15</f>
        <v>40</v>
      </c>
      <c r="J15" s="60">
        <f>Secanim!J15</f>
        <v>0</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f>Secanim!J16</f>
        <v>0</v>
      </c>
      <c r="K16" s="103">
        <f>Secanim!K16</f>
        <v>0</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56</v>
      </c>
      <c r="G17" s="28">
        <f t="shared" si="0"/>
        <v>56</v>
      </c>
      <c r="H17" s="28">
        <f t="shared" si="0"/>
        <v>56</v>
      </c>
      <c r="I17" s="28">
        <f t="shared" si="0"/>
        <v>56</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54.537254999999995</v>
      </c>
      <c r="D18" s="16">
        <f>$D32</f>
        <v>54.537254999999995</v>
      </c>
      <c r="E18" s="16">
        <f>$D33</f>
        <v>54.537254999999995</v>
      </c>
      <c r="F18" s="16">
        <f>$D34</f>
        <v>54.537254999999995</v>
      </c>
      <c r="G18" s="16">
        <f>$D35</f>
        <v>54.537254999999995</v>
      </c>
      <c r="H18" s="16">
        <f>$D36</f>
        <v>54.537254999999995</v>
      </c>
      <c r="I18" s="16">
        <f>$D37</f>
        <v>54.537254999999995</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-10.062745</v>
      </c>
      <c r="D19" s="16">
        <f t="shared" ref="D19:V19" si="1">D18-D17</f>
        <v>-10.062745</v>
      </c>
      <c r="E19" s="16">
        <f t="shared" si="1"/>
        <v>-10.062745</v>
      </c>
      <c r="F19" s="16">
        <f t="shared" si="1"/>
        <v>-1.4627450000000053</v>
      </c>
      <c r="G19" s="16">
        <f t="shared" si="1"/>
        <v>-1.4627450000000053</v>
      </c>
      <c r="H19" s="16">
        <f t="shared" si="1"/>
        <v>-1.4627450000000053</v>
      </c>
      <c r="I19" s="16">
        <f t="shared" si="1"/>
        <v>-1.4627450000000053</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176</v>
      </c>
      <c r="G21" s="28">
        <f t="shared" si="2"/>
        <v>176</v>
      </c>
      <c r="H21" s="28">
        <f t="shared" si="2"/>
        <v>176</v>
      </c>
      <c r="I21" s="28">
        <f t="shared" si="2"/>
        <v>176</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13.6647</v>
      </c>
      <c r="D22" s="16">
        <f>$E32</f>
        <v>13.6647</v>
      </c>
      <c r="E22" s="16">
        <f>$E33</f>
        <v>13.6647</v>
      </c>
      <c r="F22" s="16">
        <f>$E34</f>
        <v>13.6647</v>
      </c>
      <c r="G22" s="16">
        <f>$E35</f>
        <v>13.6647</v>
      </c>
      <c r="H22" s="16">
        <f>$E36</f>
        <v>13.6647</v>
      </c>
      <c r="I22" s="16">
        <f>$E37</f>
        <v>13.6647</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-214.33529999999999</v>
      </c>
      <c r="D23" s="16">
        <f t="shared" ref="D23:V23" si="3">D22-D21</f>
        <v>-214.33529999999999</v>
      </c>
      <c r="E23" s="16">
        <f t="shared" si="3"/>
        <v>-214.33529999999999</v>
      </c>
      <c r="F23" s="16">
        <f t="shared" si="3"/>
        <v>-162.33529999999999</v>
      </c>
      <c r="G23" s="16">
        <f t="shared" si="3"/>
        <v>-162.33529999999999</v>
      </c>
      <c r="H23" s="16">
        <f t="shared" si="3"/>
        <v>-162.33529999999999</v>
      </c>
      <c r="I23" s="16">
        <f t="shared" si="3"/>
        <v>-162.33529999999999</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5.99</v>
      </c>
      <c r="C28" s="15">
        <v>0.32</v>
      </c>
      <c r="D28" s="15">
        <v>529</v>
      </c>
      <c r="E28" s="15">
        <v>252</v>
      </c>
      <c r="F28" s="15">
        <v>64.5</v>
      </c>
      <c r="G28" s="15">
        <v>1.21</v>
      </c>
      <c r="H28" s="15">
        <v>2.33</v>
      </c>
      <c r="I28" s="15">
        <v>0.5</v>
      </c>
      <c r="J28" s="15">
        <v>0.01</v>
      </c>
      <c r="K28" s="23">
        <v>0.05</v>
      </c>
      <c r="L28" s="15">
        <v>0.2</v>
      </c>
      <c r="M28" s="15">
        <v>0.47</v>
      </c>
      <c r="N28" s="15"/>
      <c r="O28" s="15"/>
      <c r="P28" s="15">
        <v>61.7</v>
      </c>
      <c r="Q28" s="15">
        <v>177</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 xml:space="preserve">C1 </v>
      </c>
      <c r="B31" s="15">
        <v>45</v>
      </c>
      <c r="C31" s="77">
        <f>IF(C$27="%w/w SAR",((C$28*10)*$B31),IF(C$27="%w/w DM",(((C$28*10)*($B$28/100))*$B31),IF(C$27="kg/t SAR",(C$28*$B31),IF(C$27="kg/t DM",((C$28*($B$28/100))*$B31),IF(C$27="mg/kg SAR",((C$28*0.001)*$B31),IF(C$27="mg/kg DM",(((C$28*0.001)*($B$28/100))*$B31),0))))))</f>
        <v>144</v>
      </c>
      <c r="D31" s="77">
        <f>(IF(D$27="%w/w SAR",((D$28*10)*$B31),IF(D$27="%w/w DM",(((D$28*10)*($B$28/100))*$B31),IF(D$27="kg/t SAR",(D$28*$B31),IF(D$27="kg/t DM",((D$28*($B$28/100))*$B31),IF(D$27="mg/kg SAR",((D$28*0.001)*$B31),IF(D$27="mg/kg DM",(((D$28*0.001)*($B$28/100))*$B31),"0")))))))*2.291</f>
        <v>54.537254999999995</v>
      </c>
      <c r="E31" s="77">
        <f>(IF(E$27="%w/w SAR",((E$28*10)*$B31),IF(E$27="%w/w DM",(((E$28*10)*($B$28/100))*$B31),IF(E$27="kg/t SAR",(E$28*$B31),IF(E$27="kg/t DM",((E$28*($B$28/100))*$B31),IF(E$27="mg/kg SAR",((E$28*0.001)*$B31),IF(E$27="mg/kg DM",(((E$28*0.001)*($B$28/100))*$B31),"0")))))))*1.205</f>
        <v>13.6647</v>
      </c>
      <c r="F31" s="77">
        <f>(IF(F$27="%w/w SAR",((F$28*10)*$B31),IF(F$27="%w/w DM",(((F$28*10)*($B$28/100))*$B31),IF(F$27="kg/t SAR",(F$28*$B31),IF(F$27="kg/t DM",((F$28*($B$28/100))*$B31),IF(F$27="mg/kg SAR",((F$28*0.001)*$B31),IF(F$27="mg/kg DM",(((F$28*0.001)*($B$28/100))*$B31),"0")))))))*1.658</f>
        <v>4.8123449999999997</v>
      </c>
      <c r="G31" s="77">
        <f t="shared" ref="G31:P46" si="5">IF(G$27="%w/w SAR",((G$28*10)*$B31),IF(G$27="%w/w DM",(((G$28*10)*($B$28/100))*$B31),IF(G$27="kg/t SAR",(G$28*$B31),IF(G$27="kg/t DM",((G$28*($B$28/100))*$B31),IF(G$27="mg/kg SAR",((G$28*0.001)*$B31),IF(G$27="mg/kg DM",(((G$28*0.001)*($B$28/100))*$B31),0))))))</f>
        <v>5.4449999999999998E-2</v>
      </c>
      <c r="H31" s="77">
        <f t="shared" si="5"/>
        <v>0.10485</v>
      </c>
      <c r="I31" s="77">
        <f t="shared" si="5"/>
        <v>2.2499999999999999E-2</v>
      </c>
      <c r="J31" s="77">
        <f t="shared" si="5"/>
        <v>4.5000000000000004E-4</v>
      </c>
      <c r="K31" s="77">
        <f t="shared" si="5"/>
        <v>2.2500000000000003E-3</v>
      </c>
      <c r="L31" s="77">
        <f t="shared" si="5"/>
        <v>9.0000000000000011E-3</v>
      </c>
      <c r="M31" s="77">
        <f t="shared" si="5"/>
        <v>2.1149999999999999E-2</v>
      </c>
      <c r="N31" s="77">
        <f t="shared" si="5"/>
        <v>0</v>
      </c>
      <c r="O31" s="77">
        <f t="shared" si="5"/>
        <v>0</v>
      </c>
      <c r="P31" s="77">
        <f t="shared" si="5"/>
        <v>2.7765000000000004</v>
      </c>
      <c r="Q31" s="77">
        <f>(IF(Q$27="%w/w SAR",((Q$28*10)*$B31),IF(Q$27="%w/w DM",(((Q$28*10)*($B$28/100))*$B31),IF(Q$27="kg/t SAR",(Q$28*$B31),IF(Q$27="kg/t DM",((Q$28*($B$28/100))*$B31),IF(Q$27="mg/kg SAR",((Q$28*0.001)*$B31),IF(Q$27="mg/kg DM",(((Q$28*0.001)*($B$28/100))*$B31),0)))))))*2.5</f>
        <v>19.912500000000001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C2 </v>
      </c>
      <c r="B32" s="15">
        <v>45</v>
      </c>
      <c r="C32" s="77">
        <f t="shared" ref="C32:C50" si="6">IF(C$27="%w/w SAR",((C$28*10)*$B32),IF(C$27="%w/w DM",(((C$28*10)*($B$28/100))*$B32),IF(C$27="kg/t SAR",(C$28*$B32),IF(C$27="kg/t DM",((C$28*($B$28/100))*$B32),IF(C$27="mg/kg SAR",((C$28*0.001)*$B32),IF(C$27="mg/kg DM",(((C$28*0.001)*($B$28/100))*$B32),0))))))</f>
        <v>144</v>
      </c>
      <c r="D32" s="77">
        <f t="shared" ref="D32:D50" si="7">(IF(D$27="%w/w SAR",((D$28*10)*$B32),IF(D$27="%w/w DM",(((D$28*10)*($B$28/100))*$B32),IF(D$27="kg/t SAR",(D$28*$B32),IF(D$27="kg/t DM",((D$28*($B$28/100))*$B32),IF(D$27="mg/kg SAR",((D$28*0.001)*$B32),IF(D$27="mg/kg DM",(((D$28*0.001)*($B$28/100))*$B32),"0")))))))*2.291</f>
        <v>54.537254999999995</v>
      </c>
      <c r="E32" s="77">
        <f t="shared" ref="E32:E50" si="8">(IF(E$27="%w/w SAR",((E$28*10)*$B32),IF(E$27="%w/w DM",(((E$28*10)*($B$28/100))*$B32),IF(E$27="kg/t SAR",(E$28*$B32),IF(E$27="kg/t DM",((E$28*($B$28/100))*$B32),IF(E$27="mg/kg SAR",((E$28*0.001)*$B32),IF(E$27="mg/kg DM",(((E$28*0.001)*($B$28/100))*$B32),"0")))))))*1.205</f>
        <v>13.6647</v>
      </c>
      <c r="F32" s="77">
        <f t="shared" ref="F32:F50" si="9">(IF(F$27="%w/w SAR",((F$28*10)*$B32),IF(F$27="%w/w DM",(((F$28*10)*($B$28/100))*$B32),IF(F$27="kg/t SAR",(F$28*$B32),IF(F$27="kg/t DM",((F$28*($B$28/100))*$B32),IF(F$27="mg/kg SAR",((F$28*0.001)*$B32),IF(F$27="mg/kg DM",(((F$28*0.001)*($B$28/100))*$B32),"0")))))))*1.658</f>
        <v>4.8123449999999997</v>
      </c>
      <c r="G32" s="77">
        <f t="shared" si="5"/>
        <v>5.4449999999999998E-2</v>
      </c>
      <c r="H32" s="77">
        <f t="shared" si="5"/>
        <v>0.10485</v>
      </c>
      <c r="I32" s="77">
        <f t="shared" si="5"/>
        <v>2.2499999999999999E-2</v>
      </c>
      <c r="J32" s="77">
        <f t="shared" si="5"/>
        <v>4.5000000000000004E-4</v>
      </c>
      <c r="K32" s="77">
        <f t="shared" si="5"/>
        <v>2.2500000000000003E-3</v>
      </c>
      <c r="L32" s="77">
        <f t="shared" si="5"/>
        <v>9.0000000000000011E-3</v>
      </c>
      <c r="M32" s="77">
        <f t="shared" si="5"/>
        <v>2.1149999999999999E-2</v>
      </c>
      <c r="N32" s="77">
        <f t="shared" si="5"/>
        <v>0</v>
      </c>
      <c r="O32" s="77">
        <f t="shared" si="5"/>
        <v>0</v>
      </c>
      <c r="P32" s="77">
        <f t="shared" si="5"/>
        <v>2.7765000000000004</v>
      </c>
      <c r="Q32" s="77">
        <f t="shared" ref="Q32:Q50" si="10">(IF(Q$27="%w/w SAR",((Q$28*10)*$B32),IF(Q$27="%w/w DM",(((Q$28*10)*($B$28/100))*$B32),IF(Q$27="kg/t SAR",(Q$28*$B32),IF(Q$27="kg/t DM",((Q$28*($B$28/100))*$B32),IF(Q$27="mg/kg SAR",((Q$28*0.001)*$B32),IF(Q$27="mg/kg DM",(((Q$28*0.001)*($B$28/100))*$B32),0)))))))*2.5</f>
        <v>19.912500000000001</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C3</v>
      </c>
      <c r="B33" s="15">
        <v>45</v>
      </c>
      <c r="C33" s="77">
        <f t="shared" si="6"/>
        <v>144</v>
      </c>
      <c r="D33" s="77">
        <f t="shared" si="7"/>
        <v>54.537254999999995</v>
      </c>
      <c r="E33" s="77">
        <f t="shared" si="8"/>
        <v>13.6647</v>
      </c>
      <c r="F33" s="77">
        <f t="shared" si="9"/>
        <v>4.8123449999999997</v>
      </c>
      <c r="G33" s="77">
        <f t="shared" si="5"/>
        <v>5.4449999999999998E-2</v>
      </c>
      <c r="H33" s="77">
        <f t="shared" si="5"/>
        <v>0.10485</v>
      </c>
      <c r="I33" s="77">
        <f t="shared" si="5"/>
        <v>2.2499999999999999E-2</v>
      </c>
      <c r="J33" s="77">
        <f t="shared" si="5"/>
        <v>4.5000000000000004E-4</v>
      </c>
      <c r="K33" s="77">
        <f t="shared" si="5"/>
        <v>2.2500000000000003E-3</v>
      </c>
      <c r="L33" s="77">
        <f t="shared" si="5"/>
        <v>9.0000000000000011E-3</v>
      </c>
      <c r="M33" s="77">
        <f t="shared" si="5"/>
        <v>2.1149999999999999E-2</v>
      </c>
      <c r="N33" s="77">
        <f t="shared" si="5"/>
        <v>0</v>
      </c>
      <c r="O33" s="77">
        <f t="shared" si="5"/>
        <v>0</v>
      </c>
      <c r="P33" s="77">
        <f t="shared" si="5"/>
        <v>2.7765000000000004</v>
      </c>
      <c r="Q33" s="77">
        <f t="shared" si="10"/>
        <v>19.912500000000001</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F1</v>
      </c>
      <c r="B34" s="15">
        <v>45</v>
      </c>
      <c r="C34" s="77">
        <f t="shared" si="6"/>
        <v>144</v>
      </c>
      <c r="D34" s="77">
        <f t="shared" si="7"/>
        <v>54.537254999999995</v>
      </c>
      <c r="E34" s="77">
        <f t="shared" si="8"/>
        <v>13.6647</v>
      </c>
      <c r="F34" s="77">
        <f t="shared" si="9"/>
        <v>4.8123449999999997</v>
      </c>
      <c r="G34" s="77">
        <f t="shared" si="5"/>
        <v>5.4449999999999998E-2</v>
      </c>
      <c r="H34" s="77">
        <f t="shared" si="5"/>
        <v>0.10485</v>
      </c>
      <c r="I34" s="77">
        <f t="shared" si="5"/>
        <v>2.2499999999999999E-2</v>
      </c>
      <c r="J34" s="77">
        <f t="shared" si="5"/>
        <v>4.5000000000000004E-4</v>
      </c>
      <c r="K34" s="77">
        <f t="shared" si="5"/>
        <v>2.2500000000000003E-3</v>
      </c>
      <c r="L34" s="77">
        <f t="shared" si="5"/>
        <v>9.0000000000000011E-3</v>
      </c>
      <c r="M34" s="77">
        <f t="shared" si="5"/>
        <v>2.1149999999999999E-2</v>
      </c>
      <c r="N34" s="77">
        <f t="shared" si="5"/>
        <v>0</v>
      </c>
      <c r="O34" s="77">
        <f t="shared" si="5"/>
        <v>0</v>
      </c>
      <c r="P34" s="77">
        <f t="shared" si="5"/>
        <v>2.7765000000000004</v>
      </c>
      <c r="Q34" s="77">
        <f t="shared" si="10"/>
        <v>19.912500000000001</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F2</v>
      </c>
      <c r="B35" s="15">
        <v>45</v>
      </c>
      <c r="C35" s="77">
        <f t="shared" si="6"/>
        <v>144</v>
      </c>
      <c r="D35" s="77">
        <f t="shared" si="7"/>
        <v>54.537254999999995</v>
      </c>
      <c r="E35" s="77">
        <f t="shared" si="8"/>
        <v>13.6647</v>
      </c>
      <c r="F35" s="77">
        <f t="shared" si="9"/>
        <v>4.8123449999999997</v>
      </c>
      <c r="G35" s="77">
        <f t="shared" si="5"/>
        <v>5.4449999999999998E-2</v>
      </c>
      <c r="H35" s="77">
        <f t="shared" si="5"/>
        <v>0.10485</v>
      </c>
      <c r="I35" s="77">
        <f t="shared" si="5"/>
        <v>2.2499999999999999E-2</v>
      </c>
      <c r="J35" s="77">
        <f t="shared" si="5"/>
        <v>4.5000000000000004E-4</v>
      </c>
      <c r="K35" s="77">
        <f t="shared" si="5"/>
        <v>2.2500000000000003E-3</v>
      </c>
      <c r="L35" s="77">
        <f t="shared" si="5"/>
        <v>9.0000000000000011E-3</v>
      </c>
      <c r="M35" s="77">
        <f t="shared" si="5"/>
        <v>2.1149999999999999E-2</v>
      </c>
      <c r="N35" s="77">
        <f t="shared" si="5"/>
        <v>0</v>
      </c>
      <c r="O35" s="77">
        <f t="shared" si="5"/>
        <v>0</v>
      </c>
      <c r="P35" s="77">
        <f t="shared" si="5"/>
        <v>2.7765000000000004</v>
      </c>
      <c r="Q35" s="77">
        <f t="shared" si="10"/>
        <v>19.912500000000001</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F9</v>
      </c>
      <c r="B36" s="15">
        <v>45</v>
      </c>
      <c r="C36" s="77">
        <f t="shared" si="6"/>
        <v>144</v>
      </c>
      <c r="D36" s="77">
        <f t="shared" si="7"/>
        <v>54.537254999999995</v>
      </c>
      <c r="E36" s="77">
        <f t="shared" si="8"/>
        <v>13.6647</v>
      </c>
      <c r="F36" s="77">
        <f t="shared" si="9"/>
        <v>4.8123449999999997</v>
      </c>
      <c r="G36" s="77">
        <f t="shared" si="5"/>
        <v>5.4449999999999998E-2</v>
      </c>
      <c r="H36" s="77">
        <f t="shared" si="5"/>
        <v>0.10485</v>
      </c>
      <c r="I36" s="77">
        <f t="shared" si="5"/>
        <v>2.2499999999999999E-2</v>
      </c>
      <c r="J36" s="77">
        <f t="shared" si="5"/>
        <v>4.5000000000000004E-4</v>
      </c>
      <c r="K36" s="77">
        <f t="shared" si="5"/>
        <v>2.2500000000000003E-3</v>
      </c>
      <c r="L36" s="77">
        <f t="shared" si="5"/>
        <v>9.0000000000000011E-3</v>
      </c>
      <c r="M36" s="77">
        <f t="shared" si="5"/>
        <v>2.1149999999999999E-2</v>
      </c>
      <c r="N36" s="77">
        <f t="shared" si="5"/>
        <v>0</v>
      </c>
      <c r="O36" s="77">
        <f t="shared" si="5"/>
        <v>0</v>
      </c>
      <c r="P36" s="77">
        <f t="shared" si="5"/>
        <v>2.7765000000000004</v>
      </c>
      <c r="Q36" s="77">
        <f t="shared" si="10"/>
        <v>19.912500000000001</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43</v>
      </c>
      <c r="B37" s="15">
        <v>45</v>
      </c>
      <c r="C37" s="77">
        <f t="shared" si="6"/>
        <v>144</v>
      </c>
      <c r="D37" s="77">
        <f t="shared" si="7"/>
        <v>54.537254999999995</v>
      </c>
      <c r="E37" s="77">
        <f t="shared" si="8"/>
        <v>13.6647</v>
      </c>
      <c r="F37" s="77">
        <f t="shared" si="9"/>
        <v>4.8123449999999997</v>
      </c>
      <c r="G37" s="77">
        <f t="shared" si="5"/>
        <v>5.4449999999999998E-2</v>
      </c>
      <c r="H37" s="77">
        <f t="shared" si="5"/>
        <v>0.10485</v>
      </c>
      <c r="I37" s="77">
        <f t="shared" si="5"/>
        <v>2.2499999999999999E-2</v>
      </c>
      <c r="J37" s="77">
        <f t="shared" si="5"/>
        <v>4.5000000000000004E-4</v>
      </c>
      <c r="K37" s="77">
        <f t="shared" si="5"/>
        <v>2.2500000000000003E-3</v>
      </c>
      <c r="L37" s="77">
        <f t="shared" si="5"/>
        <v>9.0000000000000011E-3</v>
      </c>
      <c r="M37" s="77">
        <f t="shared" si="5"/>
        <v>2.1149999999999999E-2</v>
      </c>
      <c r="N37" s="77">
        <f t="shared" si="5"/>
        <v>0</v>
      </c>
      <c r="O37" s="77">
        <f t="shared" si="5"/>
        <v>0</v>
      </c>
      <c r="P37" s="77">
        <f t="shared" si="5"/>
        <v>2.7765000000000004</v>
      </c>
      <c r="Q37" s="77">
        <f t="shared" si="10"/>
        <v>19.912500000000001</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 xml:space="preserve">C1 </v>
      </c>
      <c r="C57" s="8" t="str">
        <f t="shared" ref="C57:U57" si="13">D8</f>
        <v xml:space="preserve">C2 </v>
      </c>
      <c r="D57" s="8" t="str">
        <f t="shared" si="13"/>
        <v>C3</v>
      </c>
      <c r="E57" s="8" t="str">
        <f t="shared" si="13"/>
        <v>F1</v>
      </c>
      <c r="F57" s="8" t="str">
        <f t="shared" si="13"/>
        <v>F2</v>
      </c>
      <c r="G57" s="8" t="str">
        <f t="shared" si="13"/>
        <v>F9</v>
      </c>
      <c r="H57" s="8">
        <f t="shared" si="13"/>
        <v>43</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Arable</v>
      </c>
      <c r="F58" s="13" t="str">
        <f>G16&amp;" I "&amp;(VLOOKUP(G14,Table24581113[],6,FALSE))</f>
        <v>Medium/Clay I Arable</v>
      </c>
      <c r="G58" s="13" t="str">
        <f>H16&amp;" I "&amp;(VLOOKUP(H14,Table24581113[],6,FALSE))</f>
        <v>Medium/Clay I Arable</v>
      </c>
      <c r="H58" s="13" t="str">
        <f>I16&amp;" I "&amp;(VLOOKUP(I14,Table24581113[],6,FALSE))</f>
        <v>Medium/Clay I Arable</v>
      </c>
      <c r="I58" s="13" t="e">
        <f>J16&amp;" I "&amp;(VLOOKUP(J14,Table24581113[],6,FALSE))</f>
        <v>#N/A</v>
      </c>
      <c r="J58" s="13" t="e">
        <f>K16&amp;" I "&amp;(VLOOKUP(K14,Table24581113[],6,FALSE))</f>
        <v>#N/A</v>
      </c>
      <c r="K58" s="13" t="e">
        <f>L16&amp;" I "&amp;(VLOOKUP(L14,Table24581113[],6,FALSE))</f>
        <v>#N/A</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f>VLOOKUP(C$14,Table24581113[],5,FALSE)</f>
        <v>6.2</v>
      </c>
      <c r="C59" s="76">
        <f>VLOOKUP(D$14,Table24581113[],5,FALSE)</f>
        <v>6.2</v>
      </c>
      <c r="D59" s="76">
        <f>VLOOKUP(E$14,Table24581113[],5,FALSE)</f>
        <v>6.2</v>
      </c>
      <c r="E59" s="76">
        <f>VLOOKUP(F$14,Table24581113[],5,FALSE)</f>
        <v>6.7</v>
      </c>
      <c r="F59" s="76">
        <f>VLOOKUP(G$14,Table24581113[],5,FALSE)</f>
        <v>6.7</v>
      </c>
      <c r="G59" s="76">
        <f>VLOOKUP(H$14,Table24581113[],5,FALSE)</f>
        <v>6.7</v>
      </c>
      <c r="H59" s="76">
        <f>VLOOKUP(I$14,Table24581113[],5,FALSE)</f>
        <v>6.7</v>
      </c>
      <c r="I59" s="76" t="e">
        <f>VLOOKUP(J$14,Table24581113[],5,FALSE)</f>
        <v>#N/A</v>
      </c>
      <c r="J59" s="76" t="e">
        <f>VLOOKUP(K$14,Table24581113[],5,FALSE)</f>
        <v>#N/A</v>
      </c>
      <c r="K59" s="76" t="e">
        <f>VLOOKUP(L$14,Table24581113[],5,FALSE)</f>
        <v>#N/A</v>
      </c>
      <c r="L59" s="76" t="e">
        <f>VLOOKUP(M$14,Table24581113[],5,FALSE)</f>
        <v>#N/A</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6.5</v>
      </c>
      <c r="C60" s="76">
        <f t="shared" ref="C60:U60" si="14">D10</f>
        <v>6.4</v>
      </c>
      <c r="D60" s="76">
        <f t="shared" si="14"/>
        <v>5.7</v>
      </c>
      <c r="E60" s="76">
        <f t="shared" si="14"/>
        <v>6.1</v>
      </c>
      <c r="F60" s="76">
        <f t="shared" si="14"/>
        <v>6.3</v>
      </c>
      <c r="G60" s="76">
        <f t="shared" si="14"/>
        <v>5.9</v>
      </c>
      <c r="H60" s="76">
        <f t="shared" si="14"/>
        <v>5.8</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8</v>
      </c>
      <c r="F61" s="76">
        <f t="shared" si="15"/>
        <v>8</v>
      </c>
      <c r="G61" s="76">
        <f t="shared" si="15"/>
        <v>8</v>
      </c>
      <c r="H61" s="76">
        <f t="shared" si="15"/>
        <v>8</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45</v>
      </c>
      <c r="C62" s="77">
        <f>B32</f>
        <v>45</v>
      </c>
      <c r="D62" s="77">
        <f>B33</f>
        <v>45</v>
      </c>
      <c r="E62" s="77">
        <f>B34</f>
        <v>45</v>
      </c>
      <c r="F62" s="77">
        <f>B35</f>
        <v>45</v>
      </c>
      <c r="G62" s="77">
        <f>B36</f>
        <v>45</v>
      </c>
      <c r="H62" s="77">
        <f>B37</f>
        <v>45</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-1.2000000000000011</v>
      </c>
      <c r="D64" s="77">
        <f t="shared" si="17"/>
        <v>3</v>
      </c>
      <c r="E64" s="77">
        <f t="shared" si="17"/>
        <v>4.8000000000000043</v>
      </c>
      <c r="F64" s="77">
        <f t="shared" si="17"/>
        <v>3.2000000000000028</v>
      </c>
      <c r="G64" s="77">
        <f t="shared" si="17"/>
        <v>6.3999999999999986</v>
      </c>
      <c r="H64" s="77">
        <f t="shared" si="17"/>
        <v>7.2000000000000028</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1.2000000000000011</v>
      </c>
      <c r="D65" s="77">
        <f t="shared" si="18"/>
        <v>-3</v>
      </c>
      <c r="E65" s="77">
        <f t="shared" si="18"/>
        <v>-4.8000000000000043</v>
      </c>
      <c r="F65" s="77">
        <f t="shared" si="18"/>
        <v>-3.2000000000000028</v>
      </c>
      <c r="G65" s="77">
        <f t="shared" si="18"/>
        <v>-6.3999999999999986</v>
      </c>
      <c r="H65" s="77">
        <f t="shared" si="18"/>
        <v>-7.2000000000000028</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UNDER</v>
      </c>
      <c r="E66" s="78" t="str">
        <f t="shared" si="19"/>
        <v>UNDER</v>
      </c>
      <c r="F66" s="78" t="str">
        <f t="shared" si="19"/>
        <v>UNDER</v>
      </c>
      <c r="G66" s="78" t="str">
        <f t="shared" si="19"/>
        <v>UNDER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7" operator="equal">
      <formula>"DECREASE"</formula>
    </cfRule>
    <cfRule type="cellIs" dxfId="124" priority="38" operator="equal">
      <formula>"INCREASE"</formula>
    </cfRule>
  </conditionalFormatting>
  <conditionalFormatting sqref="B62:U66 B31:B50">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A28" sqref="A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Secanim!C1:D1</f>
        <v>PAN-019730</v>
      </c>
      <c r="D1" s="141"/>
      <c r="E1" s="93" t="s">
        <v>45</v>
      </c>
      <c r="F1" s="39">
        <f>Secanim!F1</f>
        <v>41.5</v>
      </c>
      <c r="G1" s="120" t="s">
        <v>43</v>
      </c>
      <c r="H1" s="121"/>
      <c r="I1" s="118">
        <v>3.82</v>
      </c>
      <c r="J1" s="119" t="s">
        <v>153</v>
      </c>
      <c r="K1" s="119"/>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Secanim!C2:D2</f>
        <v>EPR-KP3594VE</v>
      </c>
      <c r="D2" s="143"/>
      <c r="E2" s="93" t="s">
        <v>109</v>
      </c>
      <c r="F2" s="96" t="s">
        <v>176</v>
      </c>
      <c r="G2" s="138" t="s">
        <v>110</v>
      </c>
      <c r="H2" s="139"/>
      <c r="I2" s="118">
        <v>598</v>
      </c>
      <c r="J2" s="119" t="s">
        <v>158</v>
      </c>
      <c r="K2" s="119"/>
      <c r="L2" s="97">
        <v>0.17</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Secanim!C3:D3</f>
        <v>Trade effluent services</v>
      </c>
      <c r="D3" s="143"/>
      <c r="E3" s="93" t="s">
        <v>108</v>
      </c>
      <c r="F3" s="31" t="s">
        <v>78</v>
      </c>
      <c r="G3" s="119" t="s">
        <v>159</v>
      </c>
      <c r="H3" s="119"/>
      <c r="I3" s="118">
        <v>31020</v>
      </c>
      <c r="J3" s="120" t="s">
        <v>154</v>
      </c>
      <c r="K3" s="121"/>
      <c r="L3" s="97">
        <f>(L1/(L2*10000))*100</f>
        <v>1.4705882352941175</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Secanim!C4:D4</f>
        <v xml:space="preserve">Brookhouse farm, Brook house lane, Awowry, Wreham </v>
      </c>
      <c r="D4" s="141"/>
      <c r="E4" s="94" t="s">
        <v>1</v>
      </c>
      <c r="F4" s="96" t="s">
        <v>183</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Secanim!C5:D5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Secanim!C8</f>
        <v xml:space="preserve">C1 </v>
      </c>
      <c r="D8" s="60" t="str">
        <f>Secanim!D8</f>
        <v xml:space="preserve">C2 </v>
      </c>
      <c r="E8" s="60" t="str">
        <f>Secanim!E8</f>
        <v>C3</v>
      </c>
      <c r="F8" s="60" t="str">
        <f>Secanim!F8</f>
        <v>F1</v>
      </c>
      <c r="G8" s="60" t="str">
        <f>Secanim!G8</f>
        <v>F2</v>
      </c>
      <c r="H8" s="60" t="str">
        <f>Secanim!H8</f>
        <v>F9</v>
      </c>
      <c r="I8" s="60">
        <f>Secanim!I8</f>
        <v>43</v>
      </c>
      <c r="J8" s="60">
        <f>Secanim!J8</f>
        <v>0</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Secanim!C9</f>
        <v>Moderate</v>
      </c>
      <c r="D9" s="60" t="str">
        <f>Secanim!D9</f>
        <v>Moderate</v>
      </c>
      <c r="E9" s="60" t="str">
        <f>Secanim!E9</f>
        <v>Moderate</v>
      </c>
      <c r="F9" s="60">
        <f>Secanim!F9</f>
        <v>1</v>
      </c>
      <c r="G9" s="60">
        <f>Secanim!G9</f>
        <v>1</v>
      </c>
      <c r="H9" s="60">
        <f>Secanim!H9</f>
        <v>1</v>
      </c>
      <c r="I9" s="60">
        <f>Secanim!I9</f>
        <v>1</v>
      </c>
      <c r="J9" s="60">
        <f>Secanim!J9</f>
        <v>0</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Secanim!C10</f>
        <v>6.5</v>
      </c>
      <c r="D10" s="60">
        <f>Secanim!D10</f>
        <v>6.4</v>
      </c>
      <c r="E10" s="60">
        <f>Secanim!E10</f>
        <v>5.7</v>
      </c>
      <c r="F10" s="60">
        <f>Secanim!F10</f>
        <v>6.1</v>
      </c>
      <c r="G10" s="60">
        <f>Secanim!G10</f>
        <v>6.3</v>
      </c>
      <c r="H10" s="60">
        <f>Secanim!H10</f>
        <v>5.9</v>
      </c>
      <c r="I10" s="60">
        <f>Secanim!I10</f>
        <v>5.8</v>
      </c>
      <c r="J10" s="60">
        <f>Secanim!J10</f>
        <v>0</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Secanim!C11</f>
        <v>4</v>
      </c>
      <c r="D11" s="60">
        <f>Secanim!D11</f>
        <v>3</v>
      </c>
      <c r="E11" s="60">
        <f>Secanim!E11</f>
        <v>4</v>
      </c>
      <c r="F11" s="60">
        <f>Secanim!F11</f>
        <v>4</v>
      </c>
      <c r="G11" s="60">
        <f>Secanim!G11</f>
        <v>4</v>
      </c>
      <c r="H11" s="60">
        <f>Secanim!H11</f>
        <v>3</v>
      </c>
      <c r="I11" s="60">
        <f>Secanim!I11</f>
        <v>2</v>
      </c>
      <c r="J11" s="60">
        <f>Secanim!J11</f>
        <v>0</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Secanim!C12</f>
        <v>3</v>
      </c>
      <c r="D12" s="60">
        <f>Secanim!D12</f>
        <v>2</v>
      </c>
      <c r="E12" s="60">
        <f>Secanim!E12</f>
        <v>2</v>
      </c>
      <c r="F12" s="60">
        <f>Secanim!F12</f>
        <v>2</v>
      </c>
      <c r="G12" s="60">
        <f>Secanim!G12</f>
        <v>2</v>
      </c>
      <c r="H12" s="60">
        <f>Secanim!H12</f>
        <v>1</v>
      </c>
      <c r="I12" s="60">
        <f>Secanim!I12</f>
        <v>1</v>
      </c>
      <c r="J12" s="60">
        <f>Secanim!J12</f>
        <v>0</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Secanim!C13</f>
        <v>3</v>
      </c>
      <c r="D13" s="60">
        <f>Secanim!D13</f>
        <v>3</v>
      </c>
      <c r="E13" s="60">
        <f>Secanim!E13</f>
        <v>3</v>
      </c>
      <c r="F13" s="60">
        <f>Secanim!F13</f>
        <v>2</v>
      </c>
      <c r="G13" s="60">
        <f>Secanim!G13</f>
        <v>2</v>
      </c>
      <c r="H13" s="60">
        <f>Secanim!H13</f>
        <v>2</v>
      </c>
      <c r="I13" s="60">
        <f>Secanim!I13</f>
        <v>3</v>
      </c>
      <c r="J13" s="60">
        <f>Secanim!J13</f>
        <v>0</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Secanim!C14</f>
        <v xml:space="preserve">Grass Silage (25% DM) </v>
      </c>
      <c r="D14" s="102" t="str">
        <f>Secanim!D14</f>
        <v xml:space="preserve">Grass Silage (25% DM) </v>
      </c>
      <c r="E14" s="102" t="str">
        <f>Secanim!E14</f>
        <v xml:space="preserve">Grass Silage (25% DM) </v>
      </c>
      <c r="F14" s="102" t="str">
        <f>Secanim!F14</f>
        <v>Maize- Silage (30% DM)</v>
      </c>
      <c r="G14" s="102" t="str">
        <f>Secanim!G14</f>
        <v>Maize- Silage (30% DM)</v>
      </c>
      <c r="H14" s="102" t="str">
        <f>Secanim!H14</f>
        <v>Maize- Silage (30% DM)</v>
      </c>
      <c r="I14" s="102" t="str">
        <f>Secanim!I14</f>
        <v>Maize- Silage (30% DM)</v>
      </c>
      <c r="J14" s="102">
        <f>Secanim!J14</f>
        <v>0</v>
      </c>
      <c r="K14" s="102">
        <f>Secanim!K14</f>
        <v>0</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ht="13" x14ac:dyDescent="0.25">
      <c r="A15" s="130" t="s">
        <v>9</v>
      </c>
      <c r="B15" s="130"/>
      <c r="C15" s="60">
        <f>Secanim!C15</f>
        <v>38</v>
      </c>
      <c r="D15" s="60">
        <f>Secanim!D15</f>
        <v>38</v>
      </c>
      <c r="E15" s="60">
        <f>Secanim!E15</f>
        <v>38</v>
      </c>
      <c r="F15" s="60">
        <f>Secanim!F15</f>
        <v>40</v>
      </c>
      <c r="G15" s="60">
        <f>Secanim!G15</f>
        <v>40</v>
      </c>
      <c r="H15" s="60">
        <f>Secanim!H15</f>
        <v>40</v>
      </c>
      <c r="I15" s="60">
        <f>Secanim!I15</f>
        <v>40</v>
      </c>
      <c r="J15" s="60">
        <f>Secanim!J15</f>
        <v>0</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f>Secanim!J16</f>
        <v>0</v>
      </c>
      <c r="K16" s="103">
        <f>Secanim!K16</f>
        <v>0</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56</v>
      </c>
      <c r="G17" s="28">
        <f t="shared" si="0"/>
        <v>56</v>
      </c>
      <c r="H17" s="28">
        <f t="shared" si="0"/>
        <v>56</v>
      </c>
      <c r="I17" s="28">
        <f t="shared" si="0"/>
        <v>56</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115.12275</v>
      </c>
      <c r="D18" s="16">
        <f>$D32</f>
        <v>115.12275</v>
      </c>
      <c r="E18" s="16">
        <f>$D33</f>
        <v>115.12275</v>
      </c>
      <c r="F18" s="16">
        <f>$D34</f>
        <v>115.12275</v>
      </c>
      <c r="G18" s="16">
        <f>$D35</f>
        <v>115.12275</v>
      </c>
      <c r="H18" s="16">
        <f>$D36</f>
        <v>115.12275</v>
      </c>
      <c r="I18" s="16">
        <f>$D37</f>
        <v>115.12275</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50.522750000000002</v>
      </c>
      <c r="D19" s="16">
        <f t="shared" ref="D19:V19" si="1">D18-D17</f>
        <v>50.522750000000002</v>
      </c>
      <c r="E19" s="16">
        <f t="shared" si="1"/>
        <v>50.522750000000002</v>
      </c>
      <c r="F19" s="16">
        <f t="shared" si="1"/>
        <v>59.122749999999996</v>
      </c>
      <c r="G19" s="16">
        <f t="shared" si="1"/>
        <v>59.122749999999996</v>
      </c>
      <c r="H19" s="16">
        <f t="shared" si="1"/>
        <v>59.122749999999996</v>
      </c>
      <c r="I19" s="16">
        <f t="shared" si="1"/>
        <v>59.122749999999996</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176</v>
      </c>
      <c r="G21" s="28">
        <f t="shared" si="2"/>
        <v>176</v>
      </c>
      <c r="H21" s="28">
        <f t="shared" si="2"/>
        <v>176</v>
      </c>
      <c r="I21" s="28">
        <f t="shared" si="2"/>
        <v>176</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62.057500000000012</v>
      </c>
      <c r="D22" s="16">
        <f>$E32</f>
        <v>62.057500000000012</v>
      </c>
      <c r="E22" s="16">
        <f>$E33</f>
        <v>62.057500000000012</v>
      </c>
      <c r="F22" s="16">
        <f>$E34</f>
        <v>62.057500000000012</v>
      </c>
      <c r="G22" s="16">
        <f>$E35</f>
        <v>62.057500000000012</v>
      </c>
      <c r="H22" s="16">
        <f>$E36</f>
        <v>62.057500000000012</v>
      </c>
      <c r="I22" s="16">
        <f>$E37</f>
        <v>62.057500000000012</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-165.9425</v>
      </c>
      <c r="D23" s="16">
        <f t="shared" ref="D23:V23" si="3">D22-D21</f>
        <v>-165.9425</v>
      </c>
      <c r="E23" s="16">
        <f t="shared" si="3"/>
        <v>-165.9425</v>
      </c>
      <c r="F23" s="16">
        <f t="shared" si="3"/>
        <v>-113.9425</v>
      </c>
      <c r="G23" s="16">
        <f t="shared" si="3"/>
        <v>-113.9425</v>
      </c>
      <c r="H23" s="16">
        <f t="shared" si="3"/>
        <v>-113.9425</v>
      </c>
      <c r="I23" s="16">
        <f t="shared" si="3"/>
        <v>-113.9425</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7.29</v>
      </c>
      <c r="C28" s="15">
        <v>0.17</v>
      </c>
      <c r="D28" s="15">
        <v>201</v>
      </c>
      <c r="E28" s="15">
        <v>206</v>
      </c>
      <c r="F28" s="15">
        <v>52.5</v>
      </c>
      <c r="G28" s="15">
        <v>0.35499999999999998</v>
      </c>
      <c r="H28" s="15">
        <v>2.33</v>
      </c>
      <c r="I28" s="15">
        <v>0.5</v>
      </c>
      <c r="J28" s="15">
        <v>0.01</v>
      </c>
      <c r="K28" s="23">
        <v>0.05</v>
      </c>
      <c r="L28" s="15">
        <v>0.214</v>
      </c>
      <c r="M28" s="15">
        <v>0.51400000000000001</v>
      </c>
      <c r="N28" s="15"/>
      <c r="O28" s="15"/>
      <c r="P28" s="15">
        <v>414</v>
      </c>
      <c r="Q28" s="15">
        <v>229</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 xml:space="preserve">C1 </v>
      </c>
      <c r="B31" s="15">
        <v>250</v>
      </c>
      <c r="C31" s="77">
        <f>IF(C$27="%w/w SAR",((C$28*10)*$B31),IF(C$27="%w/w DM",(((C$28*10)*($B$28/100))*$B31),IF(C$27="kg/t SAR",(C$28*$B31),IF(C$27="kg/t DM",((C$28*($B$28/100))*$B31),IF(C$27="mg/kg SAR",((C$28*0.001)*$B31),IF(C$27="mg/kg DM",(((C$28*0.001)*($B$28/100))*$B31),0))))))</f>
        <v>425.00000000000006</v>
      </c>
      <c r="D31" s="77">
        <f>(IF(D$27="%w/w SAR",((D$28*10)*$B31),IF(D$27="%w/w DM",(((D$28*10)*($B$28/100))*$B31),IF(D$27="kg/t SAR",(D$28*$B31),IF(D$27="kg/t DM",((D$28*($B$28/100))*$B31),IF(D$27="mg/kg SAR",((D$28*0.001)*$B31),IF(D$27="mg/kg DM",(((D$28*0.001)*($B$28/100))*$B31),"0")))))))*2.291</f>
        <v>115.12275</v>
      </c>
      <c r="E31" s="77">
        <f>(IF(E$27="%w/w SAR",((E$28*10)*$B31),IF(E$27="%w/w DM",(((E$28*10)*($B$28/100))*$B31),IF(E$27="kg/t SAR",(E$28*$B31),IF(E$27="kg/t DM",((E$28*($B$28/100))*$B31),IF(E$27="mg/kg SAR",((E$28*0.001)*$B31),IF(E$27="mg/kg DM",(((E$28*0.001)*($B$28/100))*$B31),"0")))))))*1.205</f>
        <v>62.057500000000012</v>
      </c>
      <c r="F31" s="77">
        <f>(IF(F$27="%w/w SAR",((F$28*10)*$B31),IF(F$27="%w/w DM",(((F$28*10)*($B$28/100))*$B31),IF(F$27="kg/t SAR",(F$28*$B31),IF(F$27="kg/t DM",((F$28*($B$28/100))*$B31),IF(F$27="mg/kg SAR",((F$28*0.001)*$B31),IF(F$27="mg/kg DM",(((F$28*0.001)*($B$28/100))*$B31),"0")))))))*1.658</f>
        <v>21.76125</v>
      </c>
      <c r="G31" s="77">
        <f t="shared" ref="G31:P46" si="5">IF(G$27="%w/w SAR",((G$28*10)*$B31),IF(G$27="%w/w DM",(((G$28*10)*($B$28/100))*$B31),IF(G$27="kg/t SAR",(G$28*$B31),IF(G$27="kg/t DM",((G$28*($B$28/100))*$B31),IF(G$27="mg/kg SAR",((G$28*0.001)*$B31),IF(G$27="mg/kg DM",(((G$28*0.001)*($B$28/100))*$B31),0))))))</f>
        <v>8.8749999999999996E-2</v>
      </c>
      <c r="H31" s="77">
        <f t="shared" si="5"/>
        <v>0.58250000000000002</v>
      </c>
      <c r="I31" s="77">
        <f t="shared" si="5"/>
        <v>0.125</v>
      </c>
      <c r="J31" s="77">
        <f t="shared" si="5"/>
        <v>2.5000000000000001E-3</v>
      </c>
      <c r="K31" s="77">
        <f t="shared" si="5"/>
        <v>1.2500000000000001E-2</v>
      </c>
      <c r="L31" s="77">
        <f t="shared" si="5"/>
        <v>5.3499999999999999E-2</v>
      </c>
      <c r="M31" s="77">
        <f t="shared" si="5"/>
        <v>0.1285</v>
      </c>
      <c r="N31" s="77">
        <f t="shared" si="5"/>
        <v>0</v>
      </c>
      <c r="O31" s="77">
        <f t="shared" si="5"/>
        <v>0</v>
      </c>
      <c r="P31" s="77">
        <f t="shared" si="5"/>
        <v>103.50000000000001</v>
      </c>
      <c r="Q31" s="77">
        <f>(IF(Q$27="%w/w SAR",((Q$28*10)*$B31),IF(Q$27="%w/w DM",(((Q$28*10)*($B$28/100))*$B31),IF(Q$27="kg/t SAR",(Q$28*$B31),IF(Q$27="kg/t DM",((Q$28*($B$28/100))*$B31),IF(Q$27="mg/kg SAR",((Q$28*0.001)*$B31),IF(Q$27="mg/kg DM",(((Q$28*0.001)*($B$28/100))*$B31),0)))))))*2.5</f>
        <v>143.125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C2 </v>
      </c>
      <c r="B32" s="15">
        <v>250</v>
      </c>
      <c r="C32" s="77">
        <f t="shared" ref="C32:C50" si="6">IF(C$27="%w/w SAR",((C$28*10)*$B32),IF(C$27="%w/w DM",(((C$28*10)*($B$28/100))*$B32),IF(C$27="kg/t SAR",(C$28*$B32),IF(C$27="kg/t DM",((C$28*($B$28/100))*$B32),IF(C$27="mg/kg SAR",((C$28*0.001)*$B32),IF(C$27="mg/kg DM",(((C$28*0.001)*($B$28/100))*$B32),0))))))</f>
        <v>425.00000000000006</v>
      </c>
      <c r="D32" s="77">
        <f t="shared" ref="D32:D50" si="7">(IF(D$27="%w/w SAR",((D$28*10)*$B32),IF(D$27="%w/w DM",(((D$28*10)*($B$28/100))*$B32),IF(D$27="kg/t SAR",(D$28*$B32),IF(D$27="kg/t DM",((D$28*($B$28/100))*$B32),IF(D$27="mg/kg SAR",((D$28*0.001)*$B32),IF(D$27="mg/kg DM",(((D$28*0.001)*($B$28/100))*$B32),"0")))))))*2.291</f>
        <v>115.12275</v>
      </c>
      <c r="E32" s="77">
        <f t="shared" ref="E32:E50" si="8">(IF(E$27="%w/w SAR",((E$28*10)*$B32),IF(E$27="%w/w DM",(((E$28*10)*($B$28/100))*$B32),IF(E$27="kg/t SAR",(E$28*$B32),IF(E$27="kg/t DM",((E$28*($B$28/100))*$B32),IF(E$27="mg/kg SAR",((E$28*0.001)*$B32),IF(E$27="mg/kg DM",(((E$28*0.001)*($B$28/100))*$B32),"0")))))))*1.205</f>
        <v>62.057500000000012</v>
      </c>
      <c r="F32" s="77">
        <f t="shared" ref="F32:F50" si="9">(IF(F$27="%w/w SAR",((F$28*10)*$B32),IF(F$27="%w/w DM",(((F$28*10)*($B$28/100))*$B32),IF(F$27="kg/t SAR",(F$28*$B32),IF(F$27="kg/t DM",((F$28*($B$28/100))*$B32),IF(F$27="mg/kg SAR",((F$28*0.001)*$B32),IF(F$27="mg/kg DM",(((F$28*0.001)*($B$28/100))*$B32),"0")))))))*1.658</f>
        <v>21.76125</v>
      </c>
      <c r="G32" s="77">
        <f t="shared" si="5"/>
        <v>8.8749999999999996E-2</v>
      </c>
      <c r="H32" s="77">
        <f t="shared" si="5"/>
        <v>0.58250000000000002</v>
      </c>
      <c r="I32" s="77">
        <f t="shared" si="5"/>
        <v>0.125</v>
      </c>
      <c r="J32" s="77">
        <f t="shared" si="5"/>
        <v>2.5000000000000001E-3</v>
      </c>
      <c r="K32" s="77">
        <f t="shared" si="5"/>
        <v>1.2500000000000001E-2</v>
      </c>
      <c r="L32" s="77">
        <f t="shared" si="5"/>
        <v>5.3499999999999999E-2</v>
      </c>
      <c r="M32" s="77">
        <f t="shared" si="5"/>
        <v>0.1285</v>
      </c>
      <c r="N32" s="77">
        <f t="shared" si="5"/>
        <v>0</v>
      </c>
      <c r="O32" s="77">
        <f t="shared" si="5"/>
        <v>0</v>
      </c>
      <c r="P32" s="77">
        <f t="shared" si="5"/>
        <v>103.50000000000001</v>
      </c>
      <c r="Q32" s="77">
        <f t="shared" ref="Q32:Q50" si="10">(IF(Q$27="%w/w SAR",((Q$28*10)*$B32),IF(Q$27="%w/w DM",(((Q$28*10)*($B$28/100))*$B32),IF(Q$27="kg/t SAR",(Q$28*$B32),IF(Q$27="kg/t DM",((Q$28*($B$28/100))*$B32),IF(Q$27="mg/kg SAR",((Q$28*0.001)*$B32),IF(Q$27="mg/kg DM",(((Q$28*0.001)*($B$28/100))*$B32),0)))))))*2.5</f>
        <v>143.125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C3</v>
      </c>
      <c r="B33" s="15">
        <v>250</v>
      </c>
      <c r="C33" s="77">
        <f t="shared" si="6"/>
        <v>425.00000000000006</v>
      </c>
      <c r="D33" s="77">
        <f t="shared" si="7"/>
        <v>115.12275</v>
      </c>
      <c r="E33" s="77">
        <f t="shared" si="8"/>
        <v>62.057500000000012</v>
      </c>
      <c r="F33" s="77">
        <f t="shared" si="9"/>
        <v>21.76125</v>
      </c>
      <c r="G33" s="77">
        <f t="shared" si="5"/>
        <v>8.8749999999999996E-2</v>
      </c>
      <c r="H33" s="77">
        <f t="shared" si="5"/>
        <v>0.58250000000000002</v>
      </c>
      <c r="I33" s="77">
        <f t="shared" si="5"/>
        <v>0.125</v>
      </c>
      <c r="J33" s="77">
        <f t="shared" si="5"/>
        <v>2.5000000000000001E-3</v>
      </c>
      <c r="K33" s="77">
        <f t="shared" si="5"/>
        <v>1.2500000000000001E-2</v>
      </c>
      <c r="L33" s="77">
        <f t="shared" si="5"/>
        <v>5.3499999999999999E-2</v>
      </c>
      <c r="M33" s="77">
        <f t="shared" si="5"/>
        <v>0.1285</v>
      </c>
      <c r="N33" s="77">
        <f t="shared" si="5"/>
        <v>0</v>
      </c>
      <c r="O33" s="77">
        <f t="shared" si="5"/>
        <v>0</v>
      </c>
      <c r="P33" s="77">
        <f t="shared" si="5"/>
        <v>103.50000000000001</v>
      </c>
      <c r="Q33" s="77">
        <f t="shared" si="10"/>
        <v>143.125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F1</v>
      </c>
      <c r="B34" s="15">
        <v>250</v>
      </c>
      <c r="C34" s="77">
        <f t="shared" si="6"/>
        <v>425.00000000000006</v>
      </c>
      <c r="D34" s="77">
        <f t="shared" si="7"/>
        <v>115.12275</v>
      </c>
      <c r="E34" s="77">
        <f t="shared" si="8"/>
        <v>62.057500000000012</v>
      </c>
      <c r="F34" s="77">
        <f t="shared" si="9"/>
        <v>21.76125</v>
      </c>
      <c r="G34" s="77">
        <f t="shared" si="5"/>
        <v>8.8749999999999996E-2</v>
      </c>
      <c r="H34" s="77">
        <f t="shared" si="5"/>
        <v>0.58250000000000002</v>
      </c>
      <c r="I34" s="77">
        <f t="shared" si="5"/>
        <v>0.125</v>
      </c>
      <c r="J34" s="77">
        <f t="shared" si="5"/>
        <v>2.5000000000000001E-3</v>
      </c>
      <c r="K34" s="77">
        <f t="shared" si="5"/>
        <v>1.2500000000000001E-2</v>
      </c>
      <c r="L34" s="77">
        <f t="shared" si="5"/>
        <v>5.3499999999999999E-2</v>
      </c>
      <c r="M34" s="77">
        <f t="shared" si="5"/>
        <v>0.1285</v>
      </c>
      <c r="N34" s="77">
        <f t="shared" si="5"/>
        <v>0</v>
      </c>
      <c r="O34" s="77">
        <f t="shared" si="5"/>
        <v>0</v>
      </c>
      <c r="P34" s="77">
        <f t="shared" si="5"/>
        <v>103.50000000000001</v>
      </c>
      <c r="Q34" s="77">
        <f t="shared" si="10"/>
        <v>143.125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F2</v>
      </c>
      <c r="B35" s="15">
        <v>250</v>
      </c>
      <c r="C35" s="77">
        <f t="shared" si="6"/>
        <v>425.00000000000006</v>
      </c>
      <c r="D35" s="77">
        <f t="shared" si="7"/>
        <v>115.12275</v>
      </c>
      <c r="E35" s="77">
        <f t="shared" si="8"/>
        <v>62.057500000000012</v>
      </c>
      <c r="F35" s="77">
        <f t="shared" si="9"/>
        <v>21.76125</v>
      </c>
      <c r="G35" s="77">
        <f t="shared" si="5"/>
        <v>8.8749999999999996E-2</v>
      </c>
      <c r="H35" s="77">
        <f t="shared" si="5"/>
        <v>0.58250000000000002</v>
      </c>
      <c r="I35" s="77">
        <f t="shared" si="5"/>
        <v>0.125</v>
      </c>
      <c r="J35" s="77">
        <f t="shared" si="5"/>
        <v>2.5000000000000001E-3</v>
      </c>
      <c r="K35" s="77">
        <f t="shared" si="5"/>
        <v>1.2500000000000001E-2</v>
      </c>
      <c r="L35" s="77">
        <f t="shared" si="5"/>
        <v>5.3499999999999999E-2</v>
      </c>
      <c r="M35" s="77">
        <f t="shared" si="5"/>
        <v>0.1285</v>
      </c>
      <c r="N35" s="77">
        <f t="shared" si="5"/>
        <v>0</v>
      </c>
      <c r="O35" s="77">
        <f t="shared" si="5"/>
        <v>0</v>
      </c>
      <c r="P35" s="77">
        <f t="shared" si="5"/>
        <v>103.50000000000001</v>
      </c>
      <c r="Q35" s="77">
        <f t="shared" si="10"/>
        <v>143.125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F9</v>
      </c>
      <c r="B36" s="15">
        <v>250</v>
      </c>
      <c r="C36" s="77">
        <f t="shared" si="6"/>
        <v>425.00000000000006</v>
      </c>
      <c r="D36" s="77">
        <f t="shared" si="7"/>
        <v>115.12275</v>
      </c>
      <c r="E36" s="77">
        <f t="shared" si="8"/>
        <v>62.057500000000012</v>
      </c>
      <c r="F36" s="77">
        <f t="shared" si="9"/>
        <v>21.76125</v>
      </c>
      <c r="G36" s="77">
        <f t="shared" si="5"/>
        <v>8.8749999999999996E-2</v>
      </c>
      <c r="H36" s="77">
        <f t="shared" si="5"/>
        <v>0.58250000000000002</v>
      </c>
      <c r="I36" s="77">
        <f t="shared" si="5"/>
        <v>0.125</v>
      </c>
      <c r="J36" s="77">
        <f t="shared" si="5"/>
        <v>2.5000000000000001E-3</v>
      </c>
      <c r="K36" s="77">
        <f t="shared" si="5"/>
        <v>1.2500000000000001E-2</v>
      </c>
      <c r="L36" s="77">
        <f t="shared" si="5"/>
        <v>5.3499999999999999E-2</v>
      </c>
      <c r="M36" s="77">
        <f t="shared" si="5"/>
        <v>0.1285</v>
      </c>
      <c r="N36" s="77">
        <f t="shared" si="5"/>
        <v>0</v>
      </c>
      <c r="O36" s="77">
        <f t="shared" si="5"/>
        <v>0</v>
      </c>
      <c r="P36" s="77">
        <f t="shared" si="5"/>
        <v>103.50000000000001</v>
      </c>
      <c r="Q36" s="77">
        <f t="shared" si="10"/>
        <v>143.125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43</v>
      </c>
      <c r="B37" s="15">
        <v>250</v>
      </c>
      <c r="C37" s="77">
        <f t="shared" si="6"/>
        <v>425.00000000000006</v>
      </c>
      <c r="D37" s="77">
        <f t="shared" si="7"/>
        <v>115.12275</v>
      </c>
      <c r="E37" s="77">
        <f t="shared" si="8"/>
        <v>62.057500000000012</v>
      </c>
      <c r="F37" s="77">
        <f t="shared" si="9"/>
        <v>21.76125</v>
      </c>
      <c r="G37" s="77">
        <f t="shared" si="5"/>
        <v>8.8749999999999996E-2</v>
      </c>
      <c r="H37" s="77">
        <f t="shared" si="5"/>
        <v>0.58250000000000002</v>
      </c>
      <c r="I37" s="77">
        <f t="shared" si="5"/>
        <v>0.125</v>
      </c>
      <c r="J37" s="77">
        <f t="shared" si="5"/>
        <v>2.5000000000000001E-3</v>
      </c>
      <c r="K37" s="77">
        <f t="shared" si="5"/>
        <v>1.2500000000000001E-2</v>
      </c>
      <c r="L37" s="77">
        <f t="shared" si="5"/>
        <v>5.3499999999999999E-2</v>
      </c>
      <c r="M37" s="77">
        <f t="shared" si="5"/>
        <v>0.1285</v>
      </c>
      <c r="N37" s="77">
        <f t="shared" si="5"/>
        <v>0</v>
      </c>
      <c r="O37" s="77">
        <f t="shared" si="5"/>
        <v>0</v>
      </c>
      <c r="P37" s="77">
        <f t="shared" si="5"/>
        <v>103.50000000000001</v>
      </c>
      <c r="Q37" s="77">
        <f t="shared" si="10"/>
        <v>143.125</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 xml:space="preserve">C1 </v>
      </c>
      <c r="C57" s="8" t="str">
        <f t="shared" ref="C57:U57" si="13">D8</f>
        <v xml:space="preserve">C2 </v>
      </c>
      <c r="D57" s="8" t="str">
        <f t="shared" si="13"/>
        <v>C3</v>
      </c>
      <c r="E57" s="8" t="str">
        <f t="shared" si="13"/>
        <v>F1</v>
      </c>
      <c r="F57" s="8" t="str">
        <f t="shared" si="13"/>
        <v>F2</v>
      </c>
      <c r="G57" s="8" t="str">
        <f t="shared" si="13"/>
        <v>F9</v>
      </c>
      <c r="H57" s="8">
        <f t="shared" si="13"/>
        <v>43</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Arable</v>
      </c>
      <c r="F58" s="13" t="str">
        <f>G16&amp;" I "&amp;(VLOOKUP(G14,Table24567[],6,FALSE))</f>
        <v>Medium/Clay I Arable</v>
      </c>
      <c r="G58" s="13" t="str">
        <f>H16&amp;" I "&amp;(VLOOKUP(H14,Table24567[],6,FALSE))</f>
        <v>Medium/Clay I Arable</v>
      </c>
      <c r="H58" s="13" t="str">
        <f>I16&amp;" I "&amp;(VLOOKUP(I14,Table24567[],6,FALSE))</f>
        <v>Medium/Clay I Arable</v>
      </c>
      <c r="I58" s="13" t="e">
        <f>J16&amp;" I "&amp;(VLOOKUP(J14,Table24567[],6,FALSE))</f>
        <v>#N/A</v>
      </c>
      <c r="J58" s="13" t="e">
        <f>K16&amp;" I "&amp;(VLOOKUP(K14,Table24567[],6,FALSE))</f>
        <v>#N/A</v>
      </c>
      <c r="K58" s="13" t="e">
        <f>L16&amp;" I "&amp;(VLOOKUP(L14,Table24567[],6,FALSE))</f>
        <v>#N/A</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f>VLOOKUP(C$14,Table24567[],5,FALSE)</f>
        <v>6.2</v>
      </c>
      <c r="C59" s="76">
        <f>VLOOKUP(D$14,Table24567[],5,FALSE)</f>
        <v>6.2</v>
      </c>
      <c r="D59" s="76">
        <f>VLOOKUP(E$14,Table24567[],5,FALSE)</f>
        <v>6.2</v>
      </c>
      <c r="E59" s="76">
        <f>VLOOKUP(F$14,Table24567[],5,FALSE)</f>
        <v>6.7</v>
      </c>
      <c r="F59" s="76">
        <f>VLOOKUP(G$14,Table24567[],5,FALSE)</f>
        <v>6.7</v>
      </c>
      <c r="G59" s="76">
        <f>VLOOKUP(H$14,Table24567[],5,FALSE)</f>
        <v>6.7</v>
      </c>
      <c r="H59" s="76">
        <f>VLOOKUP(I$14,Table24567[],5,FALSE)</f>
        <v>6.7</v>
      </c>
      <c r="I59" s="76" t="e">
        <f>VLOOKUP(J$14,Table24567[],5,FALSE)</f>
        <v>#N/A</v>
      </c>
      <c r="J59" s="76" t="e">
        <f>VLOOKUP(K$14,Table24567[],5,FALSE)</f>
        <v>#N/A</v>
      </c>
      <c r="K59" s="76" t="e">
        <f>VLOOKUP(L$14,Table24567[],5,FALSE)</f>
        <v>#N/A</v>
      </c>
      <c r="L59" s="76" t="e">
        <f>VLOOKUP(M$14,Table24567[],5,FALSE)</f>
        <v>#N/A</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6.5</v>
      </c>
      <c r="C60" s="76">
        <f t="shared" ref="C60:U60" si="14">D10</f>
        <v>6.4</v>
      </c>
      <c r="D60" s="76">
        <f t="shared" si="14"/>
        <v>5.7</v>
      </c>
      <c r="E60" s="76">
        <f t="shared" si="14"/>
        <v>6.1</v>
      </c>
      <c r="F60" s="76">
        <f t="shared" si="14"/>
        <v>6.3</v>
      </c>
      <c r="G60" s="76">
        <f t="shared" si="14"/>
        <v>5.9</v>
      </c>
      <c r="H60" s="76">
        <f t="shared" si="14"/>
        <v>5.8</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8</v>
      </c>
      <c r="F61" s="76">
        <f t="shared" si="15"/>
        <v>8</v>
      </c>
      <c r="G61" s="76">
        <f t="shared" si="15"/>
        <v>8</v>
      </c>
      <c r="H61" s="76">
        <f t="shared" si="15"/>
        <v>8</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-1.2000000000000011</v>
      </c>
      <c r="D64" s="77">
        <f t="shared" si="17"/>
        <v>3</v>
      </c>
      <c r="E64" s="77">
        <f t="shared" si="17"/>
        <v>4.8000000000000043</v>
      </c>
      <c r="F64" s="77">
        <f t="shared" si="17"/>
        <v>3.2000000000000028</v>
      </c>
      <c r="G64" s="77">
        <f t="shared" si="17"/>
        <v>6.3999999999999986</v>
      </c>
      <c r="H64" s="77">
        <f t="shared" si="17"/>
        <v>7.2000000000000028</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1.2000000000000011</v>
      </c>
      <c r="D65" s="77">
        <f t="shared" si="18"/>
        <v>-3</v>
      </c>
      <c r="E65" s="77">
        <f t="shared" si="18"/>
        <v>-4.8000000000000043</v>
      </c>
      <c r="F65" s="77">
        <f t="shared" si="18"/>
        <v>-3.2000000000000028</v>
      </c>
      <c r="G65" s="77">
        <f t="shared" si="18"/>
        <v>-6.3999999999999986</v>
      </c>
      <c r="H65" s="77">
        <f t="shared" si="18"/>
        <v>-7.2000000000000028</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UNDER</v>
      </c>
      <c r="E66" s="78" t="str">
        <f t="shared" si="19"/>
        <v>UNDER</v>
      </c>
      <c r="F66" s="78" t="str">
        <f t="shared" si="19"/>
        <v>UNDER</v>
      </c>
      <c r="G66" s="78" t="str">
        <f t="shared" si="19"/>
        <v>UNDER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62:U66 B31:B50">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F2" sqref="F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Secanim!C1:D1</f>
        <v>PAN-019730</v>
      </c>
      <c r="D1" s="141"/>
      <c r="E1" s="93" t="s">
        <v>45</v>
      </c>
      <c r="F1" s="39">
        <f>Secanim!F1</f>
        <v>41.5</v>
      </c>
      <c r="G1" s="120" t="s">
        <v>43</v>
      </c>
      <c r="H1" s="121"/>
      <c r="I1" s="118">
        <v>7.66</v>
      </c>
      <c r="J1" s="119" t="s">
        <v>153</v>
      </c>
      <c r="K1" s="119"/>
      <c r="L1" s="97">
        <v>397</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Secanim!C2:D2</f>
        <v>EPR-KP3594VE</v>
      </c>
      <c r="D2" s="143"/>
      <c r="E2" s="93" t="s">
        <v>109</v>
      </c>
      <c r="F2" s="96"/>
      <c r="G2" s="138" t="s">
        <v>110</v>
      </c>
      <c r="H2" s="139"/>
      <c r="I2" s="118">
        <v>633</v>
      </c>
      <c r="J2" s="119" t="s">
        <v>158</v>
      </c>
      <c r="K2" s="119"/>
      <c r="L2" s="97">
        <v>1.32</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Secanim!C3:D3</f>
        <v>Trade effluent services</v>
      </c>
      <c r="D3" s="143"/>
      <c r="E3" s="93" t="s">
        <v>108</v>
      </c>
      <c r="F3" s="31" t="s">
        <v>76</v>
      </c>
      <c r="G3" s="119" t="s">
        <v>159</v>
      </c>
      <c r="H3" s="119"/>
      <c r="I3" s="118">
        <v>7562</v>
      </c>
      <c r="J3" s="120" t="s">
        <v>154</v>
      </c>
      <c r="K3" s="121"/>
      <c r="L3" s="97">
        <f>(L1/(L2*10000))*100</f>
        <v>3.0075757575757573</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Secanim!C4:D4</f>
        <v xml:space="preserve">Brookhouse farm, Brook house lane, Awowry, Wreham </v>
      </c>
      <c r="D4" s="141"/>
      <c r="E4" s="94" t="s">
        <v>1</v>
      </c>
      <c r="F4" s="96" t="s">
        <v>178</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Secanim!C5:D5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Secanim!C8</f>
        <v xml:space="preserve">C1 </v>
      </c>
      <c r="D8" s="60" t="str">
        <f>Secanim!D8</f>
        <v xml:space="preserve">C2 </v>
      </c>
      <c r="E8" s="60" t="str">
        <f>Secanim!E8</f>
        <v>C3</v>
      </c>
      <c r="F8" s="60" t="str">
        <f>Secanim!F8</f>
        <v>F1</v>
      </c>
      <c r="G8" s="60" t="str">
        <f>Secanim!G8</f>
        <v>F2</v>
      </c>
      <c r="H8" s="60" t="str">
        <f>Secanim!H8</f>
        <v>F9</v>
      </c>
      <c r="I8" s="60">
        <f>Secanim!I8</f>
        <v>43</v>
      </c>
      <c r="J8" s="60">
        <f>Secanim!J8</f>
        <v>0</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Secanim!C9</f>
        <v>Moderate</v>
      </c>
      <c r="D9" s="60" t="str">
        <f>Secanim!D9</f>
        <v>Moderate</v>
      </c>
      <c r="E9" s="60" t="str">
        <f>Secanim!E9</f>
        <v>Moderate</v>
      </c>
      <c r="F9" s="60">
        <f>Secanim!F9</f>
        <v>1</v>
      </c>
      <c r="G9" s="60">
        <f>Secanim!G9</f>
        <v>1</v>
      </c>
      <c r="H9" s="60">
        <f>Secanim!H9</f>
        <v>1</v>
      </c>
      <c r="I9" s="60">
        <f>Secanim!I9</f>
        <v>1</v>
      </c>
      <c r="J9" s="60">
        <f>Secanim!J9</f>
        <v>0</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Secanim!C10</f>
        <v>6.5</v>
      </c>
      <c r="D10" s="60">
        <f>Secanim!D10</f>
        <v>6.4</v>
      </c>
      <c r="E10" s="60">
        <f>Secanim!E10</f>
        <v>5.7</v>
      </c>
      <c r="F10" s="60">
        <f>Secanim!F10</f>
        <v>6.1</v>
      </c>
      <c r="G10" s="60">
        <f>Secanim!G10</f>
        <v>6.3</v>
      </c>
      <c r="H10" s="60">
        <f>Secanim!H10</f>
        <v>5.9</v>
      </c>
      <c r="I10" s="60">
        <f>Secanim!I10</f>
        <v>5.8</v>
      </c>
      <c r="J10" s="60">
        <f>Secanim!J10</f>
        <v>0</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Secanim!C11</f>
        <v>4</v>
      </c>
      <c r="D11" s="60">
        <f>Secanim!D11</f>
        <v>3</v>
      </c>
      <c r="E11" s="60">
        <f>Secanim!E11</f>
        <v>4</v>
      </c>
      <c r="F11" s="60">
        <f>Secanim!F11</f>
        <v>4</v>
      </c>
      <c r="G11" s="60">
        <f>Secanim!G11</f>
        <v>4</v>
      </c>
      <c r="H11" s="60">
        <f>Secanim!H11</f>
        <v>3</v>
      </c>
      <c r="I11" s="60">
        <f>Secanim!I11</f>
        <v>2</v>
      </c>
      <c r="J11" s="60">
        <f>Secanim!J11</f>
        <v>0</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Secanim!C12</f>
        <v>3</v>
      </c>
      <c r="D12" s="60">
        <f>Secanim!D12</f>
        <v>2</v>
      </c>
      <c r="E12" s="60">
        <f>Secanim!E12</f>
        <v>2</v>
      </c>
      <c r="F12" s="60">
        <f>Secanim!F12</f>
        <v>2</v>
      </c>
      <c r="G12" s="60">
        <f>Secanim!G12</f>
        <v>2</v>
      </c>
      <c r="H12" s="60">
        <f>Secanim!H12</f>
        <v>1</v>
      </c>
      <c r="I12" s="60">
        <f>Secanim!I12</f>
        <v>1</v>
      </c>
      <c r="J12" s="60">
        <f>Secanim!J12</f>
        <v>0</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Secanim!C13</f>
        <v>3</v>
      </c>
      <c r="D13" s="60">
        <f>Secanim!D13</f>
        <v>3</v>
      </c>
      <c r="E13" s="60">
        <f>Secanim!E13</f>
        <v>3</v>
      </c>
      <c r="F13" s="60">
        <f>Secanim!F13</f>
        <v>2</v>
      </c>
      <c r="G13" s="60">
        <f>Secanim!G13</f>
        <v>2</v>
      </c>
      <c r="H13" s="60">
        <f>Secanim!H13</f>
        <v>2</v>
      </c>
      <c r="I13" s="60">
        <f>Secanim!I13</f>
        <v>3</v>
      </c>
      <c r="J13" s="60">
        <f>Secanim!J13</f>
        <v>0</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Secanim!C14</f>
        <v xml:space="preserve">Grass Silage (25% DM) </v>
      </c>
      <c r="D14" s="102" t="str">
        <f>Secanim!D14</f>
        <v xml:space="preserve">Grass Silage (25% DM) </v>
      </c>
      <c r="E14" s="102" t="str">
        <f>Secanim!E14</f>
        <v xml:space="preserve">Grass Silage (25% DM) </v>
      </c>
      <c r="F14" s="102" t="str">
        <f>Secanim!F14</f>
        <v>Maize- Silage (30% DM)</v>
      </c>
      <c r="G14" s="102" t="str">
        <f>Secanim!G14</f>
        <v>Maize- Silage (30% DM)</v>
      </c>
      <c r="H14" s="102" t="str">
        <f>Secanim!H14</f>
        <v>Maize- Silage (30% DM)</v>
      </c>
      <c r="I14" s="102" t="str">
        <f>Secanim!I14</f>
        <v>Maize- Silage (30% DM)</v>
      </c>
      <c r="J14" s="102">
        <f>Secanim!J14</f>
        <v>0</v>
      </c>
      <c r="K14" s="102">
        <f>Secanim!K14</f>
        <v>0</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ht="13" x14ac:dyDescent="0.25">
      <c r="A15" s="130" t="s">
        <v>9</v>
      </c>
      <c r="B15" s="130"/>
      <c r="C15" s="60">
        <f>Secanim!C15</f>
        <v>38</v>
      </c>
      <c r="D15" s="60">
        <f>Secanim!D15</f>
        <v>38</v>
      </c>
      <c r="E15" s="60">
        <f>Secanim!E15</f>
        <v>38</v>
      </c>
      <c r="F15" s="60">
        <f>Secanim!F15</f>
        <v>40</v>
      </c>
      <c r="G15" s="60">
        <f>Secanim!G15</f>
        <v>40</v>
      </c>
      <c r="H15" s="60">
        <f>Secanim!H15</f>
        <v>40</v>
      </c>
      <c r="I15" s="60">
        <f>Secanim!I15</f>
        <v>40</v>
      </c>
      <c r="J15" s="60">
        <f>Secanim!J15</f>
        <v>0</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f>Secanim!J16</f>
        <v>0</v>
      </c>
      <c r="K16" s="103">
        <f>Secanim!K16</f>
        <v>0</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56</v>
      </c>
      <c r="G17" s="28">
        <f t="shared" si="0"/>
        <v>56</v>
      </c>
      <c r="H17" s="28">
        <f t="shared" si="0"/>
        <v>56</v>
      </c>
      <c r="I17" s="28">
        <f t="shared" si="0"/>
        <v>56</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54.927091559999994</v>
      </c>
      <c r="D18" s="16">
        <f>$D32</f>
        <v>54.927091559999994</v>
      </c>
      <c r="E18" s="16">
        <f>$D33</f>
        <v>54.927091559999994</v>
      </c>
      <c r="F18" s="16">
        <f>$D34</f>
        <v>54.927091559999994</v>
      </c>
      <c r="G18" s="16">
        <f>$D35</f>
        <v>54.927091559999994</v>
      </c>
      <c r="H18" s="16">
        <f>$D36</f>
        <v>54.927091559999994</v>
      </c>
      <c r="I18" s="16">
        <f>$D37</f>
        <v>54.927091559999994</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-9.6729084400000005</v>
      </c>
      <c r="D19" s="16">
        <f t="shared" ref="D19:V19" si="1">D18-D17</f>
        <v>-9.6729084400000005</v>
      </c>
      <c r="E19" s="16">
        <f t="shared" si="1"/>
        <v>-9.6729084400000005</v>
      </c>
      <c r="F19" s="16">
        <f t="shared" si="1"/>
        <v>-1.0729084400000062</v>
      </c>
      <c r="G19" s="16">
        <f t="shared" si="1"/>
        <v>-1.0729084400000062</v>
      </c>
      <c r="H19" s="16">
        <f t="shared" si="1"/>
        <v>-1.0729084400000062</v>
      </c>
      <c r="I19" s="16">
        <f t="shared" si="1"/>
        <v>-1.0729084400000062</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176</v>
      </c>
      <c r="G21" s="28">
        <f t="shared" si="2"/>
        <v>176</v>
      </c>
      <c r="H21" s="28">
        <f t="shared" si="2"/>
        <v>176</v>
      </c>
      <c r="I21" s="28">
        <f t="shared" si="2"/>
        <v>176</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19.651332799999999</v>
      </c>
      <c r="D22" s="16">
        <f>$E32</f>
        <v>19.651332799999999</v>
      </c>
      <c r="E22" s="16">
        <f>$E33</f>
        <v>19.651332799999999</v>
      </c>
      <c r="F22" s="16">
        <f>$E34</f>
        <v>19.651332799999999</v>
      </c>
      <c r="G22" s="16">
        <f>$E35</f>
        <v>19.651332799999999</v>
      </c>
      <c r="H22" s="16">
        <f>$E36</f>
        <v>19.651332799999999</v>
      </c>
      <c r="I22" s="16">
        <f>$E37</f>
        <v>19.651332799999999</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-208.34866719999999</v>
      </c>
      <c r="D23" s="16">
        <f t="shared" ref="D23:V23" si="3">D22-D21</f>
        <v>-208.34866719999999</v>
      </c>
      <c r="E23" s="16">
        <f t="shared" si="3"/>
        <v>-208.34866719999999</v>
      </c>
      <c r="F23" s="16">
        <f t="shared" si="3"/>
        <v>-156.34866719999999</v>
      </c>
      <c r="G23" s="16">
        <f t="shared" si="3"/>
        <v>-156.34866719999999</v>
      </c>
      <c r="H23" s="16">
        <f t="shared" si="3"/>
        <v>-156.34866719999999</v>
      </c>
      <c r="I23" s="16">
        <f t="shared" si="3"/>
        <v>-156.34866719999999</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55</v>
      </c>
      <c r="E27" s="107" t="s">
        <v>55</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82</v>
      </c>
      <c r="C28" s="15">
        <v>1.32</v>
      </c>
      <c r="D28" s="15">
        <v>1329</v>
      </c>
      <c r="E28" s="15">
        <v>904</v>
      </c>
      <c r="F28" s="15">
        <v>3395</v>
      </c>
      <c r="G28" s="15">
        <v>2.16</v>
      </c>
      <c r="H28" s="15">
        <v>5.99</v>
      </c>
      <c r="I28" s="15">
        <v>1</v>
      </c>
      <c r="J28" s="15">
        <v>0.1</v>
      </c>
      <c r="K28" s="23">
        <v>0.1</v>
      </c>
      <c r="L28" s="15">
        <v>1</v>
      </c>
      <c r="M28" s="15">
        <v>2</v>
      </c>
      <c r="N28" s="15"/>
      <c r="O28" s="15"/>
      <c r="P28" s="15">
        <v>1264</v>
      </c>
      <c r="Q28" s="15">
        <v>1854</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 xml:space="preserve">C1 </v>
      </c>
      <c r="B31" s="15">
        <v>22</v>
      </c>
      <c r="C31" s="77">
        <f>IF(C$27="%w/w SAR",((C$28*10)*$B31),IF(C$27="%w/w DM",(((C$28*10)*($B$28/100))*$B31),IF(C$27="kg/t SAR",(C$28*$B31),IF(C$27="kg/t DM",((C$28*($B$28/100))*$B31),IF(C$27="mg/kg SAR",((C$28*0.001)*$B31),IF(C$27="mg/kg DM",(((C$28*0.001)*($B$28/100))*$B31),0))))))</f>
        <v>238.12799999999999</v>
      </c>
      <c r="D31" s="77">
        <f>(IF(D$27="%w/w SAR",((D$28*10)*$B31),IF(D$27="%w/w DM",(((D$28*10)*($B$28/100))*$B31),IF(D$27="kg/t SAR",(D$28*$B31),IF(D$27="kg/t DM",((D$28*($B$28/100))*$B31),IF(D$27="mg/kg SAR",((D$28*0.001)*$B31),IF(D$27="mg/kg DM",(((D$28*0.001)*($B$28/100))*$B31),"0")))))))*2.291</f>
        <v>54.927091559999994</v>
      </c>
      <c r="E31" s="77">
        <f>(IF(E$27="%w/w SAR",((E$28*10)*$B31),IF(E$27="%w/w DM",(((E$28*10)*($B$28/100))*$B31),IF(E$27="kg/t SAR",(E$28*$B31),IF(E$27="kg/t DM",((E$28*($B$28/100))*$B31),IF(E$27="mg/kg SAR",((E$28*0.001)*$B31),IF(E$27="mg/kg DM",(((E$28*0.001)*($B$28/100))*$B31),"0")))))))*1.205</f>
        <v>19.651332799999999</v>
      </c>
      <c r="F31" s="77">
        <f>(IF(F$27="%w/w SAR",((F$28*10)*$B31),IF(F$27="%w/w DM",(((F$28*10)*($B$28/100))*$B31),IF(F$27="kg/t SAR",(F$28*$B31),IF(F$27="kg/t DM",((F$28*($B$28/100))*$B31),IF(F$27="mg/kg SAR",((F$28*0.001)*$B31),IF(F$27="mg/kg DM",(((F$28*0.001)*($B$28/100))*$B31),"0")))))))*1.658</f>
        <v>101.5455364</v>
      </c>
      <c r="G31" s="77">
        <f t="shared" ref="G31:P46" si="5">IF(G$27="%w/w SAR",((G$28*10)*$B31),IF(G$27="%w/w DM",(((G$28*10)*($B$28/100))*$B31),IF(G$27="kg/t SAR",(G$28*$B31),IF(G$27="kg/t DM",((G$28*($B$28/100))*$B31),IF(G$27="mg/kg SAR",((G$28*0.001)*$B31),IF(G$27="mg/kg DM",(((G$28*0.001)*($B$28/100))*$B31),0))))))</f>
        <v>3.8966399999999998E-2</v>
      </c>
      <c r="H31" s="77">
        <f t="shared" si="5"/>
        <v>0.10805960000000001</v>
      </c>
      <c r="I31" s="77">
        <f t="shared" si="5"/>
        <v>1.804E-2</v>
      </c>
      <c r="J31" s="77">
        <f t="shared" si="5"/>
        <v>1.804E-3</v>
      </c>
      <c r="K31" s="77">
        <f t="shared" si="5"/>
        <v>1.804E-3</v>
      </c>
      <c r="L31" s="77">
        <f t="shared" si="5"/>
        <v>1.804E-2</v>
      </c>
      <c r="M31" s="77">
        <f t="shared" si="5"/>
        <v>3.6080000000000001E-2</v>
      </c>
      <c r="N31" s="77">
        <f t="shared" si="5"/>
        <v>0</v>
      </c>
      <c r="O31" s="77">
        <f t="shared" si="5"/>
        <v>0</v>
      </c>
      <c r="P31" s="77">
        <f t="shared" si="5"/>
        <v>22.802559999999996</v>
      </c>
      <c r="Q31" s="77">
        <f>(IF(Q$27="%w/w SAR",((Q$28*10)*$B31),IF(Q$27="%w/w DM",(((Q$28*10)*($B$28/100))*$B31),IF(Q$27="kg/t SAR",(Q$28*$B31),IF(Q$27="kg/t DM",((Q$28*($B$28/100))*$B31),IF(Q$27="mg/kg SAR",((Q$28*0.001)*$B31),IF(Q$27="mg/kg DM",(((Q$28*0.001)*($B$28/100))*$B31),0)))))))*2.5</f>
        <v>83.615399999999994</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C2 </v>
      </c>
      <c r="B32" s="15">
        <v>22</v>
      </c>
      <c r="C32" s="77">
        <f t="shared" ref="C32:C50" si="6">IF(C$27="%w/w SAR",((C$28*10)*$B32),IF(C$27="%w/w DM",(((C$28*10)*($B$28/100))*$B32),IF(C$27="kg/t SAR",(C$28*$B32),IF(C$27="kg/t DM",((C$28*($B$28/100))*$B32),IF(C$27="mg/kg SAR",((C$28*0.001)*$B32),IF(C$27="mg/kg DM",(((C$28*0.001)*($B$28/100))*$B32),0))))))</f>
        <v>238.12799999999999</v>
      </c>
      <c r="D32" s="77">
        <f t="shared" ref="D32:D50" si="7">(IF(D$27="%w/w SAR",((D$28*10)*$B32),IF(D$27="%w/w DM",(((D$28*10)*($B$28/100))*$B32),IF(D$27="kg/t SAR",(D$28*$B32),IF(D$27="kg/t DM",((D$28*($B$28/100))*$B32),IF(D$27="mg/kg SAR",((D$28*0.001)*$B32),IF(D$27="mg/kg DM",(((D$28*0.001)*($B$28/100))*$B32),"0")))))))*2.291</f>
        <v>54.927091559999994</v>
      </c>
      <c r="E32" s="77">
        <f t="shared" ref="E32:E50" si="8">(IF(E$27="%w/w SAR",((E$28*10)*$B32),IF(E$27="%w/w DM",(((E$28*10)*($B$28/100))*$B32),IF(E$27="kg/t SAR",(E$28*$B32),IF(E$27="kg/t DM",((E$28*($B$28/100))*$B32),IF(E$27="mg/kg SAR",((E$28*0.001)*$B32),IF(E$27="mg/kg DM",(((E$28*0.001)*($B$28/100))*$B32),"0")))))))*1.205</f>
        <v>19.651332799999999</v>
      </c>
      <c r="F32" s="77">
        <f t="shared" ref="F32:F50" si="9">(IF(F$27="%w/w SAR",((F$28*10)*$B32),IF(F$27="%w/w DM",(((F$28*10)*($B$28/100))*$B32),IF(F$27="kg/t SAR",(F$28*$B32),IF(F$27="kg/t DM",((F$28*($B$28/100))*$B32),IF(F$27="mg/kg SAR",((F$28*0.001)*$B32),IF(F$27="mg/kg DM",(((F$28*0.001)*($B$28/100))*$B32),"0")))))))*1.658</f>
        <v>101.5455364</v>
      </c>
      <c r="G32" s="77">
        <f t="shared" si="5"/>
        <v>3.8966399999999998E-2</v>
      </c>
      <c r="H32" s="77">
        <f t="shared" si="5"/>
        <v>0.10805960000000001</v>
      </c>
      <c r="I32" s="77">
        <f t="shared" si="5"/>
        <v>1.804E-2</v>
      </c>
      <c r="J32" s="77">
        <f t="shared" si="5"/>
        <v>1.804E-3</v>
      </c>
      <c r="K32" s="77">
        <f t="shared" si="5"/>
        <v>1.804E-3</v>
      </c>
      <c r="L32" s="77">
        <f t="shared" si="5"/>
        <v>1.804E-2</v>
      </c>
      <c r="M32" s="77">
        <f t="shared" si="5"/>
        <v>3.6080000000000001E-2</v>
      </c>
      <c r="N32" s="77">
        <f t="shared" si="5"/>
        <v>0</v>
      </c>
      <c r="O32" s="77">
        <f t="shared" si="5"/>
        <v>0</v>
      </c>
      <c r="P32" s="77">
        <f t="shared" si="5"/>
        <v>22.802559999999996</v>
      </c>
      <c r="Q32" s="77">
        <f t="shared" ref="Q32:Q50" si="10">(IF(Q$27="%w/w SAR",((Q$28*10)*$B32),IF(Q$27="%w/w DM",(((Q$28*10)*($B$28/100))*$B32),IF(Q$27="kg/t SAR",(Q$28*$B32),IF(Q$27="kg/t DM",((Q$28*($B$28/100))*$B32),IF(Q$27="mg/kg SAR",((Q$28*0.001)*$B32),IF(Q$27="mg/kg DM",(((Q$28*0.001)*($B$28/100))*$B32),0)))))))*2.5</f>
        <v>83.615399999999994</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C3</v>
      </c>
      <c r="B33" s="15">
        <v>22</v>
      </c>
      <c r="C33" s="77">
        <f t="shared" si="6"/>
        <v>238.12799999999999</v>
      </c>
      <c r="D33" s="77">
        <f t="shared" si="7"/>
        <v>54.927091559999994</v>
      </c>
      <c r="E33" s="77">
        <f t="shared" si="8"/>
        <v>19.651332799999999</v>
      </c>
      <c r="F33" s="77">
        <f t="shared" si="9"/>
        <v>101.5455364</v>
      </c>
      <c r="G33" s="77">
        <f t="shared" si="5"/>
        <v>3.8966399999999998E-2</v>
      </c>
      <c r="H33" s="77">
        <f t="shared" si="5"/>
        <v>0.10805960000000001</v>
      </c>
      <c r="I33" s="77">
        <f t="shared" si="5"/>
        <v>1.804E-2</v>
      </c>
      <c r="J33" s="77">
        <f t="shared" si="5"/>
        <v>1.804E-3</v>
      </c>
      <c r="K33" s="77">
        <f t="shared" si="5"/>
        <v>1.804E-3</v>
      </c>
      <c r="L33" s="77">
        <f t="shared" si="5"/>
        <v>1.804E-2</v>
      </c>
      <c r="M33" s="77">
        <f t="shared" si="5"/>
        <v>3.6080000000000001E-2</v>
      </c>
      <c r="N33" s="77">
        <f t="shared" si="5"/>
        <v>0</v>
      </c>
      <c r="O33" s="77">
        <f t="shared" si="5"/>
        <v>0</v>
      </c>
      <c r="P33" s="77">
        <f t="shared" si="5"/>
        <v>22.802559999999996</v>
      </c>
      <c r="Q33" s="77">
        <f t="shared" si="10"/>
        <v>83.615399999999994</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F1</v>
      </c>
      <c r="B34" s="15">
        <v>22</v>
      </c>
      <c r="C34" s="77">
        <f t="shared" si="6"/>
        <v>238.12799999999999</v>
      </c>
      <c r="D34" s="77">
        <f t="shared" si="7"/>
        <v>54.927091559999994</v>
      </c>
      <c r="E34" s="77">
        <f t="shared" si="8"/>
        <v>19.651332799999999</v>
      </c>
      <c r="F34" s="77">
        <f t="shared" si="9"/>
        <v>101.5455364</v>
      </c>
      <c r="G34" s="77">
        <f t="shared" si="5"/>
        <v>3.8966399999999998E-2</v>
      </c>
      <c r="H34" s="77">
        <f t="shared" si="5"/>
        <v>0.10805960000000001</v>
      </c>
      <c r="I34" s="77">
        <f t="shared" si="5"/>
        <v>1.804E-2</v>
      </c>
      <c r="J34" s="77">
        <f t="shared" si="5"/>
        <v>1.804E-3</v>
      </c>
      <c r="K34" s="77">
        <f t="shared" si="5"/>
        <v>1.804E-3</v>
      </c>
      <c r="L34" s="77">
        <f t="shared" si="5"/>
        <v>1.804E-2</v>
      </c>
      <c r="M34" s="77">
        <f t="shared" si="5"/>
        <v>3.6080000000000001E-2</v>
      </c>
      <c r="N34" s="77">
        <f t="shared" si="5"/>
        <v>0</v>
      </c>
      <c r="O34" s="77">
        <f t="shared" si="5"/>
        <v>0</v>
      </c>
      <c r="P34" s="77">
        <f t="shared" si="5"/>
        <v>22.802559999999996</v>
      </c>
      <c r="Q34" s="77">
        <f t="shared" si="10"/>
        <v>83.615399999999994</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F2</v>
      </c>
      <c r="B35" s="15">
        <v>22</v>
      </c>
      <c r="C35" s="77">
        <f t="shared" si="6"/>
        <v>238.12799999999999</v>
      </c>
      <c r="D35" s="77">
        <f t="shared" si="7"/>
        <v>54.927091559999994</v>
      </c>
      <c r="E35" s="77">
        <f t="shared" si="8"/>
        <v>19.651332799999999</v>
      </c>
      <c r="F35" s="77">
        <f t="shared" si="9"/>
        <v>101.5455364</v>
      </c>
      <c r="G35" s="77">
        <f t="shared" si="5"/>
        <v>3.8966399999999998E-2</v>
      </c>
      <c r="H35" s="77">
        <f t="shared" si="5"/>
        <v>0.10805960000000001</v>
      </c>
      <c r="I35" s="77">
        <f t="shared" si="5"/>
        <v>1.804E-2</v>
      </c>
      <c r="J35" s="77">
        <f t="shared" si="5"/>
        <v>1.804E-3</v>
      </c>
      <c r="K35" s="77">
        <f t="shared" si="5"/>
        <v>1.804E-3</v>
      </c>
      <c r="L35" s="77">
        <f t="shared" si="5"/>
        <v>1.804E-2</v>
      </c>
      <c r="M35" s="77">
        <f t="shared" si="5"/>
        <v>3.6080000000000001E-2</v>
      </c>
      <c r="N35" s="77">
        <f t="shared" si="5"/>
        <v>0</v>
      </c>
      <c r="O35" s="77">
        <f t="shared" si="5"/>
        <v>0</v>
      </c>
      <c r="P35" s="77">
        <f t="shared" si="5"/>
        <v>22.802559999999996</v>
      </c>
      <c r="Q35" s="77">
        <f t="shared" si="10"/>
        <v>83.615399999999994</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F9</v>
      </c>
      <c r="B36" s="15">
        <v>22</v>
      </c>
      <c r="C36" s="77">
        <f t="shared" si="6"/>
        <v>238.12799999999999</v>
      </c>
      <c r="D36" s="77">
        <f t="shared" si="7"/>
        <v>54.927091559999994</v>
      </c>
      <c r="E36" s="77">
        <f t="shared" si="8"/>
        <v>19.651332799999999</v>
      </c>
      <c r="F36" s="77">
        <f t="shared" si="9"/>
        <v>101.5455364</v>
      </c>
      <c r="G36" s="77">
        <f t="shared" si="5"/>
        <v>3.8966399999999998E-2</v>
      </c>
      <c r="H36" s="77">
        <f t="shared" si="5"/>
        <v>0.10805960000000001</v>
      </c>
      <c r="I36" s="77">
        <f t="shared" si="5"/>
        <v>1.804E-2</v>
      </c>
      <c r="J36" s="77">
        <f t="shared" si="5"/>
        <v>1.804E-3</v>
      </c>
      <c r="K36" s="77">
        <f t="shared" si="5"/>
        <v>1.804E-3</v>
      </c>
      <c r="L36" s="77">
        <f t="shared" si="5"/>
        <v>1.804E-2</v>
      </c>
      <c r="M36" s="77">
        <f t="shared" si="5"/>
        <v>3.6080000000000001E-2</v>
      </c>
      <c r="N36" s="77">
        <f t="shared" si="5"/>
        <v>0</v>
      </c>
      <c r="O36" s="77">
        <f t="shared" si="5"/>
        <v>0</v>
      </c>
      <c r="P36" s="77">
        <f t="shared" si="5"/>
        <v>22.802559999999996</v>
      </c>
      <c r="Q36" s="77">
        <f t="shared" si="10"/>
        <v>83.615399999999994</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43</v>
      </c>
      <c r="B37" s="15">
        <v>22</v>
      </c>
      <c r="C37" s="77">
        <f t="shared" si="6"/>
        <v>238.12799999999999</v>
      </c>
      <c r="D37" s="77">
        <f t="shared" si="7"/>
        <v>54.927091559999994</v>
      </c>
      <c r="E37" s="77">
        <f t="shared" si="8"/>
        <v>19.651332799999999</v>
      </c>
      <c r="F37" s="77">
        <f t="shared" si="9"/>
        <v>101.5455364</v>
      </c>
      <c r="G37" s="77">
        <f t="shared" si="5"/>
        <v>3.8966399999999998E-2</v>
      </c>
      <c r="H37" s="77">
        <f t="shared" si="5"/>
        <v>0.10805960000000001</v>
      </c>
      <c r="I37" s="77">
        <f t="shared" si="5"/>
        <v>1.804E-2</v>
      </c>
      <c r="J37" s="77">
        <f t="shared" si="5"/>
        <v>1.804E-3</v>
      </c>
      <c r="K37" s="77">
        <f t="shared" si="5"/>
        <v>1.804E-3</v>
      </c>
      <c r="L37" s="77">
        <f t="shared" si="5"/>
        <v>1.804E-2</v>
      </c>
      <c r="M37" s="77">
        <f t="shared" si="5"/>
        <v>3.6080000000000001E-2</v>
      </c>
      <c r="N37" s="77">
        <f t="shared" si="5"/>
        <v>0</v>
      </c>
      <c r="O37" s="77">
        <f t="shared" si="5"/>
        <v>0</v>
      </c>
      <c r="P37" s="77">
        <f t="shared" si="5"/>
        <v>22.802559999999996</v>
      </c>
      <c r="Q37" s="77">
        <f t="shared" si="10"/>
        <v>83.615399999999994</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v>82</v>
      </c>
      <c r="C55" s="116">
        <v>46.5</v>
      </c>
      <c r="D55" s="117">
        <f>(B55/100)*C55</f>
        <v>38.129999999999995</v>
      </c>
      <c r="E55" s="117">
        <f>G55</f>
        <v>67.977999999999994</v>
      </c>
      <c r="F55" s="116">
        <v>82.9</v>
      </c>
      <c r="G55" s="117">
        <f>(B55/100)*F55</f>
        <v>67.977999999999994</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 xml:space="preserve">C1 </v>
      </c>
      <c r="C57" s="8" t="str">
        <f t="shared" ref="C57:U57" si="13">D8</f>
        <v xml:space="preserve">C2 </v>
      </c>
      <c r="D57" s="8" t="str">
        <f t="shared" si="13"/>
        <v>C3</v>
      </c>
      <c r="E57" s="8" t="str">
        <f t="shared" si="13"/>
        <v>F1</v>
      </c>
      <c r="F57" s="8" t="str">
        <f t="shared" si="13"/>
        <v>F2</v>
      </c>
      <c r="G57" s="8" t="str">
        <f t="shared" si="13"/>
        <v>F9</v>
      </c>
      <c r="H57" s="8">
        <f t="shared" si="13"/>
        <v>43</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Arable</v>
      </c>
      <c r="F58" s="13" t="str">
        <f>G16&amp;" I "&amp;(VLOOKUP(G14,Table2456[],6,FALSE))</f>
        <v>Medium/Clay I Arable</v>
      </c>
      <c r="G58" s="13" t="str">
        <f>H16&amp;" I "&amp;(VLOOKUP(H14,Table2456[],6,FALSE))</f>
        <v>Medium/Clay I Arable</v>
      </c>
      <c r="H58" s="13" t="str">
        <f>I16&amp;" I "&amp;(VLOOKUP(I14,Table2456[],6,FALSE))</f>
        <v>Medium/Clay I Arable</v>
      </c>
      <c r="I58" s="13" t="e">
        <f>J16&amp;" I "&amp;(VLOOKUP(J14,Table2456[],6,FALSE))</f>
        <v>#N/A</v>
      </c>
      <c r="J58" s="13" t="e">
        <f>K16&amp;" I "&amp;(VLOOKUP(K14,Table2456[],6,FALSE))</f>
        <v>#N/A</v>
      </c>
      <c r="K58" s="13" t="e">
        <f>L16&amp;" I "&amp;(VLOOKUP(L14,Table2456[],6,FALSE))</f>
        <v>#N/A</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132</v>
      </c>
      <c r="B59" s="76">
        <f>VLOOKUP(C$14,Table2456[],5,FALSE)</f>
        <v>6.2</v>
      </c>
      <c r="C59" s="76">
        <f>VLOOKUP(D$14,Table2456[],5,FALSE)</f>
        <v>6.2</v>
      </c>
      <c r="D59" s="76">
        <f>VLOOKUP(E$14,Table2456[],5,FALSE)</f>
        <v>6.2</v>
      </c>
      <c r="E59" s="76">
        <f>VLOOKUP(F$14,Table2456[],5,FALSE)</f>
        <v>6.7</v>
      </c>
      <c r="F59" s="76">
        <f>VLOOKUP(G$14,Table2456[],5,FALSE)</f>
        <v>6.7</v>
      </c>
      <c r="G59" s="76">
        <f>VLOOKUP(H$14,Table2456[],5,FALSE)</f>
        <v>6.7</v>
      </c>
      <c r="H59" s="76">
        <f>VLOOKUP(I$14,Table2456[],5,FALSE)</f>
        <v>6.7</v>
      </c>
      <c r="I59" s="76" t="e">
        <f>VLOOKUP(J$14,Table2456[],5,FALSE)</f>
        <v>#N/A</v>
      </c>
      <c r="J59" s="76" t="e">
        <f>VLOOKUP(K$14,Table2456[],5,FALSE)</f>
        <v>#N/A</v>
      </c>
      <c r="K59" s="76" t="e">
        <f>VLOOKUP(L$14,Table2456[],5,FALSE)</f>
        <v>#N/A</v>
      </c>
      <c r="L59" s="76" t="e">
        <f>VLOOKUP(M$14,Table2456[],5,FALSE)</f>
        <v>#N/A</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6.5</v>
      </c>
      <c r="C60" s="76">
        <f t="shared" ref="C60:U60" si="14">D10</f>
        <v>6.4</v>
      </c>
      <c r="D60" s="76">
        <f t="shared" si="14"/>
        <v>5.7</v>
      </c>
      <c r="E60" s="76">
        <f t="shared" si="14"/>
        <v>6.1</v>
      </c>
      <c r="F60" s="76">
        <f t="shared" si="14"/>
        <v>6.3</v>
      </c>
      <c r="G60" s="76">
        <f t="shared" si="14"/>
        <v>5.9</v>
      </c>
      <c r="H60" s="76">
        <f t="shared" si="14"/>
        <v>5.8</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8</v>
      </c>
      <c r="F61" s="76">
        <f t="shared" si="15"/>
        <v>8</v>
      </c>
      <c r="G61" s="76">
        <f t="shared" si="15"/>
        <v>8</v>
      </c>
      <c r="H61" s="76">
        <f t="shared" si="15"/>
        <v>8</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22</v>
      </c>
      <c r="C62" s="77">
        <f>B32</f>
        <v>22</v>
      </c>
      <c r="D62" s="77">
        <f>B33</f>
        <v>22</v>
      </c>
      <c r="E62" s="77">
        <f>B34</f>
        <v>22</v>
      </c>
      <c r="F62" s="77">
        <f>B35</f>
        <v>22</v>
      </c>
      <c r="G62" s="77">
        <f>B36</f>
        <v>22</v>
      </c>
      <c r="H62" s="77">
        <f>B37</f>
        <v>22</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14.955159999999999</v>
      </c>
      <c r="C63" s="77">
        <f t="shared" ref="C63:U63" si="16">$E55*(C62/100)</f>
        <v>14.955159999999999</v>
      </c>
      <c r="D63" s="77">
        <f t="shared" si="16"/>
        <v>14.955159999999999</v>
      </c>
      <c r="E63" s="77">
        <f t="shared" si="16"/>
        <v>14.955159999999999</v>
      </c>
      <c r="F63" s="77">
        <f>$E55*(F62/100)</f>
        <v>14.955159999999999</v>
      </c>
      <c r="G63" s="77">
        <f t="shared" si="16"/>
        <v>14.955159999999999</v>
      </c>
      <c r="H63" s="77">
        <f t="shared" si="16"/>
        <v>14.955159999999999</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-1.2000000000000011</v>
      </c>
      <c r="D64" s="77">
        <f t="shared" si="17"/>
        <v>3</v>
      </c>
      <c r="E64" s="77">
        <f t="shared" si="17"/>
        <v>4.8000000000000043</v>
      </c>
      <c r="F64" s="77">
        <f t="shared" si="17"/>
        <v>3.2000000000000028</v>
      </c>
      <c r="G64" s="77">
        <f t="shared" si="17"/>
        <v>6.3999999999999986</v>
      </c>
      <c r="H64" s="77">
        <f t="shared" si="17"/>
        <v>7.2000000000000028</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16.755159999999997</v>
      </c>
      <c r="C65" s="77">
        <f t="shared" ref="C65:U65" si="18">C63-C64</f>
        <v>16.155160000000002</v>
      </c>
      <c r="D65" s="77">
        <f t="shared" si="18"/>
        <v>11.955159999999999</v>
      </c>
      <c r="E65" s="77">
        <f t="shared" si="18"/>
        <v>10.155159999999995</v>
      </c>
      <c r="F65" s="77">
        <f t="shared" si="18"/>
        <v>11.755159999999997</v>
      </c>
      <c r="G65" s="77">
        <f t="shared" si="18"/>
        <v>8.5551600000000008</v>
      </c>
      <c r="H65" s="77">
        <f t="shared" si="18"/>
        <v>7.7551599999999965</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62:U66 B31:B50">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4" t="s">
        <v>84</v>
      </c>
      <c r="B1" s="38" t="str">
        <f>Secanim!B29</f>
        <v>Application Rate</v>
      </c>
      <c r="C1" s="38" t="str">
        <f>Secanim!C29</f>
        <v>Nitrogen Addition</v>
      </c>
      <c r="D1" s="38" t="str">
        <f>Secanim!D29</f>
        <v>Phosphate Addition</v>
      </c>
      <c r="E1" s="38" t="str">
        <f>Secanim!E29</f>
        <v>Potash  Addition</v>
      </c>
      <c r="F1" s="38" t="str">
        <f>Secanim!F29</f>
        <v>Mg Oxide Addition</v>
      </c>
      <c r="G1" s="38" t="str">
        <f>Secanim!G29</f>
        <v>Copper Addition</v>
      </c>
      <c r="H1" s="38" t="str">
        <f>Secanim!H29</f>
        <v>Zinc Addition</v>
      </c>
      <c r="I1" s="38" t="str">
        <f>Secanim!I29</f>
        <v>Lead Addition</v>
      </c>
      <c r="J1" s="38" t="str">
        <f>Secanim!J29</f>
        <v>Cadmium Addition</v>
      </c>
      <c r="K1" s="38" t="str">
        <f>Secanim!K29</f>
        <v>Mercury Addition</v>
      </c>
      <c r="L1" s="38" t="str">
        <f>Secanim!L29</f>
        <v>Nickel Addition</v>
      </c>
      <c r="M1" s="38" t="str">
        <f>Secanim!M29</f>
        <v>Chromium Addition</v>
      </c>
      <c r="N1" s="38" t="str">
        <f>Secanim!N29</f>
        <v>Aluminium Addition</v>
      </c>
      <c r="O1" s="38" t="str">
        <f>Secanim!O29</f>
        <v>Iron Addition</v>
      </c>
      <c r="P1" s="38" t="str">
        <f>Secanim!P29</f>
        <v xml:space="preserve">Sodium Addition                 </v>
      </c>
      <c r="Q1" s="38" t="str">
        <f>Secanim!Q29</f>
        <v>SO3  Addition                             kg/ha</v>
      </c>
      <c r="R1" s="38" t="str">
        <f>Secanim!R29</f>
        <v xml:space="preserve">Selenium Addition </v>
      </c>
      <c r="S1" s="38" t="str">
        <f>Secanim!S29</f>
        <v xml:space="preserve">Arsenic  Addition  </v>
      </c>
      <c r="T1" s="38" t="str">
        <f>Secanim!T29</f>
        <v xml:space="preserve">Molybdenum Addition  </v>
      </c>
      <c r="U1" s="38" t="str">
        <f>Secanim!U29</f>
        <v xml:space="preserve">Fluoride Addition </v>
      </c>
    </row>
    <row r="2" spans="1:21" ht="25" x14ac:dyDescent="0.25">
      <c r="A2" s="144"/>
      <c r="B2" s="38" t="str">
        <f>Secanim!B30</f>
        <v>tonnes/ha</v>
      </c>
      <c r="C2" s="38" t="str">
        <f>Secanim!C30</f>
        <v>kg/ha</v>
      </c>
      <c r="D2" s="38" t="str">
        <f>Secanim!D30</f>
        <v>P2O5 
kg/ha</v>
      </c>
      <c r="E2" s="38" t="str">
        <f>Secanim!E30</f>
        <v>K2O 
kg/ha</v>
      </c>
      <c r="F2" s="38" t="str">
        <f>Secanim!F30</f>
        <v>MgO 
kg/ha</v>
      </c>
      <c r="G2" s="38" t="str">
        <f>Secanim!G30</f>
        <v>kg/ha</v>
      </c>
      <c r="H2" s="38" t="str">
        <f>Secanim!H30</f>
        <v>kg/ha</v>
      </c>
      <c r="I2" s="38" t="str">
        <f>Secanim!I30</f>
        <v>kg/ha</v>
      </c>
      <c r="J2" s="38" t="str">
        <f>Secanim!J30</f>
        <v>kg/ha</v>
      </c>
      <c r="K2" s="38" t="str">
        <f>Secanim!K30</f>
        <v>kg/ha</v>
      </c>
      <c r="L2" s="38" t="str">
        <f>Secanim!L30</f>
        <v>kg/ha</v>
      </c>
      <c r="M2" s="38" t="str">
        <f>Secanim!M30</f>
        <v>kg/ha</v>
      </c>
      <c r="N2" s="38" t="str">
        <f>Secanim!N30</f>
        <v>kg/ha</v>
      </c>
      <c r="O2" s="38" t="str">
        <f>Secanim!O30</f>
        <v>kg/ha</v>
      </c>
      <c r="P2" s="38" t="str">
        <f>Secanim!P30</f>
        <v>kg/ha</v>
      </c>
      <c r="Q2" s="38" t="str">
        <f>Secanim!Q30</f>
        <v>kg/ha</v>
      </c>
      <c r="R2" s="38" t="str">
        <f>Secanim!R30</f>
        <v>kg/ha</v>
      </c>
      <c r="S2" s="38" t="str">
        <f>Secanim!S30</f>
        <v>kg/ha</v>
      </c>
      <c r="T2" s="38" t="str">
        <f>Secanim!T30</f>
        <v>kg/ha</v>
      </c>
      <c r="U2" s="38" t="str">
        <f>Secanim!U30</f>
        <v>kg/ha</v>
      </c>
    </row>
    <row r="3" spans="1:21" x14ac:dyDescent="0.25">
      <c r="A3" s="36">
        <v>1</v>
      </c>
      <c r="B3" s="33">
        <f>Secanim!B31</f>
        <v>20</v>
      </c>
      <c r="C3" s="33">
        <f>Secanim!C31</f>
        <v>72</v>
      </c>
      <c r="D3" s="33">
        <f>Secanim!D31</f>
        <v>53.563580000000002</v>
      </c>
      <c r="E3" s="33">
        <f>Secanim!E31</f>
        <v>4.7236000000000002</v>
      </c>
      <c r="F3" s="33">
        <f>Secanim!F31</f>
        <v>1.4888839999999999</v>
      </c>
      <c r="G3" s="33">
        <f>Secanim!G31</f>
        <v>6.6400000000000001E-2</v>
      </c>
      <c r="H3" s="33">
        <f>Secanim!H31</f>
        <v>0.43000000000000005</v>
      </c>
      <c r="I3" s="33">
        <f>Secanim!I31</f>
        <v>3.0400000000000003E-2</v>
      </c>
      <c r="J3" s="33">
        <f>Secanim!J31</f>
        <v>1.4000000000000002E-3</v>
      </c>
      <c r="K3" s="33">
        <f>Secanim!K31</f>
        <v>1E-3</v>
      </c>
      <c r="L3" s="33">
        <f>Secanim!L31</f>
        <v>1.4599999999999998E-2</v>
      </c>
      <c r="M3" s="33">
        <f>Secanim!M31</f>
        <v>2.8400000000000002E-2</v>
      </c>
      <c r="N3" s="33">
        <f>Secanim!N31</f>
        <v>0</v>
      </c>
      <c r="O3" s="33">
        <f>Secanim!O31</f>
        <v>0</v>
      </c>
      <c r="P3" s="33">
        <f>Secanim!P31</f>
        <v>15.56</v>
      </c>
      <c r="Q3" s="33">
        <f>Secanim!Q31</f>
        <v>29.749999999999996</v>
      </c>
      <c r="R3" s="33">
        <f>Secanim!R31</f>
        <v>0</v>
      </c>
      <c r="S3" s="33">
        <f>Secanim!S31</f>
        <v>0</v>
      </c>
      <c r="T3" s="33">
        <f>Secanim!T31</f>
        <v>0</v>
      </c>
      <c r="U3" s="33">
        <f>Secanim!U31</f>
        <v>0</v>
      </c>
    </row>
    <row r="4" spans="1:21" x14ac:dyDescent="0.25">
      <c r="A4" s="36">
        <v>2</v>
      </c>
      <c r="B4" s="33">
        <f>'Croda G'!B31</f>
        <v>45</v>
      </c>
      <c r="C4" s="33">
        <f>'Croda G'!C31</f>
        <v>99.000000000000014</v>
      </c>
      <c r="D4" s="33">
        <f>'Croda G'!D31</f>
        <v>54.227969999999999</v>
      </c>
      <c r="E4" s="33">
        <f>'Croda G'!E31</f>
        <v>11.604149999999999</v>
      </c>
      <c r="F4" s="33">
        <f>'Croda G'!F31</f>
        <v>6.8641199999999989</v>
      </c>
      <c r="G4" s="33">
        <f>'Croda G'!G31</f>
        <v>4.41E-2</v>
      </c>
      <c r="H4" s="33">
        <f>'Croda G'!H31</f>
        <v>0.4995</v>
      </c>
      <c r="I4" s="33">
        <f>'Croda G'!I31</f>
        <v>2.2499999999999999E-2</v>
      </c>
      <c r="J4" s="33">
        <f>'Croda G'!J31</f>
        <v>4.5000000000000004E-4</v>
      </c>
      <c r="K4" s="33">
        <f>'Croda G'!K31</f>
        <v>2.2500000000000003E-3</v>
      </c>
      <c r="L4" s="33">
        <f>'Croda G'!L31</f>
        <v>2.9385000000000001E-2</v>
      </c>
      <c r="M4" s="33">
        <f>'Croda G'!M31</f>
        <v>0.22995000000000004</v>
      </c>
      <c r="N4" s="33">
        <f>'Croda G'!N31</f>
        <v>0</v>
      </c>
      <c r="O4" s="33">
        <f>'Croda G'!O31</f>
        <v>0</v>
      </c>
      <c r="P4" s="33">
        <f>'Croda G'!P31</f>
        <v>196.785</v>
      </c>
      <c r="Q4" s="33">
        <f>'Croda G'!Q31</f>
        <v>235.6875</v>
      </c>
      <c r="R4" s="33">
        <f>'Croda G'!R31</f>
        <v>0</v>
      </c>
      <c r="S4" s="33">
        <f>'Croda G'!S31</f>
        <v>0</v>
      </c>
      <c r="T4" s="33">
        <f>'Croda G'!T31</f>
        <v>0</v>
      </c>
      <c r="U4" s="33">
        <f>'Croda G'!U31</f>
        <v>0</v>
      </c>
    </row>
    <row r="5" spans="1:21" x14ac:dyDescent="0.25">
      <c r="A5" s="36">
        <v>3</v>
      </c>
      <c r="B5" s="33">
        <f>'Croda W'!B31</f>
        <v>35</v>
      </c>
      <c r="C5" s="33">
        <f>'Croda W'!C31</f>
        <v>125.99999999999999</v>
      </c>
      <c r="D5" s="33">
        <f>'Croda W'!D31</f>
        <v>54.605984999999997</v>
      </c>
      <c r="E5" s="33">
        <f>'Croda W'!E31</f>
        <v>11.598125000000001</v>
      </c>
      <c r="F5" s="33">
        <f>'Croda W'!F31</f>
        <v>12.302359999999998</v>
      </c>
      <c r="G5" s="33">
        <f>'Croda W'!G31</f>
        <v>5.1799999999999999E-2</v>
      </c>
      <c r="H5" s="33">
        <f>'Croda W'!H31</f>
        <v>0.39200000000000002</v>
      </c>
      <c r="I5" s="33">
        <f>'Croda W'!I31</f>
        <v>1.7500000000000002E-2</v>
      </c>
      <c r="J5" s="33">
        <f>'Croda W'!J31</f>
        <v>5.5999999999999995E-4</v>
      </c>
      <c r="K5" s="33">
        <f>'Croda W'!K31</f>
        <v>1.75E-3</v>
      </c>
      <c r="L5" s="33">
        <f>'Croda W'!L31</f>
        <v>1.1130000000000001E-2</v>
      </c>
      <c r="M5" s="33">
        <f>'Croda W'!M31</f>
        <v>1.8655000000000001E-2</v>
      </c>
      <c r="N5" s="33">
        <f>'Croda W'!N31</f>
        <v>0</v>
      </c>
      <c r="O5" s="33">
        <f>'Croda W'!O31</f>
        <v>0</v>
      </c>
      <c r="P5" s="33">
        <f>'Croda W'!P31</f>
        <v>14.525000000000002</v>
      </c>
      <c r="Q5" s="33">
        <f>'Croda W'!Q31</f>
        <v>62.212499999999991</v>
      </c>
      <c r="R5" s="33">
        <f>'Croda W'!R31</f>
        <v>0</v>
      </c>
      <c r="S5" s="33">
        <f>'Croda W'!S31</f>
        <v>0</v>
      </c>
      <c r="T5" s="33">
        <f>'Croda W'!T31</f>
        <v>0</v>
      </c>
      <c r="U5" s="33">
        <f>'Croda W'!U31</f>
        <v>0</v>
      </c>
    </row>
    <row r="6" spans="1:21" x14ac:dyDescent="0.25">
      <c r="A6" s="36">
        <v>4</v>
      </c>
      <c r="B6" s="33">
        <f>Maelor!B31</f>
        <v>32</v>
      </c>
      <c r="C6" s="33">
        <f>Maelor!C31</f>
        <v>118.4</v>
      </c>
      <c r="D6" s="33">
        <f>Maelor!D31</f>
        <v>54.177568000000001</v>
      </c>
      <c r="E6" s="33">
        <f>Maelor!E31</f>
        <v>6.6708800000000013</v>
      </c>
      <c r="F6" s="33">
        <f>Maelor!F31</f>
        <v>12.20288</v>
      </c>
      <c r="G6" s="33">
        <f>Maelor!G31</f>
        <v>0.10368000000000001</v>
      </c>
      <c r="H6" s="33">
        <f>Maelor!H31</f>
        <v>0.52160000000000006</v>
      </c>
      <c r="I6" s="33">
        <f>Maelor!I31</f>
        <v>1.6E-2</v>
      </c>
      <c r="J6" s="33">
        <f>Maelor!J31</f>
        <v>3.2000000000000003E-4</v>
      </c>
      <c r="K6" s="33">
        <f>Maelor!K31</f>
        <v>1.6000000000000001E-3</v>
      </c>
      <c r="L6" s="33">
        <f>Maelor!L31</f>
        <v>2.8128E-2</v>
      </c>
      <c r="M6" s="33">
        <f>Maelor!M31</f>
        <v>2.9664000000000003E-2</v>
      </c>
      <c r="N6" s="33">
        <f>Maelor!N31</f>
        <v>0</v>
      </c>
      <c r="O6" s="33">
        <f>Maelor!O31</f>
        <v>0</v>
      </c>
      <c r="P6" s="33">
        <f>Maelor!P31</f>
        <v>23.52</v>
      </c>
      <c r="Q6" s="33">
        <f>Maelor!Q31</f>
        <v>46.559999999999995</v>
      </c>
      <c r="R6" s="33">
        <f>Maelor!R31</f>
        <v>0</v>
      </c>
      <c r="S6" s="33">
        <f>Maelor!S31</f>
        <v>0</v>
      </c>
      <c r="T6" s="33">
        <f>Maelor!T31</f>
        <v>0</v>
      </c>
      <c r="U6" s="33">
        <f>Maelor!U31</f>
        <v>0</v>
      </c>
    </row>
    <row r="7" spans="1:21" x14ac:dyDescent="0.25">
      <c r="A7" s="36">
        <v>5</v>
      </c>
      <c r="B7" s="33">
        <f>Encirc!B31</f>
        <v>14</v>
      </c>
      <c r="C7" s="33">
        <f>Encirc!C31</f>
        <v>100.02874</v>
      </c>
      <c r="D7" s="33">
        <f>Encirc!D31</f>
        <v>52.275808900000001</v>
      </c>
      <c r="E7" s="33">
        <f>Encirc!E31</f>
        <v>10.775290750000002</v>
      </c>
      <c r="F7" s="33">
        <f>Encirc!F31</f>
        <v>5.2964909480000006</v>
      </c>
      <c r="G7" s="33">
        <f>Encirc!G31</f>
        <v>2.0844460000000002E-3</v>
      </c>
      <c r="H7" s="33">
        <f>Encirc!H31</f>
        <v>3.6631980000000008E-2</v>
      </c>
      <c r="I7" s="33">
        <f>Encirc!I31</f>
        <v>5.217282000000001E-3</v>
      </c>
      <c r="J7" s="33">
        <f>Encirc!J31</f>
        <v>1.2334000000000002E-4</v>
      </c>
      <c r="K7" s="33">
        <f>Encirc!K31</f>
        <v>1.2334000000000002E-4</v>
      </c>
      <c r="L7" s="33">
        <f>Encirc!L31</f>
        <v>2.6024740000000005E-2</v>
      </c>
      <c r="M7" s="33">
        <f>Encirc!M31</f>
        <v>8.0911040000000004E-2</v>
      </c>
      <c r="N7" s="33">
        <f>Encirc!N31</f>
        <v>0</v>
      </c>
      <c r="O7" s="33">
        <f>Encirc!O31</f>
        <v>0</v>
      </c>
      <c r="P7" s="33">
        <f>Encirc!P31</f>
        <v>12.827360000000002</v>
      </c>
      <c r="Q7" s="33">
        <f>Encirc!Q31</f>
        <v>52.111150000000002</v>
      </c>
      <c r="R7" s="33">
        <f>Encirc!R31</f>
        <v>0</v>
      </c>
      <c r="S7" s="33">
        <f>Encirc!S31</f>
        <v>0</v>
      </c>
      <c r="T7" s="33">
        <f>Encirc!T31</f>
        <v>0</v>
      </c>
      <c r="U7" s="33">
        <f>Encirc!U31</f>
        <v>0</v>
      </c>
    </row>
    <row r="8" spans="1:21" x14ac:dyDescent="0.25">
      <c r="A8" s="36">
        <v>6</v>
      </c>
      <c r="B8" s="33">
        <f>Beechdean!B31</f>
        <v>240</v>
      </c>
      <c r="C8" s="33">
        <f>Beechdean!C31</f>
        <v>144</v>
      </c>
      <c r="D8" s="33">
        <f>Beechdean!D31</f>
        <v>54.324191999999996</v>
      </c>
      <c r="E8" s="33">
        <f>Beechdean!E31</f>
        <v>48.874800000000008</v>
      </c>
      <c r="F8" s="33">
        <f>Beechdean!F31</f>
        <v>10.186752</v>
      </c>
      <c r="G8" s="33">
        <f>Beechdean!G31</f>
        <v>5.3040000000000004E-2</v>
      </c>
      <c r="H8" s="33">
        <f>Beechdean!H31</f>
        <v>0.24</v>
      </c>
      <c r="I8" s="33">
        <f>Beechdean!I31</f>
        <v>0.12</v>
      </c>
      <c r="J8" s="33">
        <f>Beechdean!J31</f>
        <v>2.4000000000000002E-3</v>
      </c>
      <c r="K8" s="33">
        <f>Beechdean!K31</f>
        <v>1.2E-2</v>
      </c>
      <c r="L8" s="33">
        <f>Beechdean!L31</f>
        <v>4.8000000000000001E-2</v>
      </c>
      <c r="M8" s="33">
        <f>Beechdean!M31</f>
        <v>4.8000000000000001E-2</v>
      </c>
      <c r="N8" s="33">
        <f>Beechdean!N31</f>
        <v>0</v>
      </c>
      <c r="O8" s="33">
        <f>Beechdean!O31</f>
        <v>0</v>
      </c>
      <c r="P8" s="33">
        <f>Beechdean!P31</f>
        <v>80.88000000000001</v>
      </c>
      <c r="Q8" s="33">
        <f>Beechdean!Q31</f>
        <v>46.74</v>
      </c>
      <c r="R8" s="33">
        <f>Beechdean!R31</f>
        <v>0</v>
      </c>
      <c r="S8" s="33">
        <f>Beechdean!S31</f>
        <v>0</v>
      </c>
      <c r="T8" s="33">
        <f>Beechdean!T31</f>
        <v>0</v>
      </c>
      <c r="U8" s="33">
        <f>Beechdean!U31</f>
        <v>0</v>
      </c>
    </row>
    <row r="9" spans="1:21" x14ac:dyDescent="0.25">
      <c r="A9" s="36">
        <v>7</v>
      </c>
      <c r="B9" s="33">
        <f>Penderyn!B31</f>
        <v>170</v>
      </c>
      <c r="C9" s="33">
        <f>Penderyn!C31</f>
        <v>68</v>
      </c>
      <c r="D9" s="33">
        <f>Penderyn!D31</f>
        <v>54.525799999999997</v>
      </c>
      <c r="E9" s="33">
        <f>Penderyn!E31</f>
        <v>57.767700000000012</v>
      </c>
      <c r="F9" s="33">
        <f>Penderyn!F31</f>
        <v>9.6959839999999993</v>
      </c>
      <c r="G9" s="33">
        <f>Penderyn!G31</f>
        <v>0.27710000000000001</v>
      </c>
      <c r="H9" s="33">
        <f>Penderyn!H31</f>
        <v>8.5000000000000006E-2</v>
      </c>
      <c r="I9" s="33">
        <f>Penderyn!I31</f>
        <v>8.5000000000000006E-2</v>
      </c>
      <c r="J9" s="33">
        <f>Penderyn!J31</f>
        <v>1.7000000000000001E-3</v>
      </c>
      <c r="K9" s="33">
        <f>Penderyn!K31</f>
        <v>8.5000000000000006E-3</v>
      </c>
      <c r="L9" s="33">
        <f>Penderyn!L31</f>
        <v>3.4000000000000002E-2</v>
      </c>
      <c r="M9" s="33">
        <f>Penderyn!M31</f>
        <v>3.4000000000000002E-2</v>
      </c>
      <c r="N9" s="33">
        <f>Penderyn!N31</f>
        <v>0</v>
      </c>
      <c r="O9" s="33">
        <f>Penderyn!O31</f>
        <v>0</v>
      </c>
      <c r="P9" s="33">
        <f>Penderyn!P31</f>
        <v>150.96</v>
      </c>
      <c r="Q9" s="33">
        <f>Penderyn!Q31</f>
        <v>18.912499999999998</v>
      </c>
      <c r="R9" s="33">
        <f>Penderyn!R31</f>
        <v>0</v>
      </c>
      <c r="S9" s="33">
        <f>Penderyn!S31</f>
        <v>0</v>
      </c>
      <c r="T9" s="33">
        <f>Penderyn!T31</f>
        <v>0</v>
      </c>
      <c r="U9" s="33">
        <f>Penderyn!U31</f>
        <v>0</v>
      </c>
    </row>
    <row r="10" spans="1:21" x14ac:dyDescent="0.25">
      <c r="A10" s="36">
        <v>8</v>
      </c>
      <c r="B10" s="33">
        <f>Kelloggs!B31</f>
        <v>45</v>
      </c>
      <c r="C10" s="33">
        <f>Kelloggs!C31</f>
        <v>144</v>
      </c>
      <c r="D10" s="33">
        <f>Kelloggs!D31</f>
        <v>54.537254999999995</v>
      </c>
      <c r="E10" s="33">
        <f>Kelloggs!E31</f>
        <v>13.6647</v>
      </c>
      <c r="F10" s="33">
        <f>Kelloggs!F31</f>
        <v>4.8123449999999997</v>
      </c>
      <c r="G10" s="33">
        <f>Kelloggs!G31</f>
        <v>5.4449999999999998E-2</v>
      </c>
      <c r="H10" s="33">
        <f>Kelloggs!H31</f>
        <v>0.10485</v>
      </c>
      <c r="I10" s="33">
        <f>Kelloggs!I31</f>
        <v>2.2499999999999999E-2</v>
      </c>
      <c r="J10" s="33">
        <f>Kelloggs!J31</f>
        <v>4.5000000000000004E-4</v>
      </c>
      <c r="K10" s="33">
        <f>Kelloggs!K31</f>
        <v>2.2500000000000003E-3</v>
      </c>
      <c r="L10" s="33">
        <f>Kelloggs!L31</f>
        <v>9.0000000000000011E-3</v>
      </c>
      <c r="M10" s="33">
        <f>Kelloggs!M31</f>
        <v>2.1149999999999999E-2</v>
      </c>
      <c r="N10" s="33">
        <f>Kelloggs!N31</f>
        <v>0</v>
      </c>
      <c r="O10" s="33">
        <f>Kelloggs!O31</f>
        <v>0</v>
      </c>
      <c r="P10" s="33">
        <f>Kelloggs!P31</f>
        <v>2.7765000000000004</v>
      </c>
      <c r="Q10" s="33">
        <f>Kelloggs!Q31</f>
        <v>19.912500000000001</v>
      </c>
      <c r="R10" s="33">
        <f>Kelloggs!R31</f>
        <v>0</v>
      </c>
      <c r="S10" s="33">
        <f>Kelloggs!S31</f>
        <v>0</v>
      </c>
      <c r="T10" s="33">
        <f>Kelloggs!T31</f>
        <v>0</v>
      </c>
      <c r="U10" s="33">
        <f>Kelloggs!U31</f>
        <v>0</v>
      </c>
    </row>
    <row r="11" spans="1:21" x14ac:dyDescent="0.25">
      <c r="A11" s="36">
        <v>9</v>
      </c>
      <c r="B11" s="33">
        <f>'Rowan Food'!B31</f>
        <v>250</v>
      </c>
      <c r="C11" s="33">
        <f>'Rowan Food'!C31</f>
        <v>425.00000000000006</v>
      </c>
      <c r="D11" s="33">
        <f>'Rowan Food'!D31</f>
        <v>115.12275</v>
      </c>
      <c r="E11" s="33">
        <f>'Rowan Food'!E31</f>
        <v>62.057500000000012</v>
      </c>
      <c r="F11" s="33">
        <f>'Rowan Food'!F31</f>
        <v>21.76125</v>
      </c>
      <c r="G11" s="33">
        <f>'Rowan Food'!G31</f>
        <v>8.8749999999999996E-2</v>
      </c>
      <c r="H11" s="33">
        <f>'Rowan Food'!H31</f>
        <v>0.58250000000000002</v>
      </c>
      <c r="I11" s="33">
        <f>'Rowan Food'!I31</f>
        <v>0.125</v>
      </c>
      <c r="J11" s="33">
        <f>'Rowan Food'!J31</f>
        <v>2.5000000000000001E-3</v>
      </c>
      <c r="K11" s="33">
        <f>'Rowan Food'!K31</f>
        <v>1.2500000000000001E-2</v>
      </c>
      <c r="L11" s="33">
        <f>'Rowan Food'!L31</f>
        <v>5.3499999999999999E-2</v>
      </c>
      <c r="M11" s="33">
        <f>'Rowan Food'!M31</f>
        <v>0.1285</v>
      </c>
      <c r="N11" s="33">
        <f>'Rowan Food'!N31</f>
        <v>0</v>
      </c>
      <c r="O11" s="33">
        <f>'Rowan Food'!O31</f>
        <v>0</v>
      </c>
      <c r="P11" s="33">
        <f>'Rowan Food'!P31</f>
        <v>103.50000000000001</v>
      </c>
      <c r="Q11" s="33">
        <f>'Rowan Food'!Q31</f>
        <v>143.125</v>
      </c>
      <c r="R11" s="33">
        <f>'Rowan Food'!R31</f>
        <v>0</v>
      </c>
      <c r="S11" s="33">
        <f>'Rowan Food'!S31</f>
        <v>0</v>
      </c>
      <c r="T11" s="33">
        <f>'Rowan Food'!T31</f>
        <v>0</v>
      </c>
      <c r="U11" s="33">
        <f>'Rowan Food'!U31</f>
        <v>0</v>
      </c>
    </row>
    <row r="12" spans="1:21" x14ac:dyDescent="0.25">
      <c r="A12" s="36">
        <v>10</v>
      </c>
      <c r="B12" s="33">
        <f>D.wise!B31</f>
        <v>22</v>
      </c>
      <c r="C12" s="33">
        <f>D.wise!C31</f>
        <v>238.12799999999999</v>
      </c>
      <c r="D12" s="33">
        <f>D.wise!D31</f>
        <v>54.927091559999994</v>
      </c>
      <c r="E12" s="33">
        <f>D.wise!E31</f>
        <v>19.651332799999999</v>
      </c>
      <c r="F12" s="33">
        <f>D.wise!F31</f>
        <v>101.5455364</v>
      </c>
      <c r="G12" s="33">
        <f>D.wise!G31</f>
        <v>3.8966399999999998E-2</v>
      </c>
      <c r="H12" s="33">
        <f>D.wise!H31</f>
        <v>0.10805960000000001</v>
      </c>
      <c r="I12" s="33">
        <f>D.wise!I31</f>
        <v>1.804E-2</v>
      </c>
      <c r="J12" s="33">
        <f>D.wise!J31</f>
        <v>1.804E-3</v>
      </c>
      <c r="K12" s="33">
        <f>D.wise!K31</f>
        <v>1.804E-3</v>
      </c>
      <c r="L12" s="33">
        <f>D.wise!L31</f>
        <v>1.804E-2</v>
      </c>
      <c r="M12" s="33">
        <f>D.wise!M31</f>
        <v>3.6080000000000001E-2</v>
      </c>
      <c r="N12" s="33">
        <f>D.wise!N31</f>
        <v>0</v>
      </c>
      <c r="O12" s="33">
        <f>D.wise!O31</f>
        <v>0</v>
      </c>
      <c r="P12" s="33">
        <f>D.wise!P31</f>
        <v>22.802559999999996</v>
      </c>
      <c r="Q12" s="33">
        <f>D.wise!Q31</f>
        <v>83.615399999999994</v>
      </c>
      <c r="R12" s="33">
        <f>D.wise!R31</f>
        <v>0</v>
      </c>
      <c r="S12" s="33">
        <f>D.wise!S31</f>
        <v>0</v>
      </c>
      <c r="T12" s="33">
        <f>D.wise!T31</f>
        <v>0</v>
      </c>
      <c r="U12" s="33">
        <f>D.wise!U31</f>
        <v>0</v>
      </c>
    </row>
    <row r="13" spans="1:21" s="82" customFormat="1" ht="15.5" x14ac:dyDescent="0.35">
      <c r="A13" s="80" t="s">
        <v>85</v>
      </c>
      <c r="B13" s="81">
        <f>SUM(B3:B12)</f>
        <v>873</v>
      </c>
      <c r="C13" s="81">
        <f t="shared" ref="C13:U13" si="0">SUM(C3:C12)</f>
        <v>1534.55674</v>
      </c>
      <c r="D13" s="81">
        <f t="shared" si="0"/>
        <v>602.28800046000003</v>
      </c>
      <c r="E13" s="81">
        <f t="shared" si="0"/>
        <v>247.38807855000005</v>
      </c>
      <c r="F13" s="81">
        <f t="shared" si="0"/>
        <v>186.15660234799998</v>
      </c>
      <c r="G13" s="81">
        <f t="shared" si="0"/>
        <v>0.78037084599999995</v>
      </c>
      <c r="H13" s="81">
        <f t="shared" si="0"/>
        <v>3.0001415799999998</v>
      </c>
      <c r="I13" s="81">
        <f t="shared" si="0"/>
        <v>0.46215728200000006</v>
      </c>
      <c r="J13" s="81">
        <f t="shared" si="0"/>
        <v>1.170734E-2</v>
      </c>
      <c r="K13" s="81">
        <f t="shared" si="0"/>
        <v>4.3777339999999998E-2</v>
      </c>
      <c r="L13" s="81">
        <f t="shared" si="0"/>
        <v>0.27180774000000002</v>
      </c>
      <c r="M13" s="81">
        <f t="shared" si="0"/>
        <v>0.65531003999999993</v>
      </c>
      <c r="N13" s="81">
        <f t="shared" si="0"/>
        <v>0</v>
      </c>
      <c r="O13" s="81">
        <f t="shared" si="0"/>
        <v>0</v>
      </c>
      <c r="P13" s="81">
        <f t="shared" si="0"/>
        <v>624.13642000000004</v>
      </c>
      <c r="Q13" s="81">
        <f t="shared" si="0"/>
        <v>738.62655000000007</v>
      </c>
      <c r="R13" s="81">
        <f t="shared" si="0"/>
        <v>0</v>
      </c>
      <c r="S13" s="81">
        <f t="shared" si="0"/>
        <v>0</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Secanim!B29</f>
        <v>Application Rate</v>
      </c>
      <c r="D1" s="35" t="str">
        <f>Secanim!C29</f>
        <v>Nitrogen Addition</v>
      </c>
      <c r="E1" s="35" t="str">
        <f>Secanim!D29</f>
        <v>Phosphate Addition</v>
      </c>
      <c r="F1" s="35" t="str">
        <f>Secanim!E29</f>
        <v>Potash  Addition</v>
      </c>
      <c r="G1" s="35" t="str">
        <f>Secanim!F29</f>
        <v>Mg Oxide Addition</v>
      </c>
      <c r="H1" s="35" t="str">
        <f>Secanim!G29</f>
        <v>Copper Addition</v>
      </c>
      <c r="I1" s="35" t="str">
        <f>Secanim!H29</f>
        <v>Zinc Addition</v>
      </c>
      <c r="J1" s="35" t="str">
        <f>Secanim!I29</f>
        <v>Lead Addition</v>
      </c>
      <c r="K1" s="35" t="str">
        <f>Secanim!J29</f>
        <v>Cadmium Addition</v>
      </c>
      <c r="L1" s="35" t="str">
        <f>Secanim!K29</f>
        <v>Mercury Addition</v>
      </c>
      <c r="M1" s="35" t="str">
        <f>Secanim!L29</f>
        <v>Nickel Addition</v>
      </c>
      <c r="N1" s="35" t="str">
        <f>Secanim!M29</f>
        <v>Chromium Addition</v>
      </c>
      <c r="O1" s="35" t="str">
        <f>Secanim!N29</f>
        <v>Aluminium Addition</v>
      </c>
      <c r="P1" s="35" t="str">
        <f>Secanim!O29</f>
        <v>Iron Addition</v>
      </c>
      <c r="Q1" s="35" t="str">
        <f>Secanim!P29</f>
        <v xml:space="preserve">Sodium Addition                 </v>
      </c>
      <c r="R1" s="35" t="str">
        <f>Secanim!Q29</f>
        <v>SO3  Addition                             kg/ha</v>
      </c>
      <c r="S1" s="35" t="str">
        <f>Secanim!R29</f>
        <v xml:space="preserve">Selenium Addition </v>
      </c>
      <c r="T1" s="35" t="str">
        <f>Secanim!S29</f>
        <v xml:space="preserve">Arsenic  Addition  </v>
      </c>
      <c r="U1" s="35" t="str">
        <f>Secanim!T29</f>
        <v xml:space="preserve">Molybdenum Addition  </v>
      </c>
      <c r="V1" s="35" t="str">
        <f>Secanim!U29</f>
        <v xml:space="preserve">Fluoride Addition </v>
      </c>
    </row>
    <row r="2" spans="1:22" s="83" customFormat="1" ht="25" x14ac:dyDescent="0.35">
      <c r="A2" s="145"/>
      <c r="B2" s="32" t="s">
        <v>46</v>
      </c>
      <c r="C2" s="35" t="str">
        <f>Secanim!B30</f>
        <v>tonnes/ha</v>
      </c>
      <c r="D2" s="35" t="str">
        <f>Secanim!C30</f>
        <v>kg/ha</v>
      </c>
      <c r="E2" s="35" t="str">
        <f>Secanim!D30</f>
        <v>P2O5 
kg/ha</v>
      </c>
      <c r="F2" s="35" t="str">
        <f>Secanim!E30</f>
        <v>K2O 
kg/ha</v>
      </c>
      <c r="G2" s="35" t="str">
        <f>Secanim!F30</f>
        <v>MgO 
kg/ha</v>
      </c>
      <c r="H2" s="35" t="str">
        <f>Secanim!G30</f>
        <v>kg/ha</v>
      </c>
      <c r="I2" s="35" t="str">
        <f>Secanim!H30</f>
        <v>kg/ha</v>
      </c>
      <c r="J2" s="35" t="str">
        <f>Secanim!I30</f>
        <v>kg/ha</v>
      </c>
      <c r="K2" s="35" t="str">
        <f>Secanim!J30</f>
        <v>kg/ha</v>
      </c>
      <c r="L2" s="35" t="str">
        <f>Secanim!K30</f>
        <v>kg/ha</v>
      </c>
      <c r="M2" s="35" t="str">
        <f>Secanim!L30</f>
        <v>kg/ha</v>
      </c>
      <c r="N2" s="35" t="str">
        <f>Secanim!M30</f>
        <v>kg/ha</v>
      </c>
      <c r="O2" s="35" t="str">
        <f>Secanim!N30</f>
        <v>kg/ha</v>
      </c>
      <c r="P2" s="35" t="str">
        <f>Secanim!O30</f>
        <v>kg/ha</v>
      </c>
      <c r="Q2" s="35" t="str">
        <f>Secanim!P30</f>
        <v>kg/ha</v>
      </c>
      <c r="R2" s="35" t="str">
        <f>Secanim!Q30</f>
        <v>kg/ha</v>
      </c>
      <c r="S2" s="35" t="str">
        <f>Secanim!R30</f>
        <v>kg/ha</v>
      </c>
      <c r="T2" s="35" t="str">
        <f>Secanim!S30</f>
        <v>kg/ha</v>
      </c>
      <c r="U2" s="35" t="str">
        <f>Secanim!T30</f>
        <v>kg/ha</v>
      </c>
      <c r="V2" s="35" t="str">
        <f>Secanim!U30</f>
        <v>kg/ha</v>
      </c>
    </row>
    <row r="3" spans="1:22" x14ac:dyDescent="0.25">
      <c r="A3" s="36">
        <v>1</v>
      </c>
      <c r="B3" s="91"/>
      <c r="C3" s="33">
        <f>Secanim!B31</f>
        <v>20</v>
      </c>
      <c r="D3" s="33">
        <f>Secanim!C31</f>
        <v>72</v>
      </c>
      <c r="E3" s="33">
        <f>Secanim!D31</f>
        <v>53.563580000000002</v>
      </c>
      <c r="F3" s="33">
        <f>Secanim!E31</f>
        <v>4.7236000000000002</v>
      </c>
      <c r="G3" s="33">
        <f>Secanim!F31</f>
        <v>1.4888839999999999</v>
      </c>
      <c r="H3" s="33">
        <f>Secanim!G31</f>
        <v>6.6400000000000001E-2</v>
      </c>
      <c r="I3" s="33">
        <f>Secanim!H31</f>
        <v>0.43000000000000005</v>
      </c>
      <c r="J3" s="33">
        <f>Secanim!I31</f>
        <v>3.0400000000000003E-2</v>
      </c>
      <c r="K3" s="33">
        <f>Secanim!J31</f>
        <v>1.4000000000000002E-3</v>
      </c>
      <c r="L3" s="33">
        <f>Secanim!K31</f>
        <v>1E-3</v>
      </c>
      <c r="M3" s="33">
        <f>Secanim!L31</f>
        <v>1.4599999999999998E-2</v>
      </c>
      <c r="N3" s="33">
        <f>Secanim!M31</f>
        <v>2.8400000000000002E-2</v>
      </c>
      <c r="O3" s="33">
        <f>Secanim!N31</f>
        <v>0</v>
      </c>
      <c r="P3" s="33">
        <f>Secanim!O31</f>
        <v>0</v>
      </c>
      <c r="Q3" s="33">
        <f>Secanim!P31</f>
        <v>15.56</v>
      </c>
      <c r="R3" s="33">
        <f>Secanim!Q31</f>
        <v>29.749999999999996</v>
      </c>
      <c r="S3" s="33">
        <f>Secanim!R31</f>
        <v>0</v>
      </c>
      <c r="T3" s="33">
        <f>Secanim!S31</f>
        <v>0</v>
      </c>
      <c r="U3" s="33">
        <f>Secanim!T31</f>
        <v>0</v>
      </c>
      <c r="V3" s="33">
        <f>Secanim!U31</f>
        <v>0</v>
      </c>
    </row>
    <row r="4" spans="1:22" x14ac:dyDescent="0.25">
      <c r="A4" s="36">
        <v>2</v>
      </c>
      <c r="B4" s="91"/>
      <c r="C4" s="33">
        <f>'Croda G'!B31</f>
        <v>45</v>
      </c>
      <c r="D4" s="33">
        <f>'Croda G'!C31</f>
        <v>99.000000000000014</v>
      </c>
      <c r="E4" s="33">
        <f>'Croda G'!D31</f>
        <v>54.227969999999999</v>
      </c>
      <c r="F4" s="33">
        <f>'Croda G'!E31</f>
        <v>11.604149999999999</v>
      </c>
      <c r="G4" s="33">
        <f>'Croda G'!F31</f>
        <v>6.8641199999999989</v>
      </c>
      <c r="H4" s="33">
        <f>'Croda G'!G31</f>
        <v>4.41E-2</v>
      </c>
      <c r="I4" s="33">
        <f>'Croda G'!H31</f>
        <v>0.4995</v>
      </c>
      <c r="J4" s="33">
        <f>'Croda G'!I31</f>
        <v>2.2499999999999999E-2</v>
      </c>
      <c r="K4" s="33">
        <f>'Croda G'!J31</f>
        <v>4.5000000000000004E-4</v>
      </c>
      <c r="L4" s="33">
        <f>'Croda G'!K31</f>
        <v>2.2500000000000003E-3</v>
      </c>
      <c r="M4" s="33">
        <f>'Croda G'!L31</f>
        <v>2.9385000000000001E-2</v>
      </c>
      <c r="N4" s="33">
        <f>'Croda G'!M31</f>
        <v>0.22995000000000004</v>
      </c>
      <c r="O4" s="33">
        <f>'Croda G'!N31</f>
        <v>0</v>
      </c>
      <c r="P4" s="33">
        <f>'Croda G'!O31</f>
        <v>0</v>
      </c>
      <c r="Q4" s="33">
        <f>'Croda G'!P31</f>
        <v>196.785</v>
      </c>
      <c r="R4" s="33">
        <f>'Croda G'!Q31</f>
        <v>235.6875</v>
      </c>
      <c r="S4" s="33">
        <f>'Croda G'!R31</f>
        <v>0</v>
      </c>
      <c r="T4" s="33">
        <f>'Croda G'!S31</f>
        <v>0</v>
      </c>
      <c r="U4" s="33">
        <f>'Croda G'!T31</f>
        <v>0</v>
      </c>
      <c r="V4" s="33">
        <f>'Croda G'!U31</f>
        <v>0</v>
      </c>
    </row>
    <row r="5" spans="1:22" x14ac:dyDescent="0.25">
      <c r="A5" s="36">
        <v>3</v>
      </c>
      <c r="B5" s="91"/>
      <c r="C5" s="33">
        <f>'Croda W'!B31</f>
        <v>35</v>
      </c>
      <c r="D5" s="33">
        <f>'Croda W'!C31</f>
        <v>125.99999999999999</v>
      </c>
      <c r="E5" s="33">
        <f>'Croda W'!D31</f>
        <v>54.605984999999997</v>
      </c>
      <c r="F5" s="33">
        <f>'Croda W'!E31</f>
        <v>11.598125000000001</v>
      </c>
      <c r="G5" s="33">
        <f>'Croda W'!F31</f>
        <v>12.302359999999998</v>
      </c>
      <c r="H5" s="33">
        <f>'Croda W'!G31</f>
        <v>5.1799999999999999E-2</v>
      </c>
      <c r="I5" s="33">
        <f>'Croda W'!H31</f>
        <v>0.39200000000000002</v>
      </c>
      <c r="J5" s="33">
        <f>'Croda W'!I31</f>
        <v>1.7500000000000002E-2</v>
      </c>
      <c r="K5" s="33">
        <f>'Croda W'!J31</f>
        <v>5.5999999999999995E-4</v>
      </c>
      <c r="L5" s="33">
        <f>'Croda W'!K31</f>
        <v>1.75E-3</v>
      </c>
      <c r="M5" s="33">
        <f>'Croda W'!L31</f>
        <v>1.1130000000000001E-2</v>
      </c>
      <c r="N5" s="33">
        <f>'Croda W'!M31</f>
        <v>1.8655000000000001E-2</v>
      </c>
      <c r="O5" s="33">
        <f>'Croda W'!N31</f>
        <v>0</v>
      </c>
      <c r="P5" s="33">
        <f>'Croda W'!O31</f>
        <v>0</v>
      </c>
      <c r="Q5" s="33">
        <f>'Croda W'!P31</f>
        <v>14.525000000000002</v>
      </c>
      <c r="R5" s="33">
        <f>'Croda W'!Q31</f>
        <v>62.212499999999991</v>
      </c>
      <c r="S5" s="33">
        <f>'Croda W'!R31</f>
        <v>0</v>
      </c>
      <c r="T5" s="33">
        <f>'Croda W'!S31</f>
        <v>0</v>
      </c>
      <c r="U5" s="33">
        <f>'Croda W'!T31</f>
        <v>0</v>
      </c>
      <c r="V5" s="33">
        <f>'Croda W'!U31</f>
        <v>0</v>
      </c>
    </row>
    <row r="6" spans="1:22" x14ac:dyDescent="0.25">
      <c r="A6" s="36">
        <v>4</v>
      </c>
      <c r="B6" s="91"/>
      <c r="C6" s="33">
        <f>Maelor!B31</f>
        <v>32</v>
      </c>
      <c r="D6" s="33">
        <f>Maelor!C31</f>
        <v>118.4</v>
      </c>
      <c r="E6" s="33">
        <f>Maelor!D31</f>
        <v>54.177568000000001</v>
      </c>
      <c r="F6" s="33">
        <f>Maelor!E31</f>
        <v>6.6708800000000013</v>
      </c>
      <c r="G6" s="33">
        <f>Maelor!F31</f>
        <v>12.20288</v>
      </c>
      <c r="H6" s="33">
        <f>Maelor!G31</f>
        <v>0.10368000000000001</v>
      </c>
      <c r="I6" s="33">
        <f>Maelor!H31</f>
        <v>0.52160000000000006</v>
      </c>
      <c r="J6" s="33">
        <f>Maelor!I31</f>
        <v>1.6E-2</v>
      </c>
      <c r="K6" s="33">
        <f>Maelor!J31</f>
        <v>3.2000000000000003E-4</v>
      </c>
      <c r="L6" s="33">
        <f>Maelor!K31</f>
        <v>1.6000000000000001E-3</v>
      </c>
      <c r="M6" s="33">
        <f>Maelor!L31</f>
        <v>2.8128E-2</v>
      </c>
      <c r="N6" s="33">
        <f>Maelor!M31</f>
        <v>2.9664000000000003E-2</v>
      </c>
      <c r="O6" s="33">
        <f>Maelor!N31</f>
        <v>0</v>
      </c>
      <c r="P6" s="33">
        <f>Maelor!O31</f>
        <v>0</v>
      </c>
      <c r="Q6" s="33">
        <f>Maelor!P31</f>
        <v>23.52</v>
      </c>
      <c r="R6" s="33">
        <f>Maelor!Q31</f>
        <v>46.559999999999995</v>
      </c>
      <c r="S6" s="33">
        <f>Maelor!R31</f>
        <v>0</v>
      </c>
      <c r="T6" s="33">
        <f>Maelor!S31</f>
        <v>0</v>
      </c>
      <c r="U6" s="33">
        <f>Maelor!T31</f>
        <v>0</v>
      </c>
      <c r="V6" s="33">
        <f>Maelor!U31</f>
        <v>0</v>
      </c>
    </row>
    <row r="7" spans="1:22" x14ac:dyDescent="0.25">
      <c r="A7" s="36">
        <v>5</v>
      </c>
      <c r="B7" s="91"/>
      <c r="C7" s="33">
        <f>Encirc!B31</f>
        <v>14</v>
      </c>
      <c r="D7" s="33">
        <f>Encirc!C31</f>
        <v>100.02874</v>
      </c>
      <c r="E7" s="33">
        <f>Encirc!D31</f>
        <v>52.275808900000001</v>
      </c>
      <c r="F7" s="33">
        <f>Encirc!E31</f>
        <v>10.775290750000002</v>
      </c>
      <c r="G7" s="33">
        <f>Encirc!F31</f>
        <v>5.2964909480000006</v>
      </c>
      <c r="H7" s="33">
        <f>Encirc!G31</f>
        <v>2.0844460000000002E-3</v>
      </c>
      <c r="I7" s="33">
        <f>Encirc!H31</f>
        <v>3.6631980000000008E-2</v>
      </c>
      <c r="J7" s="33">
        <f>Encirc!I31</f>
        <v>5.217282000000001E-3</v>
      </c>
      <c r="K7" s="33">
        <f>Encirc!J31</f>
        <v>1.2334000000000002E-4</v>
      </c>
      <c r="L7" s="33">
        <f>Encirc!K31</f>
        <v>1.2334000000000002E-4</v>
      </c>
      <c r="M7" s="33">
        <f>Encirc!L31</f>
        <v>2.6024740000000005E-2</v>
      </c>
      <c r="N7" s="33">
        <f>Encirc!M31</f>
        <v>8.0911040000000004E-2</v>
      </c>
      <c r="O7" s="33">
        <f>Encirc!N31</f>
        <v>0</v>
      </c>
      <c r="P7" s="33">
        <f>Encirc!O31</f>
        <v>0</v>
      </c>
      <c r="Q7" s="33">
        <f>Encirc!P31</f>
        <v>12.827360000000002</v>
      </c>
      <c r="R7" s="33">
        <f>Encirc!Q31</f>
        <v>52.111150000000002</v>
      </c>
      <c r="S7" s="33">
        <f>Encirc!R31</f>
        <v>0</v>
      </c>
      <c r="T7" s="33">
        <f>Encirc!S31</f>
        <v>0</v>
      </c>
      <c r="U7" s="33">
        <f>Encirc!T31</f>
        <v>0</v>
      </c>
      <c r="V7" s="33">
        <f>Encirc!U31</f>
        <v>0</v>
      </c>
    </row>
    <row r="8" spans="1:22" x14ac:dyDescent="0.25">
      <c r="A8" s="36">
        <v>6</v>
      </c>
      <c r="B8" s="91"/>
      <c r="C8" s="33">
        <f>Beechdean!B31</f>
        <v>240</v>
      </c>
      <c r="D8" s="33">
        <f>Beechdean!C31</f>
        <v>144</v>
      </c>
      <c r="E8" s="33">
        <f>Beechdean!D31</f>
        <v>54.324191999999996</v>
      </c>
      <c r="F8" s="33">
        <f>Beechdean!E31</f>
        <v>48.874800000000008</v>
      </c>
      <c r="G8" s="33">
        <f>Beechdean!F31</f>
        <v>10.186752</v>
      </c>
      <c r="H8" s="33">
        <f>Beechdean!G31</f>
        <v>5.3040000000000004E-2</v>
      </c>
      <c r="I8" s="33">
        <f>Beechdean!H31</f>
        <v>0.24</v>
      </c>
      <c r="J8" s="33">
        <f>Beechdean!I31</f>
        <v>0.12</v>
      </c>
      <c r="K8" s="33">
        <f>Beechdean!J31</f>
        <v>2.4000000000000002E-3</v>
      </c>
      <c r="L8" s="33">
        <f>Beechdean!K31</f>
        <v>1.2E-2</v>
      </c>
      <c r="M8" s="33">
        <f>Beechdean!L31</f>
        <v>4.8000000000000001E-2</v>
      </c>
      <c r="N8" s="33">
        <f>Beechdean!M31</f>
        <v>4.8000000000000001E-2</v>
      </c>
      <c r="O8" s="33">
        <f>Beechdean!N31</f>
        <v>0</v>
      </c>
      <c r="P8" s="33">
        <f>Beechdean!O31</f>
        <v>0</v>
      </c>
      <c r="Q8" s="33">
        <f>Beechdean!P31</f>
        <v>80.88000000000001</v>
      </c>
      <c r="R8" s="33">
        <f>Beechdean!Q31</f>
        <v>46.74</v>
      </c>
      <c r="S8" s="33">
        <f>Beechdean!R31</f>
        <v>0</v>
      </c>
      <c r="T8" s="33">
        <f>Beechdean!S31</f>
        <v>0</v>
      </c>
      <c r="U8" s="33">
        <f>Beechdean!T31</f>
        <v>0</v>
      </c>
      <c r="V8" s="33">
        <f>Beechdean!U31</f>
        <v>0</v>
      </c>
    </row>
    <row r="9" spans="1:22" x14ac:dyDescent="0.25">
      <c r="A9" s="36">
        <v>7</v>
      </c>
      <c r="B9" s="91"/>
      <c r="C9" s="33">
        <f>Penderyn!B31</f>
        <v>170</v>
      </c>
      <c r="D9" s="33">
        <f>Penderyn!C31</f>
        <v>68</v>
      </c>
      <c r="E9" s="33">
        <f>Penderyn!D31</f>
        <v>54.525799999999997</v>
      </c>
      <c r="F9" s="33">
        <f>Penderyn!E31</f>
        <v>57.767700000000012</v>
      </c>
      <c r="G9" s="33">
        <f>Penderyn!F31</f>
        <v>9.6959839999999993</v>
      </c>
      <c r="H9" s="33">
        <f>Penderyn!G31</f>
        <v>0.27710000000000001</v>
      </c>
      <c r="I9" s="33">
        <f>Penderyn!H31</f>
        <v>8.5000000000000006E-2</v>
      </c>
      <c r="J9" s="33">
        <f>Penderyn!I31</f>
        <v>8.5000000000000006E-2</v>
      </c>
      <c r="K9" s="33">
        <f>Penderyn!J31</f>
        <v>1.7000000000000001E-3</v>
      </c>
      <c r="L9" s="33">
        <f>Penderyn!K31</f>
        <v>8.5000000000000006E-3</v>
      </c>
      <c r="M9" s="33">
        <f>Penderyn!L31</f>
        <v>3.4000000000000002E-2</v>
      </c>
      <c r="N9" s="33">
        <f>Penderyn!M31</f>
        <v>3.4000000000000002E-2</v>
      </c>
      <c r="O9" s="33">
        <f>Penderyn!N31</f>
        <v>0</v>
      </c>
      <c r="P9" s="33">
        <f>Penderyn!O31</f>
        <v>0</v>
      </c>
      <c r="Q9" s="33">
        <f>Penderyn!P31</f>
        <v>150.96</v>
      </c>
      <c r="R9" s="33">
        <f>Penderyn!Q31</f>
        <v>18.912499999999998</v>
      </c>
      <c r="S9" s="33">
        <f>Penderyn!R31</f>
        <v>0</v>
      </c>
      <c r="T9" s="33">
        <f>Penderyn!S31</f>
        <v>0</v>
      </c>
      <c r="U9" s="33">
        <f>Penderyn!T31</f>
        <v>0</v>
      </c>
      <c r="V9" s="33">
        <f>Penderyn!U31</f>
        <v>0</v>
      </c>
    </row>
    <row r="10" spans="1:22" x14ac:dyDescent="0.25">
      <c r="A10" s="36">
        <v>8</v>
      </c>
      <c r="B10" s="91"/>
      <c r="C10" s="33">
        <f>Kelloggs!B31</f>
        <v>45</v>
      </c>
      <c r="D10" s="33">
        <f>Kelloggs!C31</f>
        <v>144</v>
      </c>
      <c r="E10" s="33">
        <f>Kelloggs!D31</f>
        <v>54.537254999999995</v>
      </c>
      <c r="F10" s="33">
        <f>Kelloggs!E31</f>
        <v>13.6647</v>
      </c>
      <c r="G10" s="33">
        <f>Kelloggs!F31</f>
        <v>4.8123449999999997</v>
      </c>
      <c r="H10" s="33">
        <f>Kelloggs!G31</f>
        <v>5.4449999999999998E-2</v>
      </c>
      <c r="I10" s="33">
        <f>Kelloggs!H31</f>
        <v>0.10485</v>
      </c>
      <c r="J10" s="33">
        <f>Kelloggs!I31</f>
        <v>2.2499999999999999E-2</v>
      </c>
      <c r="K10" s="33">
        <f>Kelloggs!J31</f>
        <v>4.5000000000000004E-4</v>
      </c>
      <c r="L10" s="33">
        <f>Kelloggs!K31</f>
        <v>2.2500000000000003E-3</v>
      </c>
      <c r="M10" s="33">
        <f>Kelloggs!L31</f>
        <v>9.0000000000000011E-3</v>
      </c>
      <c r="N10" s="33">
        <f>Kelloggs!M31</f>
        <v>2.1149999999999999E-2</v>
      </c>
      <c r="O10" s="33">
        <f>Kelloggs!N31</f>
        <v>0</v>
      </c>
      <c r="P10" s="33">
        <f>Kelloggs!O31</f>
        <v>0</v>
      </c>
      <c r="Q10" s="33">
        <f>Kelloggs!P31</f>
        <v>2.7765000000000004</v>
      </c>
      <c r="R10" s="33">
        <f>Kelloggs!Q31</f>
        <v>19.912500000000001</v>
      </c>
      <c r="S10" s="33">
        <f>Kelloggs!R31</f>
        <v>0</v>
      </c>
      <c r="T10" s="33">
        <f>Kelloggs!S31</f>
        <v>0</v>
      </c>
      <c r="U10" s="33">
        <f>Kelloggs!T31</f>
        <v>0</v>
      </c>
      <c r="V10" s="33">
        <f>Kelloggs!U31</f>
        <v>0</v>
      </c>
    </row>
    <row r="11" spans="1:22" x14ac:dyDescent="0.25">
      <c r="A11" s="36">
        <v>9</v>
      </c>
      <c r="B11" s="91"/>
      <c r="C11" s="33">
        <f>'Rowan Food'!B31</f>
        <v>250</v>
      </c>
      <c r="D11" s="33">
        <f>'Rowan Food'!C31</f>
        <v>425.00000000000006</v>
      </c>
      <c r="E11" s="33">
        <f>'Rowan Food'!D31</f>
        <v>115.12275</v>
      </c>
      <c r="F11" s="33">
        <f>'Rowan Food'!E31</f>
        <v>62.057500000000012</v>
      </c>
      <c r="G11" s="33">
        <f>'Rowan Food'!F31</f>
        <v>21.76125</v>
      </c>
      <c r="H11" s="33">
        <f>'Rowan Food'!G31</f>
        <v>8.8749999999999996E-2</v>
      </c>
      <c r="I11" s="33">
        <f>'Rowan Food'!H31</f>
        <v>0.58250000000000002</v>
      </c>
      <c r="J11" s="33">
        <f>'Rowan Food'!I31</f>
        <v>0.125</v>
      </c>
      <c r="K11" s="33">
        <f>'Rowan Food'!J31</f>
        <v>2.5000000000000001E-3</v>
      </c>
      <c r="L11" s="33">
        <f>'Rowan Food'!K31</f>
        <v>1.2500000000000001E-2</v>
      </c>
      <c r="M11" s="33">
        <f>'Rowan Food'!L31</f>
        <v>5.3499999999999999E-2</v>
      </c>
      <c r="N11" s="33">
        <f>'Rowan Food'!M31</f>
        <v>0.1285</v>
      </c>
      <c r="O11" s="33">
        <f>'Rowan Food'!N31</f>
        <v>0</v>
      </c>
      <c r="P11" s="33">
        <f>'Rowan Food'!O31</f>
        <v>0</v>
      </c>
      <c r="Q11" s="33">
        <f>'Rowan Food'!P31</f>
        <v>103.50000000000001</v>
      </c>
      <c r="R11" s="33">
        <f>'Rowan Food'!Q31</f>
        <v>143.125</v>
      </c>
      <c r="S11" s="33">
        <f>'Rowan Food'!R31</f>
        <v>0</v>
      </c>
      <c r="T11" s="33">
        <f>'Rowan Food'!S31</f>
        <v>0</v>
      </c>
      <c r="U11" s="33">
        <f>'Rowan Food'!T31</f>
        <v>0</v>
      </c>
      <c r="V11" s="33">
        <f>'Rowan Food'!U31</f>
        <v>0</v>
      </c>
    </row>
    <row r="12" spans="1:22" x14ac:dyDescent="0.25">
      <c r="A12" s="36">
        <v>10</v>
      </c>
      <c r="B12" s="91"/>
      <c r="C12" s="33">
        <f>D.wise!B31</f>
        <v>22</v>
      </c>
      <c r="D12" s="33">
        <f>D.wise!C31</f>
        <v>238.12799999999999</v>
      </c>
      <c r="E12" s="33">
        <f>D.wise!D31</f>
        <v>54.927091559999994</v>
      </c>
      <c r="F12" s="33">
        <f>D.wise!E31</f>
        <v>19.651332799999999</v>
      </c>
      <c r="G12" s="33">
        <f>D.wise!F31</f>
        <v>101.5455364</v>
      </c>
      <c r="H12" s="33">
        <f>D.wise!G31</f>
        <v>3.8966399999999998E-2</v>
      </c>
      <c r="I12" s="33">
        <f>D.wise!H31</f>
        <v>0.10805960000000001</v>
      </c>
      <c r="J12" s="33">
        <f>D.wise!I31</f>
        <v>1.804E-2</v>
      </c>
      <c r="K12" s="33">
        <f>D.wise!J31</f>
        <v>1.804E-3</v>
      </c>
      <c r="L12" s="33">
        <f>D.wise!K31</f>
        <v>1.804E-3</v>
      </c>
      <c r="M12" s="33">
        <f>D.wise!L31</f>
        <v>1.804E-2</v>
      </c>
      <c r="N12" s="33">
        <f>D.wise!M31</f>
        <v>3.6080000000000001E-2</v>
      </c>
      <c r="O12" s="33">
        <f>D.wise!N31</f>
        <v>0</v>
      </c>
      <c r="P12" s="33">
        <f>D.wise!O31</f>
        <v>0</v>
      </c>
      <c r="Q12" s="33">
        <f>D.wise!P31</f>
        <v>22.802559999999996</v>
      </c>
      <c r="R12" s="33">
        <f>D.wise!Q31</f>
        <v>83.615399999999994</v>
      </c>
      <c r="S12" s="33">
        <f>D.wise!R31</f>
        <v>0</v>
      </c>
      <c r="T12" s="33">
        <f>D.wise!S31</f>
        <v>0</v>
      </c>
      <c r="U12" s="33">
        <f>D.wise!T31</f>
        <v>0</v>
      </c>
      <c r="V12" s="33">
        <f>D.wise!U31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Secanim!B43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Secanim!B44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20</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45</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35</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32</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14</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240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170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45</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250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22</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REGU-204-2746558</_dlc_DocId>
    <_dlc_DocIdUrl xmlns="9be56660-2c31-41ef-bc00-23e72f632f2a">
      <Url>https://cyfoethnaturiolcymru.sharepoint.com/teams/Regulatory/Permitting/_layouts/15/DocIdRedir.aspx?ID=REGU-204-2746558</Url>
      <Description>REGU-204-2746558</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f4145418-6eb2-4e2f-90f8-d42e4734b249">
      <Terms xmlns="http://schemas.microsoft.com/office/infopath/2007/PartnerControls"/>
    </lcf76f155ced4ddcb4097134ff3c332f>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2022-12-15T00:00:00+00:00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Trade Effluent Services</Customer_x0020_Name>
    <Surrendered_x002f_Expired_x0020_Date xmlns="859f7ad6-93f6-4205-b62b-a17f28acbbac" xsi:nil="true"/>
  </documentManagement>
</p:properties>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75" ma:contentTypeDescription="Permitting &amp; Compliance Word Document" ma:contentTypeScope="" ma:versionID="8ba88060f42494261e4271c878bf935d">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287d418a8936ff9e71a08ef7d19d0768"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9525C96-BB54-48C4-8587-2EB02076EA1A}"/>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3EB88BFD-E29A-4849-A8E6-116EB74B98EA}">
  <ds:schemaRefs>
    <ds:schemaRef ds:uri="http://purl.org/dc/elements/1.1/"/>
    <ds:schemaRef ds:uri="http://schemas.microsoft.com/office/2006/metadata/propertie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9be56660-2c31-41ef-bc00-23e72f632f2a"/>
    <ds:schemaRef ds:uri="http://www.w3.org/XML/1998/namespace"/>
  </ds:schemaRefs>
</ds:datastoreItem>
</file>

<file path=customXml/itemProps5.xml><?xml version="1.0" encoding="utf-8"?>
<ds:datastoreItem xmlns:ds="http://schemas.openxmlformats.org/officeDocument/2006/customXml" ds:itemID="{78DE0732-15AE-4E8A-A36B-CEF54105D38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Secanim</vt:lpstr>
      <vt:lpstr>Croda G</vt:lpstr>
      <vt:lpstr>Croda W</vt:lpstr>
      <vt:lpstr>Maelor</vt:lpstr>
      <vt:lpstr>Encirc</vt:lpstr>
      <vt:lpstr>Beechdean</vt:lpstr>
      <vt:lpstr>Penderyn</vt:lpstr>
      <vt:lpstr>Kelloggs</vt:lpstr>
      <vt:lpstr>Rowan Food</vt:lpstr>
      <vt:lpstr>D.wise</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Banfield, Ethan</cp:lastModifiedBy>
  <dcterms:created xsi:type="dcterms:W3CDTF">2016-09-26T10:07:59Z</dcterms:created>
  <dcterms:modified xsi:type="dcterms:W3CDTF">2022-12-14T17:50:42Z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0x01010067EB80C5FE939D4A9B3D8BA62129B7F5010200696B2CDFCAB142469D002908293CC358</vt:lpwstr>
  </property>
  <property fmtid="{D5CDD505-2E9C-101B-9397-08002B2CF9AE}" pid="3" name="_dlc_DocIdItemGuid">
    <vt:lpwstr>799e3b3a-56af-497b-8ab7-b22db7999347</vt:lpwstr>
  </property>
  <property fmtid="{D5CDD505-2E9C-101B-9397-08002B2CF9AE}" pid="4" name="Order">
    <vt:r8>274655800</vt:r8>
  </property>
  <property fmtid="{D5CDD505-2E9C-101B-9397-08002B2CF9AE}" pid="5" name="MediaServiceImageTags">
    <vt:lpwstr/>
  </property>
</Properties>
</file>