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19532/"/>
    </mc:Choice>
  </mc:AlternateContent>
  <xr:revisionPtr revIDLastSave="0" documentId="13_ncr:1_{AF103B74-C6B3-44B2-B992-42B27EED006E}" xr6:coauthVersionLast="47" xr6:coauthVersionMax="47" xr10:uidLastSave="{00000000-0000-0000-0000-000000000000}"/>
  <bookViews>
    <workbookView xWindow="-28920" yWindow="-120" windowWidth="29040" windowHeight="15840" tabRatio="870"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P65" i="1" l="1"/>
  <c r="Q65" i="1"/>
  <c r="R65" i="1"/>
  <c r="S65" i="1"/>
  <c r="T65" i="1"/>
  <c r="U65" i="1"/>
  <c r="P65" i="21"/>
  <c r="Q65" i="21"/>
  <c r="R65" i="21"/>
  <c r="S65" i="21"/>
  <c r="T65" i="21"/>
  <c r="U65" i="21"/>
  <c r="P65" i="27"/>
  <c r="Q65" i="27"/>
  <c r="R65" i="27"/>
  <c r="S65" i="27"/>
  <c r="T65" i="27"/>
  <c r="U65" i="27"/>
  <c r="P65" i="28"/>
  <c r="Q65" i="28"/>
  <c r="R65" i="28"/>
  <c r="S65" i="28"/>
  <c r="T65" i="28"/>
  <c r="U65" i="28"/>
  <c r="P65" i="30"/>
  <c r="Q65" i="30"/>
  <c r="R65" i="30"/>
  <c r="S65" i="30"/>
  <c r="T65" i="30"/>
  <c r="U65" i="30"/>
  <c r="P65" i="26"/>
  <c r="Q65" i="26"/>
  <c r="R65" i="26"/>
  <c r="S65" i="26"/>
  <c r="T65" i="26"/>
  <c r="U65" i="26"/>
  <c r="P65" i="24"/>
  <c r="Q65" i="24"/>
  <c r="R65" i="24"/>
  <c r="S65" i="24"/>
  <c r="T65" i="24"/>
  <c r="U65" i="24"/>
  <c r="P65" i="29"/>
  <c r="Q65" i="29"/>
  <c r="R65" i="29"/>
  <c r="S65" i="29"/>
  <c r="T65" i="29"/>
  <c r="U65" i="29"/>
  <c r="P65" i="23"/>
  <c r="Q65" i="23"/>
  <c r="R65" i="23"/>
  <c r="S65" i="23"/>
  <c r="T65" i="23"/>
  <c r="U65" i="23"/>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I18" i="30" s="1"/>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U22" i="30"/>
  <c r="S22" i="30"/>
  <c r="Q22" i="30"/>
  <c r="I22" i="30"/>
  <c r="V20" i="30"/>
  <c r="U20" i="30"/>
  <c r="T20" i="30"/>
  <c r="S20" i="30"/>
  <c r="R20" i="30"/>
  <c r="Q20" i="30"/>
  <c r="V18" i="30"/>
  <c r="T18" i="30"/>
  <c r="N18" i="30"/>
  <c r="J18" i="30"/>
  <c r="H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U18" i="29" s="1"/>
  <c r="C49" i="29"/>
  <c r="U48" i="29"/>
  <c r="T48" i="29"/>
  <c r="S48" i="29"/>
  <c r="R48" i="29"/>
  <c r="Q48" i="29"/>
  <c r="P48" i="29"/>
  <c r="O48" i="29"/>
  <c r="N48" i="29"/>
  <c r="M48" i="29"/>
  <c r="L48" i="29"/>
  <c r="K48" i="29"/>
  <c r="J48" i="29"/>
  <c r="I48" i="29"/>
  <c r="H48" i="29"/>
  <c r="G48" i="29"/>
  <c r="F48" i="29"/>
  <c r="E48" i="29"/>
  <c r="T22" i="29" s="1"/>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R22" i="29" s="1"/>
  <c r="D46" i="29"/>
  <c r="R18" i="29" s="1"/>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L22" i="29" s="1"/>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S22" i="29"/>
  <c r="V20" i="29"/>
  <c r="U20" i="29"/>
  <c r="T20" i="29"/>
  <c r="S20" i="29"/>
  <c r="R20" i="29"/>
  <c r="Q20" i="29"/>
  <c r="V18" i="29"/>
  <c r="T18" i="29"/>
  <c r="N18" i="29"/>
  <c r="L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U62" i="28"/>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U22" i="28"/>
  <c r="M22" i="28"/>
  <c r="V20" i="28"/>
  <c r="U20" i="28"/>
  <c r="T20" i="28"/>
  <c r="S20" i="28"/>
  <c r="R20" i="28"/>
  <c r="Q20" i="28"/>
  <c r="V18" i="28"/>
  <c r="U18" i="28"/>
  <c r="P18" i="28"/>
  <c r="M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Q22" i="27"/>
  <c r="V20" i="27"/>
  <c r="U20" i="27"/>
  <c r="T20" i="27"/>
  <c r="S20" i="27"/>
  <c r="R20" i="27"/>
  <c r="Q20" i="27"/>
  <c r="U18" i="27"/>
  <c r="T18" i="27"/>
  <c r="S18" i="27"/>
  <c r="R18" i="27"/>
  <c r="O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Q22" i="26"/>
  <c r="O22" i="26"/>
  <c r="K22" i="26"/>
  <c r="G22" i="26"/>
  <c r="V20" i="26"/>
  <c r="U20" i="26"/>
  <c r="T20" i="26"/>
  <c r="S20" i="26"/>
  <c r="R20" i="26"/>
  <c r="Q20" i="26"/>
  <c r="V18" i="26"/>
  <c r="S18" i="26"/>
  <c r="I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U22" i="24"/>
  <c r="Q22" i="24"/>
  <c r="M22" i="24"/>
  <c r="E22" i="24"/>
  <c r="V20" i="24"/>
  <c r="U20" i="24"/>
  <c r="T20" i="24"/>
  <c r="S20" i="24"/>
  <c r="R20" i="24"/>
  <c r="Q20" i="24"/>
  <c r="V18" i="24"/>
  <c r="P18" i="24"/>
  <c r="H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O18" i="23" s="1"/>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M22" i="23" s="1"/>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S22" i="23"/>
  <c r="I22" i="23"/>
  <c r="V20" i="23"/>
  <c r="U20" i="23"/>
  <c r="T20" i="23"/>
  <c r="S20" i="23"/>
  <c r="R20" i="23"/>
  <c r="Q20" i="23"/>
  <c r="S18" i="23"/>
  <c r="Q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V18"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O20"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23" i="29" s="1"/>
  <c r="D24" i="29" s="1"/>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M17" i="28"/>
  <c r="M19" i="28" s="1"/>
  <c r="M20" i="28" s="1"/>
  <c r="M21" i="28"/>
  <c r="M23" i="28" s="1"/>
  <c r="M24" i="28" s="1"/>
  <c r="T59" i="28"/>
  <c r="U17" i="28"/>
  <c r="U21" i="28"/>
  <c r="U23" i="28" s="1"/>
  <c r="I4" i="20"/>
  <c r="J4" i="19"/>
  <c r="J18" i="19" s="1"/>
  <c r="I59" i="21"/>
  <c r="J17" i="21"/>
  <c r="J19" i="21" s="1"/>
  <c r="J20" i="21" s="1"/>
  <c r="J21" i="21"/>
  <c r="C59" i="22"/>
  <c r="D21" i="22"/>
  <c r="D23" i="22" s="1"/>
  <c r="D17" i="22"/>
  <c r="D19" i="22" s="1"/>
  <c r="O12" i="20"/>
  <c r="P12" i="19"/>
  <c r="P26" i="19" s="1"/>
  <c r="O21" i="23"/>
  <c r="O23" i="23" s="1"/>
  <c r="O24" i="23" s="1"/>
  <c r="O17" i="23"/>
  <c r="Q9" i="20"/>
  <c r="R9" i="19"/>
  <c r="R23" i="19" s="1"/>
  <c r="F5" i="20"/>
  <c r="G5" i="19"/>
  <c r="G19" i="19" s="1"/>
  <c r="N5" i="20"/>
  <c r="O5" i="19"/>
  <c r="O19" i="19" s="1"/>
  <c r="Q4" i="20"/>
  <c r="R4" i="19"/>
  <c r="R18" i="19" s="1"/>
  <c r="Q59" i="21"/>
  <c r="R21" i="21"/>
  <c r="R17" i="21"/>
  <c r="K59" i="22"/>
  <c r="L21" i="22"/>
  <c r="L17" i="22"/>
  <c r="L19" i="22" s="1"/>
  <c r="G12" i="20"/>
  <c r="H12" i="19"/>
  <c r="H26" i="19" s="1"/>
  <c r="J4" i="20"/>
  <c r="K4" i="19"/>
  <c r="K18" i="19" s="1"/>
  <c r="U63" i="21"/>
  <c r="N63" i="21"/>
  <c r="F63" i="21"/>
  <c r="P59" i="21"/>
  <c r="Q21" i="21"/>
  <c r="Q23" i="21" s="1"/>
  <c r="Q24" i="21" s="1"/>
  <c r="Q17" i="21"/>
  <c r="I17" i="21"/>
  <c r="I21" i="21"/>
  <c r="D59" i="22"/>
  <c r="E21" i="22"/>
  <c r="E17" i="22"/>
  <c r="E19" i="22" s="1"/>
  <c r="L59" i="22"/>
  <c r="M21" i="22"/>
  <c r="M23" i="22" s="1"/>
  <c r="M17" i="22"/>
  <c r="M19" i="22" s="1"/>
  <c r="T59" i="22"/>
  <c r="U21" i="22"/>
  <c r="U17" i="22"/>
  <c r="U19" i="22" s="1"/>
  <c r="D59" i="27"/>
  <c r="E17" i="27"/>
  <c r="E19" i="27" s="1"/>
  <c r="E20" i="27" s="1"/>
  <c r="L59" i="27"/>
  <c r="M17" i="27"/>
  <c r="M19" i="27" s="1"/>
  <c r="M20" i="27" s="1"/>
  <c r="T59" i="27"/>
  <c r="U17" i="27"/>
  <c r="S59" i="22"/>
  <c r="T21" i="22"/>
  <c r="T17" i="22"/>
  <c r="G21" i="23"/>
  <c r="G23" i="23" s="1"/>
  <c r="G24" i="23" s="1"/>
  <c r="G17" i="23"/>
  <c r="G19" i="23" s="1"/>
  <c r="G20" i="23" s="1"/>
  <c r="I9" i="20"/>
  <c r="J9" i="19"/>
  <c r="J23" i="19" s="1"/>
  <c r="R4" i="20"/>
  <c r="S4" i="19"/>
  <c r="S18" i="19" s="1"/>
  <c r="R11" i="20"/>
  <c r="S11" i="19"/>
  <c r="S25" i="19" s="1"/>
  <c r="I59" i="24"/>
  <c r="J21" i="24"/>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19" i="22" s="1"/>
  <c r="J21" i="22"/>
  <c r="J23"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21" i="23"/>
  <c r="L59" i="23"/>
  <c r="M17" i="23"/>
  <c r="M21" i="23"/>
  <c r="T59" i="23"/>
  <c r="U17" i="23"/>
  <c r="U19" i="23" s="1"/>
  <c r="U21" i="23"/>
  <c r="U23" i="23" s="1"/>
  <c r="H21" i="24"/>
  <c r="H17" i="24"/>
  <c r="H19" i="24" s="1"/>
  <c r="H20" i="24" s="1"/>
  <c r="P17" i="24"/>
  <c r="P19" i="24" s="1"/>
  <c r="P20" i="24" s="1"/>
  <c r="P21" i="24"/>
  <c r="P23" i="24" s="1"/>
  <c r="P24" i="24" s="1"/>
  <c r="C59" i="26"/>
  <c r="D21" i="26"/>
  <c r="D23" i="26" s="1"/>
  <c r="D24" i="26" s="1"/>
  <c r="D17" i="26"/>
  <c r="D19" i="26" s="1"/>
  <c r="D20" i="26" s="1"/>
  <c r="K59" i="26"/>
  <c r="L21" i="26"/>
  <c r="L17" i="26"/>
  <c r="S59" i="26"/>
  <c r="T21" i="26"/>
  <c r="T17" i="26"/>
  <c r="N63" i="26"/>
  <c r="J59" i="27"/>
  <c r="K17" i="27"/>
  <c r="K19" i="27" s="1"/>
  <c r="K20" i="27" s="1"/>
  <c r="R59" i="27"/>
  <c r="S17" i="27"/>
  <c r="S19" i="27" s="1"/>
  <c r="J59" i="28"/>
  <c r="K17" i="28"/>
  <c r="K21" i="28"/>
  <c r="R59" i="28"/>
  <c r="S17" i="28"/>
  <c r="S21" i="28"/>
  <c r="S23" i="28" s="1"/>
  <c r="I59" i="29"/>
  <c r="J17" i="29"/>
  <c r="J21" i="29"/>
  <c r="Q59" i="29"/>
  <c r="R21" i="29"/>
  <c r="R23" i="29" s="1"/>
  <c r="R24" i="29" s="1"/>
  <c r="R17" i="29"/>
  <c r="H59" i="30"/>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23" i="23" s="1"/>
  <c r="F24" i="23" s="1"/>
  <c r="F17" i="23"/>
  <c r="F19" i="23" s="1"/>
  <c r="F20" i="23" s="1"/>
  <c r="M59" i="23"/>
  <c r="N21" i="23"/>
  <c r="N17" i="23"/>
  <c r="N19" i="23" s="1"/>
  <c r="N20" i="23" s="1"/>
  <c r="U59" i="23"/>
  <c r="V21" i="23"/>
  <c r="V23" i="23" s="1"/>
  <c r="V17" i="23"/>
  <c r="I17" i="24"/>
  <c r="I19" i="24" s="1"/>
  <c r="I20" i="24" s="1"/>
  <c r="I21" i="24"/>
  <c r="Q17" i="24"/>
  <c r="Q19" i="24" s="1"/>
  <c r="Q21" i="24"/>
  <c r="Q23" i="24" s="1"/>
  <c r="D59" i="26"/>
  <c r="E21" i="26"/>
  <c r="E17" i="26"/>
  <c r="E19" i="26" s="1"/>
  <c r="E20" i="26" s="1"/>
  <c r="L59" i="26"/>
  <c r="M21" i="26"/>
  <c r="M17" i="26"/>
  <c r="T59" i="26"/>
  <c r="U21" i="26"/>
  <c r="U23" i="26" s="1"/>
  <c r="U17" i="26"/>
  <c r="U19" i="26" s="1"/>
  <c r="C59" i="27"/>
  <c r="D17" i="27"/>
  <c r="D19" i="27" s="1"/>
  <c r="D20" i="27" s="1"/>
  <c r="K59" i="27"/>
  <c r="L17" i="27"/>
  <c r="S59" i="27"/>
  <c r="T17" i="27"/>
  <c r="T19" i="27" s="1"/>
  <c r="C59" i="28"/>
  <c r="D21" i="28"/>
  <c r="D23" i="28" s="1"/>
  <c r="D24" i="28" s="1"/>
  <c r="D17" i="28"/>
  <c r="K59" i="28"/>
  <c r="L21" i="28"/>
  <c r="L17" i="28"/>
  <c r="S59" i="28"/>
  <c r="T21" i="28"/>
  <c r="T17" i="28"/>
  <c r="T19" i="28" s="1"/>
  <c r="J59" i="29"/>
  <c r="K17" i="29"/>
  <c r="K21" i="29"/>
  <c r="K23" i="29" s="1"/>
  <c r="K24" i="29" s="1"/>
  <c r="R59" i="29"/>
  <c r="S21" i="29"/>
  <c r="S17" i="29"/>
  <c r="I59" i="30"/>
  <c r="J21" i="30"/>
  <c r="J23" i="30" s="1"/>
  <c r="J24" i="30" s="1"/>
  <c r="J17" i="30"/>
  <c r="J19" i="30" s="1"/>
  <c r="J20"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O64" i="21" s="1"/>
  <c r="P21" i="21"/>
  <c r="P23" i="21" s="1"/>
  <c r="P24" i="21" s="1"/>
  <c r="P17" i="21"/>
  <c r="P19" i="21" s="1"/>
  <c r="P20" i="21" s="1"/>
  <c r="H21" i="21"/>
  <c r="H23" i="21" s="1"/>
  <c r="H24" i="21" s="1"/>
  <c r="H17" i="21"/>
  <c r="H19" i="21" s="1"/>
  <c r="H20" i="21" s="1"/>
  <c r="E59" i="22"/>
  <c r="F21" i="22"/>
  <c r="F23" i="22" s="1"/>
  <c r="F17" i="22"/>
  <c r="F19" i="22" s="1"/>
  <c r="M59" i="22"/>
  <c r="N21" i="22"/>
  <c r="N23" i="22" s="1"/>
  <c r="N17" i="22"/>
  <c r="U59" i="22"/>
  <c r="V17" i="22"/>
  <c r="V21" i="22"/>
  <c r="C18" i="22"/>
  <c r="H21" i="23"/>
  <c r="H23" i="23" s="1"/>
  <c r="H24" i="23" s="1"/>
  <c r="H17" i="23"/>
  <c r="P17" i="23"/>
  <c r="P19" i="23" s="1"/>
  <c r="P20" i="23" s="1"/>
  <c r="P21" i="23"/>
  <c r="P23" i="23" s="1"/>
  <c r="P24" i="23" s="1"/>
  <c r="J59" i="24"/>
  <c r="K21" i="24"/>
  <c r="K17" i="24"/>
  <c r="R59" i="24"/>
  <c r="S21" i="24"/>
  <c r="S23" i="24" s="1"/>
  <c r="S17" i="24"/>
  <c r="G21" i="26"/>
  <c r="G17" i="26"/>
  <c r="O17" i="26"/>
  <c r="O21" i="26"/>
  <c r="E59" i="27"/>
  <c r="F17" i="27"/>
  <c r="F19" i="27" s="1"/>
  <c r="F20" i="27" s="1"/>
  <c r="M59" i="27"/>
  <c r="N17" i="27"/>
  <c r="U59" i="27"/>
  <c r="V17" i="27"/>
  <c r="E59" i="28"/>
  <c r="F17" i="28"/>
  <c r="F21" i="28"/>
  <c r="F23" i="28" s="1"/>
  <c r="F24" i="28" s="1"/>
  <c r="M59" i="28"/>
  <c r="N17" i="28"/>
  <c r="N19" i="28" s="1"/>
  <c r="N20" i="28" s="1"/>
  <c r="N21" i="28"/>
  <c r="U59" i="28"/>
  <c r="V17" i="28"/>
  <c r="V21" i="28"/>
  <c r="D59" i="29"/>
  <c r="E17" i="29"/>
  <c r="E19" i="29" s="1"/>
  <c r="E20" i="29" s="1"/>
  <c r="E21" i="29"/>
  <c r="E23" i="29" s="1"/>
  <c r="E24" i="29" s="1"/>
  <c r="L59" i="29"/>
  <c r="M17" i="29"/>
  <c r="M21" i="29"/>
  <c r="M23" i="29" s="1"/>
  <c r="M24" i="29" s="1"/>
  <c r="T59" i="29"/>
  <c r="U17" i="29"/>
  <c r="U21" i="29"/>
  <c r="C59" i="30"/>
  <c r="D17" i="30"/>
  <c r="D19" i="30" s="1"/>
  <c r="D20" i="30" s="1"/>
  <c r="D21" i="30"/>
  <c r="D23" i="30" s="1"/>
  <c r="D24" i="30" s="1"/>
  <c r="K59" i="30"/>
  <c r="L17" i="30"/>
  <c r="L19" i="30" s="1"/>
  <c r="L20"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O20" i="21" s="1"/>
  <c r="F59" i="21"/>
  <c r="G21" i="21"/>
  <c r="G17" i="21"/>
  <c r="G17" i="22"/>
  <c r="G21" i="22"/>
  <c r="G23" i="22" s="1"/>
  <c r="O17" i="22"/>
  <c r="O19" i="22" s="1"/>
  <c r="O21" i="22"/>
  <c r="O23" i="22" s="1"/>
  <c r="H59" i="23"/>
  <c r="I21" i="23"/>
  <c r="I23" i="23" s="1"/>
  <c r="I24" i="23" s="1"/>
  <c r="I17" i="23"/>
  <c r="P59" i="23"/>
  <c r="Q17" i="23"/>
  <c r="Q21" i="23"/>
  <c r="Q23" i="23" s="1"/>
  <c r="C59" i="24"/>
  <c r="D17" i="24"/>
  <c r="D19" i="24" s="1"/>
  <c r="D20" i="24" s="1"/>
  <c r="D21" i="24"/>
  <c r="K59" i="24"/>
  <c r="L21" i="24"/>
  <c r="L17" i="24"/>
  <c r="L19" i="24" s="1"/>
  <c r="L20" i="24" s="1"/>
  <c r="S59" i="24"/>
  <c r="T21" i="24"/>
  <c r="T17" i="24"/>
  <c r="T19" i="24" s="1"/>
  <c r="H21" i="26"/>
  <c r="H23" i="26" s="1"/>
  <c r="H24" i="26" s="1"/>
  <c r="H17" i="26"/>
  <c r="P21" i="26"/>
  <c r="P17" i="26"/>
  <c r="P19" i="26" s="1"/>
  <c r="P20" i="26" s="1"/>
  <c r="F59" i="28"/>
  <c r="G17" i="28"/>
  <c r="G19" i="28" s="1"/>
  <c r="G20" i="28" s="1"/>
  <c r="G21" i="28"/>
  <c r="G23" i="28" s="1"/>
  <c r="G24" i="28" s="1"/>
  <c r="N59" i="28"/>
  <c r="O17" i="28"/>
  <c r="O19" i="28" s="1"/>
  <c r="O20" i="28" s="1"/>
  <c r="O21" i="28"/>
  <c r="E59" i="29"/>
  <c r="F17" i="29"/>
  <c r="F19" i="29" s="1"/>
  <c r="F20" i="29" s="1"/>
  <c r="F21" i="29"/>
  <c r="F23" i="29" s="1"/>
  <c r="F24" i="29" s="1"/>
  <c r="M59" i="29"/>
  <c r="N17" i="29"/>
  <c r="N21" i="29"/>
  <c r="N23" i="29" s="1"/>
  <c r="N24" i="29" s="1"/>
  <c r="U59" i="29"/>
  <c r="V17" i="29"/>
  <c r="V21" i="29"/>
  <c r="V23" i="29" s="1"/>
  <c r="V24" i="29" s="1"/>
  <c r="D59" i="30"/>
  <c r="E17" i="30"/>
  <c r="E19" i="30" s="1"/>
  <c r="E20" i="30" s="1"/>
  <c r="E21" i="30"/>
  <c r="E23" i="30" s="1"/>
  <c r="E24" i="30" s="1"/>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G59" i="22"/>
  <c r="H21" i="22"/>
  <c r="H23" i="22" s="1"/>
  <c r="H17" i="22"/>
  <c r="H19" i="22" s="1"/>
  <c r="I59" i="23"/>
  <c r="J21" i="23"/>
  <c r="J23" i="23" s="1"/>
  <c r="J24" i="23" s="1"/>
  <c r="J17" i="23"/>
  <c r="J19" i="23" s="1"/>
  <c r="J20" i="23" s="1"/>
  <c r="Q59" i="23"/>
  <c r="R21" i="23"/>
  <c r="R17" i="23"/>
  <c r="D59" i="24"/>
  <c r="E17" i="24"/>
  <c r="E21" i="24"/>
  <c r="L59" i="24"/>
  <c r="M17" i="24"/>
  <c r="M19" i="24" s="1"/>
  <c r="M20" i="24" s="1"/>
  <c r="M21" i="24"/>
  <c r="M23" i="24" s="1"/>
  <c r="M24" i="24" s="1"/>
  <c r="T59" i="24"/>
  <c r="U21" i="24"/>
  <c r="U17" i="24"/>
  <c r="H59" i="26"/>
  <c r="I17" i="26"/>
  <c r="I21" i="26"/>
  <c r="I23" i="26" s="1"/>
  <c r="I24" i="26" s="1"/>
  <c r="P59" i="26"/>
  <c r="Q17" i="26"/>
  <c r="Q19" i="26" s="1"/>
  <c r="Q21" i="26"/>
  <c r="E63" i="26"/>
  <c r="H17" i="27"/>
  <c r="H19" i="27" s="1"/>
  <c r="H20" i="27" s="1"/>
  <c r="P17" i="27"/>
  <c r="P19" i="27" s="1"/>
  <c r="P20" i="27" s="1"/>
  <c r="H21" i="28"/>
  <c r="H23" i="28" s="1"/>
  <c r="H24" i="28" s="1"/>
  <c r="H17" i="28"/>
  <c r="P21" i="28"/>
  <c r="P17" i="28"/>
  <c r="P19" i="28" s="1"/>
  <c r="P20" i="28" s="1"/>
  <c r="G17" i="29"/>
  <c r="G21" i="29"/>
  <c r="G23" i="29" s="1"/>
  <c r="G24" i="29" s="1"/>
  <c r="O17" i="29"/>
  <c r="O21" i="29"/>
  <c r="E59" i="30"/>
  <c r="F21" i="30"/>
  <c r="F23" i="30" s="1"/>
  <c r="F24" i="30" s="1"/>
  <c r="F17" i="30"/>
  <c r="F19" i="30" s="1"/>
  <c r="F20" i="30" s="1"/>
  <c r="M59" i="30"/>
  <c r="N21" i="30"/>
  <c r="N23" i="30" s="1"/>
  <c r="N24" i="30" s="1"/>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P19" i="22" s="1"/>
  <c r="T59" i="21"/>
  <c r="T64" i="21" s="1"/>
  <c r="U17" i="21"/>
  <c r="U19" i="21" s="1"/>
  <c r="U21" i="21"/>
  <c r="U23" i="21" s="1"/>
  <c r="U24" i="21" s="1"/>
  <c r="M17" i="21"/>
  <c r="M19" i="21" s="1"/>
  <c r="M20" i="21" s="1"/>
  <c r="M21" i="21"/>
  <c r="E17" i="21"/>
  <c r="E19" i="21" s="1"/>
  <c r="E20" i="21" s="1"/>
  <c r="E21" i="21"/>
  <c r="E23" i="21" s="1"/>
  <c r="E24" i="21" s="1"/>
  <c r="H59" i="22"/>
  <c r="I17" i="22"/>
  <c r="I19" i="22" s="1"/>
  <c r="I21" i="22"/>
  <c r="I23" i="22" s="1"/>
  <c r="P59" i="22"/>
  <c r="Q17" i="22"/>
  <c r="Q19" i="22" s="1"/>
  <c r="Q21" i="22"/>
  <c r="J59" i="23"/>
  <c r="K17" i="23"/>
  <c r="K21" i="23"/>
  <c r="K23" i="23" s="1"/>
  <c r="K24" i="23" s="1"/>
  <c r="R59" i="23"/>
  <c r="S17" i="23"/>
  <c r="S19" i="23" s="1"/>
  <c r="S21" i="23"/>
  <c r="E59" i="24"/>
  <c r="F21" i="24"/>
  <c r="F17" i="24"/>
  <c r="F19" i="24" s="1"/>
  <c r="F20" i="24" s="1"/>
  <c r="M59" i="24"/>
  <c r="N21" i="24"/>
  <c r="N23" i="24" s="1"/>
  <c r="N24" i="24" s="1"/>
  <c r="N17" i="24"/>
  <c r="N19" i="24" s="1"/>
  <c r="N20" i="24" s="1"/>
  <c r="U59" i="24"/>
  <c r="V21" i="24"/>
  <c r="V17" i="24"/>
  <c r="V19" i="24" s="1"/>
  <c r="I58" i="26"/>
  <c r="I61" i="26" s="1"/>
  <c r="J17" i="26"/>
  <c r="J19" i="26" s="1"/>
  <c r="J20" i="26" s="1"/>
  <c r="J21" i="26"/>
  <c r="Q58" i="26"/>
  <c r="Q61" i="26" s="1"/>
  <c r="R21" i="26"/>
  <c r="R23" i="26" s="1"/>
  <c r="R17" i="26"/>
  <c r="R19" i="26" s="1"/>
  <c r="F63" i="26"/>
  <c r="I17" i="27"/>
  <c r="I19" i="27" s="1"/>
  <c r="I20" i="27" s="1"/>
  <c r="Q17" i="27"/>
  <c r="I21" i="28"/>
  <c r="I23" i="28" s="1"/>
  <c r="I24" i="28" s="1"/>
  <c r="I17" i="28"/>
  <c r="Q21" i="28"/>
  <c r="Q23" i="28" s="1"/>
  <c r="Q17" i="28"/>
  <c r="Q19" i="28" s="1"/>
  <c r="H21" i="29"/>
  <c r="H23" i="29" s="1"/>
  <c r="H24" i="29" s="1"/>
  <c r="H17" i="29"/>
  <c r="P21" i="29"/>
  <c r="P23" i="29" s="1"/>
  <c r="P24" i="29" s="1"/>
  <c r="P17" i="29"/>
  <c r="P19" i="29" s="1"/>
  <c r="P20" i="29" s="1"/>
  <c r="G21" i="30"/>
  <c r="G17" i="30"/>
  <c r="O21" i="30"/>
  <c r="O23" i="30" s="1"/>
  <c r="O24" i="30" s="1"/>
  <c r="O17" i="30"/>
  <c r="O19" i="30" s="1"/>
  <c r="O20"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0" i="23" s="1"/>
  <c r="D21" i="23"/>
  <c r="D23" i="23" s="1"/>
  <c r="D24" i="23" s="1"/>
  <c r="S59" i="23"/>
  <c r="T17" i="23"/>
  <c r="T21" i="23"/>
  <c r="G17" i="24"/>
  <c r="G19" i="24" s="1"/>
  <c r="G20" i="24" s="1"/>
  <c r="G21" i="24"/>
  <c r="G23" i="24" s="1"/>
  <c r="G24" i="24" s="1"/>
  <c r="O17" i="24"/>
  <c r="O21" i="24"/>
  <c r="J59" i="26"/>
  <c r="K17" i="26"/>
  <c r="K19" i="26" s="1"/>
  <c r="K20" i="26" s="1"/>
  <c r="K21" i="26"/>
  <c r="K23" i="26" s="1"/>
  <c r="K24" i="26" s="1"/>
  <c r="R59" i="26"/>
  <c r="S17" i="26"/>
  <c r="S19" i="26" s="1"/>
  <c r="S21" i="26"/>
  <c r="S23" i="26" s="1"/>
  <c r="M63" i="26"/>
  <c r="I59" i="27"/>
  <c r="J17" i="27"/>
  <c r="J19" i="27" s="1"/>
  <c r="J20" i="27" s="1"/>
  <c r="Q59" i="27"/>
  <c r="R17" i="27"/>
  <c r="I59" i="28"/>
  <c r="J17" i="28"/>
  <c r="J19" i="28" s="1"/>
  <c r="J20" i="28" s="1"/>
  <c r="J21" i="28"/>
  <c r="J23" i="28" s="1"/>
  <c r="J24" i="28" s="1"/>
  <c r="Q59" i="28"/>
  <c r="R21" i="28"/>
  <c r="R23" i="28" s="1"/>
  <c r="R17" i="28"/>
  <c r="I21" i="29"/>
  <c r="I23" i="29" s="1"/>
  <c r="I24" i="29" s="1"/>
  <c r="I17" i="29"/>
  <c r="I19" i="29" s="1"/>
  <c r="I20" i="29" s="1"/>
  <c r="Q21" i="29"/>
  <c r="Q17" i="29"/>
  <c r="Q19" i="29" s="1"/>
  <c r="H17" i="30"/>
  <c r="H19" i="30" s="1"/>
  <c r="H20" i="30" s="1"/>
  <c r="H21" i="30"/>
  <c r="P17" i="30"/>
  <c r="P19" i="30" s="1"/>
  <c r="P20" i="30" s="1"/>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B59" i="28"/>
  <c r="C21" i="28"/>
  <c r="C23" i="28" s="1"/>
  <c r="C24" i="28" s="1"/>
  <c r="C17" i="28"/>
  <c r="C19" i="28" s="1"/>
  <c r="C20" i="28" s="1"/>
  <c r="B59" i="29"/>
  <c r="C21" i="29"/>
  <c r="C23" i="29" s="1"/>
  <c r="C24" i="29" s="1"/>
  <c r="C17" i="29"/>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D23" i="21"/>
  <c r="D24" i="21" s="1"/>
  <c r="S58" i="21"/>
  <c r="S61" i="21" s="1"/>
  <c r="C58" i="21"/>
  <c r="C61" i="21" s="1"/>
  <c r="C64" i="21" s="1"/>
  <c r="K58" i="21"/>
  <c r="K61" i="21" s="1"/>
  <c r="K64" i="21" s="1"/>
  <c r="R19" i="24"/>
  <c r="I21" i="27"/>
  <c r="I23" i="27" s="1"/>
  <c r="I24" i="27" s="1"/>
  <c r="Q21" i="27"/>
  <c r="R58" i="21"/>
  <c r="R61" i="21" s="1"/>
  <c r="R64" i="21" s="1"/>
  <c r="O57" i="21"/>
  <c r="A43" i="21"/>
  <c r="J58" i="21"/>
  <c r="J61" i="21" s="1"/>
  <c r="G23" i="26"/>
  <c r="G24" i="26" s="1"/>
  <c r="D58" i="29"/>
  <c r="D61" i="29" s="1"/>
  <c r="P23" i="26"/>
  <c r="P24" i="26" s="1"/>
  <c r="G21" i="27"/>
  <c r="G23" i="27" s="1"/>
  <c r="G24" i="27" s="1"/>
  <c r="O21" i="27"/>
  <c r="O23" i="27" s="1"/>
  <c r="O24" i="27" s="1"/>
  <c r="D58" i="30"/>
  <c r="D61" i="30" s="1"/>
  <c r="D64" i="30" s="1"/>
  <c r="L58" i="30"/>
  <c r="L61" i="30" s="1"/>
  <c r="L64" i="30" s="1"/>
  <c r="L65" i="30" s="1"/>
  <c r="R58" i="23"/>
  <c r="R61" i="23" s="1"/>
  <c r="H21" i="27"/>
  <c r="H23" i="27" s="1"/>
  <c r="H24" i="27" s="1"/>
  <c r="P21" i="27"/>
  <c r="P23" i="27" s="1"/>
  <c r="P24" i="27" s="1"/>
  <c r="J58" i="22"/>
  <c r="J61" i="22" s="1"/>
  <c r="J58" i="26"/>
  <c r="J61" i="26" s="1"/>
  <c r="R19" i="23"/>
  <c r="J58" i="27"/>
  <c r="J61" i="27" s="1"/>
  <c r="J64" i="27" s="1"/>
  <c r="R58" i="27"/>
  <c r="R61" i="27" s="1"/>
  <c r="R64" i="27" s="1"/>
  <c r="R58" i="28"/>
  <c r="R61" i="28" s="1"/>
  <c r="R64" i="28" s="1"/>
  <c r="F58" i="22"/>
  <c r="F61" i="22" s="1"/>
  <c r="N58" i="22"/>
  <c r="N61" i="22" s="1"/>
  <c r="N64" i="22" s="1"/>
  <c r="N65" i="22" s="1"/>
  <c r="F58" i="23"/>
  <c r="F61" i="23" s="1"/>
  <c r="N58" i="23"/>
  <c r="N61" i="23" s="1"/>
  <c r="L21" i="27"/>
  <c r="L23" i="27" s="1"/>
  <c r="L24" i="27" s="1"/>
  <c r="T21" i="27"/>
  <c r="H57" i="29"/>
  <c r="P58" i="21"/>
  <c r="P61" i="21" s="1"/>
  <c r="H58" i="21"/>
  <c r="H61" i="21" s="1"/>
  <c r="N59" i="23"/>
  <c r="R58" i="26"/>
  <c r="R61" i="26" s="1"/>
  <c r="R57" i="21"/>
  <c r="H58" i="22"/>
  <c r="H61" i="22" s="1"/>
  <c r="P58" i="22"/>
  <c r="P61" i="22" s="1"/>
  <c r="P64" i="22" s="1"/>
  <c r="F59" i="22"/>
  <c r="K58" i="29"/>
  <c r="K61" i="29" s="1"/>
  <c r="I58" i="23"/>
  <c r="I61" i="23" s="1"/>
  <c r="I64" i="23" s="1"/>
  <c r="Q58" i="23"/>
  <c r="Q61" i="23" s="1"/>
  <c r="L58" i="29"/>
  <c r="L61" i="29" s="1"/>
  <c r="T58" i="29"/>
  <c r="T61" i="29" s="1"/>
  <c r="T64" i="29" s="1"/>
  <c r="I23" i="30"/>
  <c r="I24" i="30" s="1"/>
  <c r="Q23" i="30"/>
  <c r="U23" i="30"/>
  <c r="J58" i="28"/>
  <c r="J61" i="28" s="1"/>
  <c r="J64" i="28" s="1"/>
  <c r="R58" i="22"/>
  <c r="R61" i="22" s="1"/>
  <c r="R64" i="22" s="1"/>
  <c r="J58" i="23"/>
  <c r="J61" i="23" s="1"/>
  <c r="J64" i="23" s="1"/>
  <c r="J58" i="24"/>
  <c r="J61" i="24" s="1"/>
  <c r="J64" i="24" s="1"/>
  <c r="R58" i="24"/>
  <c r="R61" i="24" s="1"/>
  <c r="F57" i="24"/>
  <c r="T58" i="30"/>
  <c r="T61" i="30" s="1"/>
  <c r="T64" i="30" s="1"/>
  <c r="C58" i="23"/>
  <c r="C61" i="23" s="1"/>
  <c r="K58" i="23"/>
  <c r="K61" i="23" s="1"/>
  <c r="S58" i="23"/>
  <c r="S61" i="23" s="1"/>
  <c r="F58" i="26"/>
  <c r="F61" i="26" s="1"/>
  <c r="D58" i="27"/>
  <c r="D61" i="27" s="1"/>
  <c r="D64" i="27" s="1"/>
  <c r="L58" i="27"/>
  <c r="L61" i="27" s="1"/>
  <c r="T58" i="27"/>
  <c r="T61" i="27" s="1"/>
  <c r="T64" i="27" s="1"/>
  <c r="J58" i="30"/>
  <c r="J61" i="30" s="1"/>
  <c r="J64" i="30" s="1"/>
  <c r="R58" i="30"/>
  <c r="R61" i="30" s="1"/>
  <c r="R64" i="30" s="1"/>
  <c r="P57" i="30"/>
  <c r="J57" i="21"/>
  <c r="H59" i="21"/>
  <c r="Q23" i="22"/>
  <c r="R21" i="27"/>
  <c r="R23" i="27" s="1"/>
  <c r="E58" i="27"/>
  <c r="E61" i="27" s="1"/>
  <c r="M58" i="27"/>
  <c r="M61" i="27" s="1"/>
  <c r="U58" i="27"/>
  <c r="U61" i="27" s="1"/>
  <c r="I58" i="29"/>
  <c r="I61" i="29" s="1"/>
  <c r="I64"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L24" i="30" s="1"/>
  <c r="T23" i="30"/>
  <c r="G58" i="30"/>
  <c r="G61" i="30" s="1"/>
  <c r="O58" i="30"/>
  <c r="O61" i="30" s="1"/>
  <c r="Q57" i="30"/>
  <c r="A36" i="22"/>
  <c r="G58" i="27"/>
  <c r="G61" i="27" s="1"/>
  <c r="T58" i="28"/>
  <c r="T61" i="28" s="1"/>
  <c r="T64" i="28" s="1"/>
  <c r="C58" i="29"/>
  <c r="C61" i="29" s="1"/>
  <c r="C64" i="29" s="1"/>
  <c r="H58" i="30"/>
  <c r="H61" i="30" s="1"/>
  <c r="H64" i="30" s="1"/>
  <c r="H65" i="30" s="1"/>
  <c r="N59" i="30"/>
  <c r="K19" i="21"/>
  <c r="K20" i="21" s="1"/>
  <c r="Q57" i="21"/>
  <c r="B58" i="21"/>
  <c r="B61" i="21" s="1"/>
  <c r="I58" i="22"/>
  <c r="I61" i="22" s="1"/>
  <c r="I64" i="22" s="1"/>
  <c r="I65"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Q58" i="30"/>
  <c r="Q61" i="30" s="1"/>
  <c r="Q64" i="30" s="1"/>
  <c r="P59" i="30"/>
  <c r="L58" i="24"/>
  <c r="L61" i="24" s="1"/>
  <c r="L64" i="24" s="1"/>
  <c r="P58" i="26"/>
  <c r="P61" i="26" s="1"/>
  <c r="F59" i="26"/>
  <c r="O58" i="27"/>
  <c r="O61" i="27" s="1"/>
  <c r="A38" i="21"/>
  <c r="F57" i="22"/>
  <c r="N59" i="22"/>
  <c r="E58" i="23"/>
  <c r="E61" i="23" s="1"/>
  <c r="M58" i="23"/>
  <c r="M61" i="23" s="1"/>
  <c r="U58" i="23"/>
  <c r="U61" i="23" s="1"/>
  <c r="U64" i="23" s="1"/>
  <c r="V19" i="23"/>
  <c r="O23" i="24"/>
  <c r="O24" i="24" s="1"/>
  <c r="F58" i="24"/>
  <c r="F61" i="24" s="1"/>
  <c r="N58" i="24"/>
  <c r="N61" i="24" s="1"/>
  <c r="F59" i="24"/>
  <c r="I58" i="27"/>
  <c r="I61" i="27" s="1"/>
  <c r="I64"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23" i="22"/>
  <c r="C58" i="22"/>
  <c r="C61" i="22" s="1"/>
  <c r="C64" i="22" s="1"/>
  <c r="C65" i="22" s="1"/>
  <c r="K58" i="22"/>
  <c r="K61" i="22" s="1"/>
  <c r="K64" i="22" s="1"/>
  <c r="K65" i="22" s="1"/>
  <c r="S58" i="22"/>
  <c r="S61" i="22" s="1"/>
  <c r="S64" i="22" s="1"/>
  <c r="F57" i="23"/>
  <c r="D23" i="24"/>
  <c r="D24" i="24" s="1"/>
  <c r="L23" i="24"/>
  <c r="L24" i="24" s="1"/>
  <c r="T23" i="24"/>
  <c r="G58" i="24"/>
  <c r="G61" i="24" s="1"/>
  <c r="O58" i="24"/>
  <c r="O61" i="24" s="1"/>
  <c r="N59" i="24"/>
  <c r="C58" i="26"/>
  <c r="C61" i="26" s="1"/>
  <c r="C64" i="26" s="1"/>
  <c r="C65" i="26" s="1"/>
  <c r="K58" i="26"/>
  <c r="K61" i="26" s="1"/>
  <c r="S58" i="26"/>
  <c r="S61" i="26" s="1"/>
  <c r="S64" i="26" s="1"/>
  <c r="N57" i="27"/>
  <c r="H59" i="27"/>
  <c r="G58" i="28"/>
  <c r="G61" i="28" s="1"/>
  <c r="O58" i="28"/>
  <c r="O61" i="28" s="1"/>
  <c r="F57" i="28"/>
  <c r="F58" i="29"/>
  <c r="F61" i="29" s="1"/>
  <c r="N58" i="29"/>
  <c r="N61" i="29" s="1"/>
  <c r="H59" i="29"/>
  <c r="C58" i="30"/>
  <c r="C61" i="30" s="1"/>
  <c r="C64" i="30" s="1"/>
  <c r="K58" i="30"/>
  <c r="K61" i="30" s="1"/>
  <c r="K64" i="30" s="1"/>
  <c r="S58" i="30"/>
  <c r="S61" i="30" s="1"/>
  <c r="H57" i="30"/>
  <c r="D58" i="24"/>
  <c r="D61" i="24" s="1"/>
  <c r="D64" i="24" s="1"/>
  <c r="D65" i="24" s="1"/>
  <c r="D58" i="28"/>
  <c r="D61"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I24" i="24" s="1"/>
  <c r="H58" i="24"/>
  <c r="H61" i="24" s="1"/>
  <c r="P58" i="24"/>
  <c r="P61" i="24" s="1"/>
  <c r="Q23" i="26"/>
  <c r="D58" i="26"/>
  <c r="D61" i="26" s="1"/>
  <c r="L58" i="26"/>
  <c r="L61" i="26" s="1"/>
  <c r="L64" i="26" s="1"/>
  <c r="T58" i="26"/>
  <c r="T61" i="26" s="1"/>
  <c r="F57" i="26"/>
  <c r="C58" i="27"/>
  <c r="C61" i="27" s="1"/>
  <c r="K58" i="27"/>
  <c r="K61" i="27" s="1"/>
  <c r="K64" i="27" s="1"/>
  <c r="S58" i="27"/>
  <c r="S61" i="27" s="1"/>
  <c r="S64" i="27" s="1"/>
  <c r="P57" i="27"/>
  <c r="N59" i="27"/>
  <c r="H58" i="28"/>
  <c r="H61" i="28" s="1"/>
  <c r="P58" i="28"/>
  <c r="P61" i="28" s="1"/>
  <c r="N57" i="28"/>
  <c r="L23" i="29"/>
  <c r="L24" i="29" s="1"/>
  <c r="T23" i="29"/>
  <c r="T24" i="29" s="1"/>
  <c r="G58" i="29"/>
  <c r="G61" i="29" s="1"/>
  <c r="O58" i="29"/>
  <c r="O61" i="29" s="1"/>
  <c r="P59" i="29"/>
  <c r="I57" i="30"/>
  <c r="G57" i="21"/>
  <c r="E58" i="22"/>
  <c r="E61" i="22" s="1"/>
  <c r="E64" i="22" s="1"/>
  <c r="E65" i="22" s="1"/>
  <c r="M58" i="22"/>
  <c r="M61" i="22" s="1"/>
  <c r="M64" i="22" s="1"/>
  <c r="M65" i="22" s="1"/>
  <c r="U58" i="22"/>
  <c r="U61" i="22" s="1"/>
  <c r="A45" i="22"/>
  <c r="O57" i="22"/>
  <c r="H58" i="23"/>
  <c r="H61" i="23" s="1"/>
  <c r="H64" i="23" s="1"/>
  <c r="P58" i="23"/>
  <c r="P61" i="23" s="1"/>
  <c r="P64" i="23" s="1"/>
  <c r="I58" i="24"/>
  <c r="I61" i="24" s="1"/>
  <c r="Q58" i="24"/>
  <c r="Q61" i="24" s="1"/>
  <c r="Q64" i="24" s="1"/>
  <c r="E58" i="26"/>
  <c r="E61" i="26" s="1"/>
  <c r="M58" i="26"/>
  <c r="M61" i="26" s="1"/>
  <c r="M64" i="26" s="1"/>
  <c r="U58" i="26"/>
  <c r="U61" i="26" s="1"/>
  <c r="N57" i="26"/>
  <c r="P59" i="27"/>
  <c r="I58" i="28"/>
  <c r="I61" i="28" s="1"/>
  <c r="Q58" i="28"/>
  <c r="Q61" i="28" s="1"/>
  <c r="Q64" i="28" s="1"/>
  <c r="P23" i="28"/>
  <c r="P24" i="28" s="1"/>
  <c r="H58" i="29"/>
  <c r="H61" i="29" s="1"/>
  <c r="P58" i="29"/>
  <c r="P61" i="29" s="1"/>
  <c r="E58" i="30"/>
  <c r="E61" i="30" s="1"/>
  <c r="M58" i="30"/>
  <c r="M61" i="30" s="1"/>
  <c r="U58" i="30"/>
  <c r="U61" i="30" s="1"/>
  <c r="U64" i="30" s="1"/>
  <c r="U66" i="30" s="1"/>
  <c r="N57" i="30"/>
  <c r="F59" i="30"/>
  <c r="B58" i="30"/>
  <c r="B61"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23" i="30"/>
  <c r="H24" i="30" s="1"/>
  <c r="G23" i="30"/>
  <c r="G24" i="30" s="1"/>
  <c r="R19" i="30"/>
  <c r="F63" i="30"/>
  <c r="N63" i="30"/>
  <c r="K19" i="30"/>
  <c r="K20" i="30" s="1"/>
  <c r="S19" i="30"/>
  <c r="S23" i="30"/>
  <c r="A31" i="30"/>
  <c r="A33" i="30"/>
  <c r="A39" i="30"/>
  <c r="A41" i="30"/>
  <c r="A47" i="30"/>
  <c r="A49" i="30"/>
  <c r="G57" i="30"/>
  <c r="O57" i="30"/>
  <c r="G59" i="30"/>
  <c r="G64" i="30" s="1"/>
  <c r="G65" i="30" s="1"/>
  <c r="O59" i="30"/>
  <c r="G63" i="30"/>
  <c r="O63" i="30"/>
  <c r="P63" i="30"/>
  <c r="I63" i="30"/>
  <c r="Q63" i="30"/>
  <c r="T19" i="30"/>
  <c r="N19" i="30"/>
  <c r="N20" i="30" s="1"/>
  <c r="V19" i="30"/>
  <c r="B63" i="30"/>
  <c r="J63" i="30"/>
  <c r="R63" i="30"/>
  <c r="M19" i="30"/>
  <c r="M20" i="30" s="1"/>
  <c r="G19" i="30"/>
  <c r="G20" i="30" s="1"/>
  <c r="A32" i="30"/>
  <c r="A34" i="30"/>
  <c r="A40" i="30"/>
  <c r="A42" i="30"/>
  <c r="A48" i="30"/>
  <c r="A50" i="30"/>
  <c r="C63" i="30"/>
  <c r="K63" i="30"/>
  <c r="S63" i="30"/>
  <c r="D63" i="30"/>
  <c r="L63" i="30"/>
  <c r="T63" i="30"/>
  <c r="H63" i="30"/>
  <c r="Q19" i="30"/>
  <c r="E63" i="30"/>
  <c r="M63" i="30"/>
  <c r="Q23" i="29"/>
  <c r="Q24" i="29" s="1"/>
  <c r="O23" i="29"/>
  <c r="O24" i="29" s="1"/>
  <c r="T19" i="29"/>
  <c r="P63" i="29"/>
  <c r="J19" i="29"/>
  <c r="J20" i="29" s="1"/>
  <c r="R19" i="29"/>
  <c r="J23" i="29"/>
  <c r="J24" i="29" s="1"/>
  <c r="F57" i="29"/>
  <c r="N57" i="29"/>
  <c r="F59" i="29"/>
  <c r="N59" i="29"/>
  <c r="F63" i="29"/>
  <c r="N63" i="29"/>
  <c r="H63" i="29"/>
  <c r="K19" i="29"/>
  <c r="K20" i="29" s="1"/>
  <c r="S19" i="29"/>
  <c r="S23" i="29"/>
  <c r="S24" i="29" s="1"/>
  <c r="A31" i="29"/>
  <c r="A33" i="29"/>
  <c r="A39" i="29"/>
  <c r="A41" i="29"/>
  <c r="A47" i="29"/>
  <c r="A49" i="29"/>
  <c r="G57" i="29"/>
  <c r="O57" i="29"/>
  <c r="G59" i="29"/>
  <c r="O59" i="29"/>
  <c r="G63" i="29"/>
  <c r="O63" i="29"/>
  <c r="M19" i="29"/>
  <c r="M20" i="29" s="1"/>
  <c r="U19" i="29"/>
  <c r="U23" i="29"/>
  <c r="U24" i="29" s="1"/>
  <c r="I57" i="29"/>
  <c r="Q57" i="29"/>
  <c r="I63" i="29"/>
  <c r="Q63" i="29"/>
  <c r="N19" i="29"/>
  <c r="N20" i="29" s="1"/>
  <c r="V19" i="29"/>
  <c r="B63" i="29"/>
  <c r="J63" i="29"/>
  <c r="R63" i="29"/>
  <c r="L19" i="29"/>
  <c r="L20" i="29" s="1"/>
  <c r="G19" i="29"/>
  <c r="G20" i="29" s="1"/>
  <c r="O19" i="29"/>
  <c r="O20" i="29" s="1"/>
  <c r="A32" i="29"/>
  <c r="A34" i="29"/>
  <c r="A40" i="29"/>
  <c r="A42" i="29"/>
  <c r="A48" i="29"/>
  <c r="A50" i="29"/>
  <c r="C63" i="29"/>
  <c r="K63" i="29"/>
  <c r="S63" i="29"/>
  <c r="H19" i="29"/>
  <c r="H20" i="29" s="1"/>
  <c r="D63" i="29"/>
  <c r="L63" i="29"/>
  <c r="T63" i="29"/>
  <c r="E63" i="29"/>
  <c r="M63" i="29"/>
  <c r="K19" i="28"/>
  <c r="K20" i="28" s="1"/>
  <c r="S19" i="28"/>
  <c r="K23" i="28"/>
  <c r="K24" i="28" s="1"/>
  <c r="A31" i="28"/>
  <c r="A33" i="28"/>
  <c r="A37" i="28"/>
  <c r="A39" i="28"/>
  <c r="A41" i="28"/>
  <c r="A45" i="28"/>
  <c r="A47" i="28"/>
  <c r="A49" i="28"/>
  <c r="G57" i="28"/>
  <c r="O57" i="28"/>
  <c r="G59" i="28"/>
  <c r="O59" i="28"/>
  <c r="G63" i="28"/>
  <c r="O63" i="28"/>
  <c r="D19" i="28"/>
  <c r="D20" i="28" s="1"/>
  <c r="L19" i="28"/>
  <c r="L20" i="28" s="1"/>
  <c r="L23" i="28"/>
  <c r="L24" i="28" s="1"/>
  <c r="T23" i="28"/>
  <c r="H59" i="28"/>
  <c r="P59" i="28"/>
  <c r="H63" i="28"/>
  <c r="P63" i="28"/>
  <c r="U19" i="28"/>
  <c r="I57" i="28"/>
  <c r="Q57" i="28"/>
  <c r="I63" i="28"/>
  <c r="Q63" i="28"/>
  <c r="R19" i="28"/>
  <c r="F19" i="28"/>
  <c r="F20" i="28" s="1"/>
  <c r="V19" i="28"/>
  <c r="N23" i="28"/>
  <c r="N24" i="28" s="1"/>
  <c r="V23" i="28"/>
  <c r="B63" i="28"/>
  <c r="J63" i="28"/>
  <c r="R63" i="28"/>
  <c r="A32" i="28"/>
  <c r="A34" i="28"/>
  <c r="A40" i="28"/>
  <c r="A42" i="28"/>
  <c r="A48" i="28"/>
  <c r="A50" i="28"/>
  <c r="C63" i="28"/>
  <c r="K63" i="28"/>
  <c r="S63" i="28"/>
  <c r="H19" i="28"/>
  <c r="H20" i="28" s="1"/>
  <c r="D63" i="28"/>
  <c r="L63" i="28"/>
  <c r="T63" i="28"/>
  <c r="I19" i="28"/>
  <c r="I20" i="28" s="1"/>
  <c r="E63" i="28"/>
  <c r="M63" i="28"/>
  <c r="Q23" i="27"/>
  <c r="T23" i="27"/>
  <c r="R19" i="27"/>
  <c r="J21" i="27"/>
  <c r="J23" i="27" s="1"/>
  <c r="J24" i="27" s="1"/>
  <c r="F63" i="27"/>
  <c r="N63" i="27"/>
  <c r="C23" i="27"/>
  <c r="C24" i="27" s="1"/>
  <c r="K21" i="27"/>
  <c r="K23" i="27" s="1"/>
  <c r="K24" i="27" s="1"/>
  <c r="S21" i="27"/>
  <c r="S23"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I57" i="27"/>
  <c r="Q57" i="27"/>
  <c r="I63" i="27"/>
  <c r="Q63" i="27"/>
  <c r="N19" i="27"/>
  <c r="N20" i="27" s="1"/>
  <c r="V19" i="27"/>
  <c r="F21" i="27"/>
  <c r="F23" i="27" s="1"/>
  <c r="F24" i="27" s="1"/>
  <c r="N21" i="27"/>
  <c r="N23" i="27" s="1"/>
  <c r="N24" i="27" s="1"/>
  <c r="V21" i="27"/>
  <c r="V23" i="27" s="1"/>
  <c r="B63" i="27"/>
  <c r="J63" i="27"/>
  <c r="R63" i="27"/>
  <c r="G19" i="27"/>
  <c r="G20" i="27" s="1"/>
  <c r="A32" i="27"/>
  <c r="A34" i="27"/>
  <c r="A40" i="27"/>
  <c r="A42" i="27"/>
  <c r="A48" i="27"/>
  <c r="A50" i="27"/>
  <c r="C63" i="27"/>
  <c r="K63" i="27"/>
  <c r="S63" i="27"/>
  <c r="L19" i="27"/>
  <c r="L20" i="27" s="1"/>
  <c r="D63" i="27"/>
  <c r="L63" i="27"/>
  <c r="T63" i="27"/>
  <c r="H63" i="27"/>
  <c r="Q19" i="27"/>
  <c r="E63" i="27"/>
  <c r="M63" i="27"/>
  <c r="U64" i="26"/>
  <c r="U66" i="26" s="1"/>
  <c r="O23" i="26"/>
  <c r="O24" i="26" s="1"/>
  <c r="J23" i="26"/>
  <c r="J24" i="26" s="1"/>
  <c r="H64" i="26"/>
  <c r="H65" i="26" s="1"/>
  <c r="C19" i="26"/>
  <c r="C20" i="26" s="1"/>
  <c r="A31" i="26"/>
  <c r="A33" i="26"/>
  <c r="A37" i="26"/>
  <c r="A39" i="26"/>
  <c r="A41" i="26"/>
  <c r="A45" i="26"/>
  <c r="A47" i="26"/>
  <c r="A49" i="26"/>
  <c r="G57" i="26"/>
  <c r="O57" i="26"/>
  <c r="G59" i="26"/>
  <c r="O59" i="26"/>
  <c r="G63" i="26"/>
  <c r="O63" i="26"/>
  <c r="L19" i="26"/>
  <c r="L20" i="26" s="1"/>
  <c r="T19" i="26"/>
  <c r="L23" i="26"/>
  <c r="L24" i="26" s="1"/>
  <c r="T23" i="26"/>
  <c r="H63" i="26"/>
  <c r="P63" i="26"/>
  <c r="M19" i="26"/>
  <c r="M20" i="26" s="1"/>
  <c r="E23" i="26"/>
  <c r="E24" i="26" s="1"/>
  <c r="M23" i="26"/>
  <c r="M24" i="26" s="1"/>
  <c r="I57" i="26"/>
  <c r="Q57" i="26"/>
  <c r="I59" i="26"/>
  <c r="I64" i="26" s="1"/>
  <c r="I65" i="26" s="1"/>
  <c r="Q59" i="26"/>
  <c r="Q64" i="26" s="1"/>
  <c r="I63" i="26"/>
  <c r="Q63" i="26"/>
  <c r="N19" i="26"/>
  <c r="N20" i="26" s="1"/>
  <c r="N23" i="26"/>
  <c r="N24" i="26" s="1"/>
  <c r="V23" i="26"/>
  <c r="B63" i="26"/>
  <c r="J63" i="26"/>
  <c r="R63" i="26"/>
  <c r="G19" i="26"/>
  <c r="G20" i="26" s="1"/>
  <c r="O19" i="26"/>
  <c r="O20" i="26" s="1"/>
  <c r="A32" i="26"/>
  <c r="A34" i="26"/>
  <c r="A40" i="26"/>
  <c r="A42" i="26"/>
  <c r="A48" i="26"/>
  <c r="A50" i="26"/>
  <c r="C63" i="26"/>
  <c r="K63" i="26"/>
  <c r="S63" i="26"/>
  <c r="H19" i="26"/>
  <c r="H20" i="26" s="1"/>
  <c r="D63" i="26"/>
  <c r="L63" i="26"/>
  <c r="I19" i="26"/>
  <c r="I20" i="26" s="1"/>
  <c r="J23" i="24"/>
  <c r="J24" i="24" s="1"/>
  <c r="H23" i="24"/>
  <c r="H24" i="24" s="1"/>
  <c r="K19" i="24"/>
  <c r="K20" i="24" s="1"/>
  <c r="S19" i="24"/>
  <c r="K23" i="24"/>
  <c r="K24" i="24" s="1"/>
  <c r="A31" i="24"/>
  <c r="A33" i="24"/>
  <c r="A37" i="24"/>
  <c r="A39" i="24"/>
  <c r="A41" i="24"/>
  <c r="A45" i="24"/>
  <c r="A47" i="24"/>
  <c r="A49" i="24"/>
  <c r="G57" i="24"/>
  <c r="O57" i="24"/>
  <c r="G59" i="24"/>
  <c r="O59" i="24"/>
  <c r="G63" i="24"/>
  <c r="O63" i="24"/>
  <c r="H59" i="24"/>
  <c r="P59" i="24"/>
  <c r="H63" i="24"/>
  <c r="P63" i="24"/>
  <c r="E19" i="24"/>
  <c r="E20" i="24" s="1"/>
  <c r="U19" i="24"/>
  <c r="E23" i="24"/>
  <c r="E24" i="24" s="1"/>
  <c r="U23" i="24"/>
  <c r="I57" i="24"/>
  <c r="Q57" i="24"/>
  <c r="I63" i="24"/>
  <c r="Q63" i="24"/>
  <c r="F23" i="24"/>
  <c r="F24" i="24" s="1"/>
  <c r="V23" i="24"/>
  <c r="B63" i="24"/>
  <c r="J63" i="24"/>
  <c r="R63" i="24"/>
  <c r="O19" i="24"/>
  <c r="O20" i="24" s="1"/>
  <c r="A32" i="24"/>
  <c r="A34" i="24"/>
  <c r="A40" i="24"/>
  <c r="A42" i="24"/>
  <c r="A48" i="24"/>
  <c r="A50" i="24"/>
  <c r="C63" i="24"/>
  <c r="K63" i="24"/>
  <c r="S63" i="24"/>
  <c r="R23"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R23" i="23"/>
  <c r="K19" i="23"/>
  <c r="K20" i="23" s="1"/>
  <c r="S23" i="23"/>
  <c r="A31" i="23"/>
  <c r="A33" i="23"/>
  <c r="A37" i="23"/>
  <c r="A39" i="23"/>
  <c r="A41" i="23"/>
  <c r="A45" i="23"/>
  <c r="A47" i="23"/>
  <c r="A49" i="23"/>
  <c r="G57" i="23"/>
  <c r="O57" i="23"/>
  <c r="G59" i="23"/>
  <c r="O59" i="23"/>
  <c r="L19" i="23"/>
  <c r="L20" i="23" s="1"/>
  <c r="T19" i="23"/>
  <c r="L23" i="23"/>
  <c r="L24" i="23" s="1"/>
  <c r="T23" i="23"/>
  <c r="E19" i="23"/>
  <c r="E20" i="23" s="1"/>
  <c r="M19" i="23"/>
  <c r="M20" i="23" s="1"/>
  <c r="E23" i="23"/>
  <c r="E24" i="23" s="1"/>
  <c r="M23" i="23"/>
  <c r="M24" i="23" s="1"/>
  <c r="I57" i="23"/>
  <c r="Q57" i="23"/>
  <c r="N23" i="23"/>
  <c r="N24" i="23" s="1"/>
  <c r="O19" i="23"/>
  <c r="O20" i="23" s="1"/>
  <c r="A32" i="23"/>
  <c r="A34" i="23"/>
  <c r="A40" i="23"/>
  <c r="A42" i="23"/>
  <c r="A48" i="23"/>
  <c r="A50" i="23"/>
  <c r="H19" i="23"/>
  <c r="H20" i="23" s="1"/>
  <c r="I19" i="23"/>
  <c r="I20" i="23" s="1"/>
  <c r="Q19" i="23"/>
  <c r="U63" i="22"/>
  <c r="M63" i="22"/>
  <c r="E63" i="22"/>
  <c r="F63" i="22"/>
  <c r="T63" i="22"/>
  <c r="L63" i="22"/>
  <c r="D63" i="22"/>
  <c r="S63" i="22"/>
  <c r="K63" i="22"/>
  <c r="C63" i="22"/>
  <c r="N63" i="22"/>
  <c r="R63" i="22"/>
  <c r="J63" i="22"/>
  <c r="B63" i="22"/>
  <c r="Q63" i="22"/>
  <c r="I63" i="22"/>
  <c r="P63" i="22"/>
  <c r="H63" i="22"/>
  <c r="O63" i="22"/>
  <c r="G63" i="22"/>
  <c r="S19" i="22"/>
  <c r="T19" i="22"/>
  <c r="L23" i="22"/>
  <c r="T23" i="22"/>
  <c r="K23" i="22"/>
  <c r="A31" i="22"/>
  <c r="A33" i="22"/>
  <c r="A41" i="22"/>
  <c r="A47" i="22"/>
  <c r="E23" i="22"/>
  <c r="U23" i="22"/>
  <c r="I57" i="22"/>
  <c r="Q57" i="22"/>
  <c r="K19" i="22"/>
  <c r="A39" i="22"/>
  <c r="A49" i="22"/>
  <c r="N19" i="22"/>
  <c r="V19" i="22"/>
  <c r="V23" i="22"/>
  <c r="G19" i="22"/>
  <c r="A32" i="22"/>
  <c r="A34" i="22"/>
  <c r="A40" i="22"/>
  <c r="A42" i="22"/>
  <c r="A48" i="22"/>
  <c r="A50" i="22"/>
  <c r="P64" i="2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J23" i="21"/>
  <c r="J24" i="21" s="1"/>
  <c r="R23" i="21"/>
  <c r="R24" i="21" s="1"/>
  <c r="I19" i="21"/>
  <c r="I20" i="21" s="1"/>
  <c r="L19" i="21"/>
  <c r="L20" i="21" s="1"/>
  <c r="R19" i="21"/>
  <c r="A31" i="21"/>
  <c r="D64"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I65" i="29" l="1"/>
  <c r="C19" i="29"/>
  <c r="C20" i="29" s="1"/>
  <c r="L65" i="23"/>
  <c r="I65" i="23"/>
  <c r="J65" i="23"/>
  <c r="H65" i="23"/>
  <c r="C65" i="29"/>
  <c r="L65" i="24"/>
  <c r="J65" i="24"/>
  <c r="B65" i="24"/>
  <c r="L65" i="26"/>
  <c r="J65" i="30"/>
  <c r="D65" i="30"/>
  <c r="K65" i="30"/>
  <c r="C65" i="30"/>
  <c r="K65" i="28"/>
  <c r="J65" i="28"/>
  <c r="J65" i="27"/>
  <c r="I65" i="27"/>
  <c r="K65" i="27"/>
  <c r="D65" i="27"/>
  <c r="O65" i="21"/>
  <c r="K65" i="21"/>
  <c r="L65" i="21"/>
  <c r="D65" i="21"/>
  <c r="C65" i="21"/>
  <c r="E64" i="30"/>
  <c r="E65" i="30" s="1"/>
  <c r="E64" i="23"/>
  <c r="E65" i="23" s="1"/>
  <c r="E64" i="27"/>
  <c r="E65" i="27" s="1"/>
  <c r="H64" i="22"/>
  <c r="H65" i="22" s="1"/>
  <c r="I64" i="28"/>
  <c r="I65" i="28" s="1"/>
  <c r="I64" i="30"/>
  <c r="I65" i="30" s="1"/>
  <c r="C64" i="27"/>
  <c r="C65" i="27" s="1"/>
  <c r="D64" i="28"/>
  <c r="D65" i="28" s="1"/>
  <c r="C64" i="23"/>
  <c r="C65" i="23" s="1"/>
  <c r="B64" i="30"/>
  <c r="B65" i="30" s="1"/>
  <c r="F64" i="26"/>
  <c r="M66" i="26"/>
  <c r="M65" i="26"/>
  <c r="L64" i="28"/>
  <c r="L65" i="28" s="1"/>
  <c r="N66" i="21"/>
  <c r="N65" i="21"/>
  <c r="C23" i="21"/>
  <c r="C24" i="21" s="1"/>
  <c r="L64" i="22"/>
  <c r="L65" i="22" s="1"/>
  <c r="D64" i="22"/>
  <c r="D65" i="22" s="1"/>
  <c r="Q64" i="22"/>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G64" i="21"/>
  <c r="S64" i="21"/>
  <c r="S66" i="21" s="1"/>
  <c r="E64" i="21"/>
  <c r="F64" i="21"/>
  <c r="N64" i="28"/>
  <c r="J64" i="21"/>
  <c r="F64" i="24"/>
  <c r="F64" i="28"/>
  <c r="D64" i="26"/>
  <c r="D65" i="26" s="1"/>
  <c r="H64" i="29"/>
  <c r="S64" i="30"/>
  <c r="S66" i="30" s="1"/>
  <c r="Q64" i="23"/>
  <c r="Q66" i="23" s="1"/>
  <c r="F64" i="30"/>
  <c r="K64" i="23"/>
  <c r="R64" i="26"/>
  <c r="E64" i="24"/>
  <c r="J64" i="22"/>
  <c r="H64" i="21"/>
  <c r="H65" i="21" s="1"/>
  <c r="H64" i="28"/>
  <c r="G64" i="28"/>
  <c r="P64" i="26"/>
  <c r="E64" i="28"/>
  <c r="N64" i="23"/>
  <c r="N65" i="23" s="1"/>
  <c r="J64" i="26"/>
  <c r="J65" i="26" s="1"/>
  <c r="B64" i="23"/>
  <c r="M64" i="27"/>
  <c r="H64" i="27"/>
  <c r="G64" i="22"/>
  <c r="L64" i="29"/>
  <c r="L65" i="29" s="1"/>
  <c r="G64" i="24"/>
  <c r="H64" i="24"/>
  <c r="D64" i="23"/>
  <c r="D65" i="23" s="1"/>
  <c r="K64" i="24"/>
  <c r="K65" i="24" s="1"/>
  <c r="P64" i="24"/>
  <c r="U64" i="29"/>
  <c r="U66" i="29" s="1"/>
  <c r="O66" i="21"/>
  <c r="M64" i="30"/>
  <c r="K64" i="26"/>
  <c r="C64" i="28"/>
  <c r="C64" i="24"/>
  <c r="L64" i="27"/>
  <c r="R64" i="24"/>
  <c r="R66" i="24" s="1"/>
  <c r="K64" i="29"/>
  <c r="J64" i="29"/>
  <c r="E64" i="29"/>
  <c r="M64" i="21"/>
  <c r="M65" i="21" s="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4" i="28"/>
  <c r="N64" i="27"/>
  <c r="N64" i="30"/>
  <c r="L66" i="30"/>
  <c r="J66" i="28"/>
  <c r="G64" i="26"/>
  <c r="G64" i="29"/>
  <c r="F64" i="22"/>
  <c r="O64" i="26"/>
  <c r="R66" i="22"/>
  <c r="T66" i="24"/>
  <c r="U66" i="23"/>
  <c r="P64" i="30"/>
  <c r="P66" i="30" s="1"/>
  <c r="C66" i="23"/>
  <c r="P66" i="23"/>
  <c r="E66" i="22"/>
  <c r="T66" i="23"/>
  <c r="Q66" i="21"/>
  <c r="P66" i="21"/>
  <c r="K66" i="27"/>
  <c r="G64" i="23"/>
  <c r="Q66" i="24"/>
  <c r="R66" i="27"/>
  <c r="H66" i="23"/>
  <c r="J66" i="27"/>
  <c r="G64" i="27"/>
  <c r="G66" i="30"/>
  <c r="J66" i="30"/>
  <c r="F64" i="27"/>
  <c r="T66" i="27"/>
  <c r="Q66" i="22"/>
  <c r="J66" i="26"/>
  <c r="C66" i="22"/>
  <c r="T66" i="21"/>
  <c r="S66" i="23"/>
  <c r="H66" i="30"/>
  <c r="S66" i="24"/>
  <c r="L66" i="21"/>
  <c r="S66" i="26"/>
  <c r="L66" i="28"/>
  <c r="L66" i="26"/>
  <c r="T66" i="30"/>
  <c r="C66" i="29"/>
  <c r="H66" i="22"/>
  <c r="R66" i="28"/>
  <c r="N64" i="26"/>
  <c r="O64" i="29"/>
  <c r="P64" i="29"/>
  <c r="P66" i="29" s="1"/>
  <c r="S64" i="1"/>
  <c r="R66" i="26"/>
  <c r="D66" i="27"/>
  <c r="N64" i="29"/>
  <c r="R66" i="30"/>
  <c r="L66" i="23"/>
  <c r="O66" i="22"/>
  <c r="R64" i="1"/>
  <c r="J66" i="23"/>
  <c r="Q64" i="1"/>
  <c r="U64" i="1"/>
  <c r="P64" i="1"/>
  <c r="J66" i="24"/>
  <c r="Q66" i="29"/>
  <c r="F64" i="29"/>
  <c r="O64" i="23"/>
  <c r="O64" i="30"/>
  <c r="N64" i="24"/>
  <c r="B66" i="24"/>
  <c r="K66" i="30"/>
  <c r="C66" i="30"/>
  <c r="I66" i="30"/>
  <c r="R66" i="29"/>
  <c r="I66" i="29"/>
  <c r="S66" i="29"/>
  <c r="T66" i="28"/>
  <c r="Q66" i="28"/>
  <c r="S66" i="28"/>
  <c r="K66" i="28"/>
  <c r="Q66" i="27"/>
  <c r="I66" i="27"/>
  <c r="P66" i="27"/>
  <c r="Q66" i="26"/>
  <c r="P66" i="26"/>
  <c r="C66" i="26"/>
  <c r="I66" i="26"/>
  <c r="H66" i="26"/>
  <c r="D66" i="26"/>
  <c r="L66" i="24"/>
  <c r="P66" i="24"/>
  <c r="D66" i="24"/>
  <c r="I66" i="23"/>
  <c r="I66" i="22"/>
  <c r="M66" i="22"/>
  <c r="S66" i="22"/>
  <c r="K66" i="22"/>
  <c r="T66" i="22"/>
  <c r="K66" i="21"/>
  <c r="C66" i="21"/>
  <c r="D66" i="21"/>
  <c r="R66" i="21"/>
  <c r="N64" i="1"/>
  <c r="M64" i="1"/>
  <c r="T64" i="1"/>
  <c r="L64" i="1"/>
  <c r="J64" i="1"/>
  <c r="K64" i="1"/>
  <c r="O64" i="1"/>
  <c r="O65" i="1" s="1"/>
  <c r="C64" i="1"/>
  <c r="I64" i="1"/>
  <c r="H64" i="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F65" i="1" l="1"/>
  <c r="L65" i="1"/>
  <c r="G65" i="1"/>
  <c r="D66" i="29"/>
  <c r="D66" i="22"/>
  <c r="D66" i="23"/>
  <c r="C66" i="27"/>
  <c r="H65" i="1"/>
  <c r="M65" i="1"/>
  <c r="I65" i="1"/>
  <c r="N65" i="1"/>
  <c r="C65" i="1"/>
  <c r="D65" i="1"/>
  <c r="K65" i="1"/>
  <c r="E65" i="1"/>
  <c r="J65" i="1"/>
  <c r="B65" i="1"/>
  <c r="E66" i="27"/>
  <c r="E66" i="30"/>
  <c r="E66" i="23"/>
  <c r="N66" i="23"/>
  <c r="L66" i="22"/>
  <c r="I66" i="28"/>
  <c r="K66" i="24"/>
  <c r="D66" i="28"/>
  <c r="B66" i="30"/>
  <c r="F66" i="22"/>
  <c r="F65" i="22"/>
  <c r="G66" i="23"/>
  <c r="G65" i="23"/>
  <c r="G66" i="29"/>
  <c r="G65" i="29"/>
  <c r="L66" i="27"/>
  <c r="L65" i="27"/>
  <c r="J66" i="22"/>
  <c r="J65" i="22"/>
  <c r="G66" i="21"/>
  <c r="G65" i="21"/>
  <c r="M66" i="28"/>
  <c r="G66" i="26"/>
  <c r="G65" i="26"/>
  <c r="I66" i="21"/>
  <c r="I65" i="21"/>
  <c r="C66" i="24"/>
  <c r="C65" i="24"/>
  <c r="E66" i="24"/>
  <c r="E65" i="24"/>
  <c r="F66" i="28"/>
  <c r="F65" i="28"/>
  <c r="O66" i="24"/>
  <c r="O65" i="24"/>
  <c r="F66" i="26"/>
  <c r="F65" i="26"/>
  <c r="I66" i="24"/>
  <c r="O66" i="29"/>
  <c r="O65" i="29"/>
  <c r="G66" i="27"/>
  <c r="G65" i="27"/>
  <c r="C66" i="28"/>
  <c r="C65" i="28"/>
  <c r="H66" i="24"/>
  <c r="H65" i="24"/>
  <c r="F66" i="24"/>
  <c r="F65" i="24"/>
  <c r="K66" i="23"/>
  <c r="K65" i="23"/>
  <c r="K66" i="26"/>
  <c r="K65" i="26"/>
  <c r="M66" i="21"/>
  <c r="N66" i="26"/>
  <c r="N65" i="26"/>
  <c r="G66" i="24"/>
  <c r="G65" i="24"/>
  <c r="E66" i="28"/>
  <c r="E65" i="28"/>
  <c r="J66" i="21"/>
  <c r="J65" i="21"/>
  <c r="N66" i="30"/>
  <c r="N65" i="30"/>
  <c r="E66" i="29"/>
  <c r="E65" i="29"/>
  <c r="M66" i="30"/>
  <c r="M65" i="30"/>
  <c r="F66" i="30"/>
  <c r="F65" i="30"/>
  <c r="N66" i="28"/>
  <c r="N65" i="28"/>
  <c r="E66" i="26"/>
  <c r="E65" i="26"/>
  <c r="H66" i="21"/>
  <c r="N66" i="24"/>
  <c r="N65" i="24"/>
  <c r="N66" i="29"/>
  <c r="N65" i="29"/>
  <c r="L66" i="29"/>
  <c r="O66" i="26"/>
  <c r="O65" i="26"/>
  <c r="N66" i="27"/>
  <c r="N65" i="27"/>
  <c r="J66" i="29"/>
  <c r="J65" i="29"/>
  <c r="G66" i="22"/>
  <c r="G65" i="22"/>
  <c r="G66" i="28"/>
  <c r="G65" i="28"/>
  <c r="F66" i="21"/>
  <c r="F65" i="21"/>
  <c r="M66" i="23"/>
  <c r="M65" i="23"/>
  <c r="M66" i="24"/>
  <c r="M66" i="29"/>
  <c r="O66" i="30"/>
  <c r="O65" i="30"/>
  <c r="O66" i="28"/>
  <c r="O65" i="28"/>
  <c r="F66" i="23"/>
  <c r="F65" i="23"/>
  <c r="K66" i="29"/>
  <c r="K65" i="29"/>
  <c r="H66" i="27"/>
  <c r="H65" i="27"/>
  <c r="H66" i="28"/>
  <c r="H65" i="28"/>
  <c r="E66" i="21"/>
  <c r="E65" i="21"/>
  <c r="O66" i="23"/>
  <c r="O65" i="23"/>
  <c r="F66" i="27"/>
  <c r="F65" i="27"/>
  <c r="O66" i="27"/>
  <c r="O65" i="27"/>
  <c r="M66" i="27"/>
  <c r="M65" i="27"/>
  <c r="H66" i="29"/>
  <c r="H65" i="29"/>
  <c r="F66" i="29"/>
  <c r="F65" i="29"/>
  <c r="B66" i="26"/>
  <c r="B65" i="26"/>
  <c r="B66" i="27"/>
  <c r="B65" i="27"/>
  <c r="B66" i="28"/>
  <c r="B65" i="28"/>
  <c r="B66" i="29"/>
  <c r="B65" i="29"/>
  <c r="B66" i="21"/>
  <c r="B65" i="21"/>
  <c r="B66" i="22"/>
  <c r="B65" i="22"/>
  <c r="B66" i="23"/>
  <c r="B65" i="23"/>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<sst xmlns="http://schemas.openxmlformats.org/spreadsheetml/2006/main" count="2220" uniqueCount="182">
  <si>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</si>
  <si>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</si>
  <si>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</si>
  <si>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</si>
  <si>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</si>
  <si>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</si>
  <si>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</si>
  <si>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</si>
  <si>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</si>
  <si>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</si>
  <si>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</si>
  <si>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</si>
  <si>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</si>
  <si>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</si>
  <si>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</si>
  <si>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</si>
  <si>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</si>
  <si>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</si>
  <si>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</si>
  <si>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</si>
  <si>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</si>
  <si>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</si>
  <si>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</si>
  <si>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</si>
  <si>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</si>
  <si>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</si>
  <si>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</si>
  <si>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</si>
  <si>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</si>
  <si>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</si>
  <si>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</si>
  <si>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</si>
  <si>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</si>
  <si>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</si>
  <si>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</si>
  <si>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</si>
  <si>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</si>
  <si>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</si>
  <si>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</si>
  <si>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</si>
  <si>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</si>
  <si>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</si>
  <si>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</si>
  <si>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</si>
  <si>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</si>
  <si>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</si>
  <si>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</si>
  <si>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</si>
  <si>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</si>
  <si>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</si>
  <si>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</si>
  <si>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</si>
  <si>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</si>
  <si>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</si>
  <si>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</si>
  <si>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</si>
  <si>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</si>
  <si>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</si>
  <si>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</si>
  <si>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</si>
  <si>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</si>
  <si>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</si>
  <si>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</si>
  <si>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</si>
  <si>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</si>
  <si>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</si>
  <si>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</si>
  <si>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</si>
  <si>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</si>
  <si>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</si>
  <si>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</si>
  <si>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</si>
  <si>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</si>
  <si>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</si>
  <si>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</si>
  <si>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</si>
  <si>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</si>
  <si>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</si>
  <si>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</si>
  <si>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</si>
  <si>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</si>
  <si>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</si>
  <si>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</si>
  <si>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</si>
  <si>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</si>
  <si>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</si>
  <si>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</si>
  <si>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</si>
  <si>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</si>
  <si>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</si>
  <si>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</si>
  <si>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</si>
  <si>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</si>
  <si>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</si>
  <si>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</si>
  <si>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</si>
  <si>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</si>
  <si>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</si>
  <si>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</si>
  <si>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</si>
  <si>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</si>
  <si>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</si>
  <si>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</si>
  <si>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</si>
  <si>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</si>
  <si>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</si>
  <si>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</si>
  <si>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</si>
  <si>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</si>
  <si>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</si>
  <si>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</si>
  <si>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</si>
  <si>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</si>
  <si>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</si>
  <si>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</si>
  <si>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</si>
  <si>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</si>
  <si>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</si>
  <si>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</si>
  <si>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</si>
  <si>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</si>
  <si>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</si>
  <si>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</si>
  <si>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</si>
  <si>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</si>
  <si>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</si>
  <si>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</si>
  <si>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</si>
  <si>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</si>
  <si>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</si>
  <si>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</si>
  <si>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</si>
  <si>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</si>
  <si>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</si>
  <si>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</si>
  <si>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</si>
  <si>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</si>
  <si>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</si>
  <si>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</si>
  <si>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</si>
  <si>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</si>
  <si>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</si>
  <si>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</si>
  <si>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</si>
  <si>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</si>
  <si>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</si>
  <si>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</si>
  <si>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</si>
  <si>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</si>
  <si>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</si>
  <si>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</si>
  <si>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</si>
  <si>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</si>
  <si>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</si>
  <si>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</si>
  <si>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</si>
  <si>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</si>
  <si>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</si>
  <si>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</si>
  <si>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</si>
  <si>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PAN-019532</t>
  </si>
  <si>
    <t>EPR-KP3594VE</t>
  </si>
  <si>
    <t xml:space="preserve">Trade effluent services </t>
  </si>
  <si>
    <t>Play Yn Llan, Llangynhafal, LL16 4LN</t>
  </si>
  <si>
    <t xml:space="preserve">Ethan Banfield </t>
  </si>
  <si>
    <t>02 02 04</t>
  </si>
  <si>
    <t>Secanim</t>
  </si>
  <si>
    <t>07 07 12</t>
  </si>
  <si>
    <t>Croda Goole</t>
  </si>
  <si>
    <t>02 03 05</t>
  </si>
  <si>
    <t>Croda Widnes</t>
  </si>
  <si>
    <t>Maelor</t>
  </si>
  <si>
    <t>02 07 05</t>
  </si>
  <si>
    <t>Encirc</t>
  </si>
  <si>
    <t>02 05 01</t>
  </si>
  <si>
    <t>Beechdean Ice cream</t>
  </si>
  <si>
    <t>Penderyn Distillery</t>
  </si>
  <si>
    <t>Kelloggs</t>
  </si>
  <si>
    <t>Rowan Foods</t>
  </si>
  <si>
    <t>7a</t>
  </si>
  <si>
    <t>Moderate</t>
  </si>
  <si>
    <t>moderate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</si>
</sst>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9">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I4" sqref="I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9" t="s">
        <v>41</v>
      </c>
      <c r="B1" s="129"/>
      <c r="C1" s="123" t="s">
        <v>160</v>
      </c>
      <c r="D1" s="124"/>
      <c r="E1" s="93" t="s">
        <v>45</v>
      </c>
      <c r="F1" s="120">
        <v>18.100000000000001</v>
      </c>
      <c r="G1" s="125" t="s">
        <v>43</v>
      </c>
      <c r="H1" s="126"/>
      <c r="I1" s="120">
        <v>7.45</v>
      </c>
      <c r="J1" s="129" t="s">
        <v>153</v>
      </c>
      <c r="K1" s="129"/>
      <c r="L1" s="120">
        <v>1490</v>
      </c>
      <c r="AB1" s="18"/>
      <c r="AC1" s="18"/>
      <c r="AD1" s="30" t="s">
        <v>126</v>
      </c>
      <c r="AE1" s="17"/>
      <c r="AF1" s="17"/>
      <c r="AG1" s="18"/>
      <c r="AH1" s="18"/>
      <c r="AI1" s="40" t="s">
        <v>79</v>
      </c>
      <c r="AJ1" s="41" t="s">
        <v>94</v>
      </c>
      <c r="AK1" s="42" t="s">
        <v>95</v>
      </c>
      <c r="AL1" s="43" t="s">
        <v>125</v>
      </c>
      <c r="AM1" s="43" t="s">
        <v>131</v>
      </c>
      <c r="AN1" s="43" t="s">
        <v>111</v>
      </c>
    </row>
    <row r="2" spans="1:40" ht="13" x14ac:dyDescent="0.3">
      <c r="A2" s="129" t="s">
        <v>87</v>
      </c>
      <c r="B2" s="129"/>
      <c r="C2" s="121" t="s">
        <v>161</v>
      </c>
      <c r="D2" s="122"/>
      <c r="E2" s="93" t="s">
        <v>109</v>
      </c>
      <c r="F2" s="120" t="s">
        <v>165</v>
      </c>
      <c r="G2" s="127" t="s">
        <v>110</v>
      </c>
      <c r="H2" s="128"/>
      <c r="I2" s="120">
        <v>2191</v>
      </c>
      <c r="J2" s="129" t="s">
        <v>158</v>
      </c>
      <c r="K2" s="129"/>
      <c r="L2" s="120">
        <v>0.36</v>
      </c>
      <c r="AB2" s="30" t="s">
        <v>56</v>
      </c>
      <c r="AC2" s="17"/>
      <c r="AD2" s="30" t="s">
        <v>70</v>
      </c>
      <c r="AE2" s="17"/>
      <c r="AF2" s="17"/>
      <c r="AG2" s="44" t="s">
        <v>76</v>
      </c>
      <c r="AH2" s="18"/>
      <c r="AI2" s="45" t="s">
        <v>126</v>
      </c>
      <c r="AJ2" s="46">
        <v>0</v>
      </c>
      <c r="AK2" s="47">
        <v>0</v>
      </c>
      <c r="AL2" s="10">
        <v>0</v>
      </c>
      <c r="AM2" s="11">
        <v>0</v>
      </c>
      <c r="AN2" s="11">
        <v>0</v>
      </c>
    </row>
    <row r="3" spans="1:40" ht="13" x14ac:dyDescent="0.25">
      <c r="A3" s="125" t="s">
        <v>42</v>
      </c>
      <c r="B3" s="126"/>
      <c r="C3" s="121" t="s">
        <v>162</v>
      </c>
      <c r="D3" s="122"/>
      <c r="E3" s="93" t="s">
        <v>108</v>
      </c>
      <c r="F3" s="31" t="s">
        <v>78</v>
      </c>
      <c r="G3" s="129" t="s">
        <v>159</v>
      </c>
      <c r="H3" s="129"/>
      <c r="I3" s="120">
        <v>21980</v>
      </c>
      <c r="J3" s="125" t="s">
        <v>154</v>
      </c>
      <c r="K3" s="126"/>
      <c r="L3" s="96">
        <f>(L1/(L2*10000))*100</f>
        <v>41.388888888888886</v>
      </c>
      <c r="AB3" s="30" t="s">
        <v>57</v>
      </c>
      <c r="AC3" s="17"/>
      <c r="AD3" s="30" t="s">
        <v>71</v>
      </c>
      <c r="AE3" s="17"/>
      <c r="AF3" s="17"/>
      <c r="AG3" s="44" t="s">
        <v>77</v>
      </c>
      <c r="AH3" s="18"/>
      <c r="AI3" s="48" t="s">
        <v>113</v>
      </c>
      <c r="AJ3" s="49">
        <v>1.7</v>
      </c>
      <c r="AK3" s="50">
        <v>6</v>
      </c>
      <c r="AL3" s="51">
        <v>1</v>
      </c>
      <c r="AM3" s="11">
        <v>6.2</v>
      </c>
      <c r="AN3" s="11" t="s">
        <v>112</v>
      </c>
    </row>
    <row r="4" spans="1:40" ht="13" x14ac:dyDescent="0.25">
      <c r="A4" s="129" t="s">
        <v>0</v>
      </c>
      <c r="B4" s="129"/>
      <c r="C4" s="123" t="s">
        <v>163</v>
      </c>
      <c r="D4" s="124"/>
      <c r="E4" s="94" t="s">
        <v>1</v>
      </c>
      <c r="F4" s="119" t="s">
        <v>166</v>
      </c>
      <c r="G4" s="129"/>
      <c r="H4" s="129"/>
      <c r="I4" s="96"/>
      <c r="J4" s="125"/>
      <c r="K4" s="126"/>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29" t="s">
        <v>47</v>
      </c>
      <c r="B5" s="129"/>
      <c r="C5" s="130" t="s">
        <v>164</v>
      </c>
      <c r="D5" s="130"/>
      <c r="E5" s="94"/>
      <c r="F5" s="95"/>
      <c r="G5" s="129"/>
      <c r="H5" s="129"/>
      <c r="I5" s="96"/>
      <c r="J5" s="125"/>
      <c r="K5" s="126"/>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29" t="s">
        <v>2</v>
      </c>
      <c r="B8" s="129"/>
      <c r="C8" s="15">
        <v>1</v>
      </c>
      <c r="D8" s="15">
        <v>2</v>
      </c>
      <c r="E8" s="15">
        <v>3</v>
      </c>
      <c r="F8" s="15">
        <v>4</v>
      </c>
      <c r="G8" s="15">
        <v>5</v>
      </c>
      <c r="H8" s="15">
        <v>6</v>
      </c>
      <c r="I8" s="15">
        <v>8</v>
      </c>
      <c r="J8" s="15">
        <v>7</v>
      </c>
      <c r="K8" s="15">
        <v>9</v>
      </c>
      <c r="L8" s="15">
        <v>10</v>
      </c>
      <c r="M8" s="15">
        <v>11</v>
      </c>
      <c r="N8" s="15">
        <v>12</v>
      </c>
      <c r="O8" s="15">
        <v>13</v>
      </c>
      <c r="P8" s="15" t="s">
        <v>179</v>
      </c>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29" t="s">
        <v>3</v>
      </c>
      <c r="B9" s="129"/>
      <c r="C9" s="15" t="s">
        <v>180</v>
      </c>
      <c r="D9" s="15" t="s">
        <v>180</v>
      </c>
      <c r="E9" s="15" t="s">
        <v>181</v>
      </c>
      <c r="F9" s="15">
        <v>1</v>
      </c>
      <c r="G9" s="15" t="s">
        <v>180</v>
      </c>
      <c r="H9" s="15" t="s">
        <v>180</v>
      </c>
      <c r="I9" s="15" t="s">
        <v>180</v>
      </c>
      <c r="J9" s="15" t="s">
        <v>180</v>
      </c>
      <c r="K9" s="15" t="s">
        <v>180</v>
      </c>
      <c r="L9" s="15" t="s">
        <v>180</v>
      </c>
      <c r="M9" s="15" t="s">
        <v>180</v>
      </c>
      <c r="N9" s="15" t="s">
        <v>180</v>
      </c>
      <c r="O9" s="15" t="s">
        <v>180</v>
      </c>
      <c r="P9" s="15">
        <v>1</v>
      </c>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29" t="s">
        <v>4</v>
      </c>
      <c r="B10" s="129"/>
      <c r="C10" s="15">
        <v>6.2</v>
      </c>
      <c r="D10" s="15">
        <v>6</v>
      </c>
      <c r="E10" s="15">
        <v>7</v>
      </c>
      <c r="F10" s="15">
        <v>6.1</v>
      </c>
      <c r="G10" s="15">
        <v>6.5</v>
      </c>
      <c r="H10" s="15">
        <v>6.5</v>
      </c>
      <c r="I10" s="15">
        <v>6.1</v>
      </c>
      <c r="J10" s="15">
        <v>6.1</v>
      </c>
      <c r="K10" s="15">
        <v>6.6</v>
      </c>
      <c r="L10" s="15">
        <v>6.7</v>
      </c>
      <c r="M10" s="15">
        <v>6.7</v>
      </c>
      <c r="N10" s="15">
        <v>6.5</v>
      </c>
      <c r="O10" s="15">
        <v>6.7</v>
      </c>
      <c r="P10" s="15">
        <v>6.5</v>
      </c>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29" t="s">
        <v>5</v>
      </c>
      <c r="B11" s="129"/>
      <c r="C11" s="15">
        <v>2</v>
      </c>
      <c r="D11" s="15">
        <v>1</v>
      </c>
      <c r="E11" s="15">
        <v>1</v>
      </c>
      <c r="F11" s="15">
        <v>2</v>
      </c>
      <c r="G11" s="15">
        <v>1</v>
      </c>
      <c r="H11" s="15">
        <v>2</v>
      </c>
      <c r="I11" s="15">
        <v>1</v>
      </c>
      <c r="J11" s="15">
        <v>1</v>
      </c>
      <c r="K11" s="15">
        <v>0</v>
      </c>
      <c r="L11" s="15">
        <v>0</v>
      </c>
      <c r="M11" s="15">
        <v>1</v>
      </c>
      <c r="N11" s="15">
        <v>1</v>
      </c>
      <c r="O11" s="15">
        <v>1</v>
      </c>
      <c r="P11" s="15">
        <v>3</v>
      </c>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29" t="s">
        <v>6</v>
      </c>
      <c r="B12" s="129"/>
      <c r="C12" s="15">
        <v>2</v>
      </c>
      <c r="D12" s="15">
        <v>2</v>
      </c>
      <c r="E12" s="15">
        <v>1</v>
      </c>
      <c r="F12" s="15">
        <v>1</v>
      </c>
      <c r="G12" s="15">
        <v>2</v>
      </c>
      <c r="H12" s="15">
        <v>3</v>
      </c>
      <c r="I12" s="15">
        <v>3</v>
      </c>
      <c r="J12" s="15">
        <v>2</v>
      </c>
      <c r="K12" s="15">
        <v>2</v>
      </c>
      <c r="L12" s="15">
        <v>1</v>
      </c>
      <c r="M12" s="15">
        <v>1</v>
      </c>
      <c r="N12" s="15">
        <v>2</v>
      </c>
      <c r="O12" s="15">
        <v>2</v>
      </c>
      <c r="P12" s="15">
        <v>3</v>
      </c>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29" t="s">
        <v>7</v>
      </c>
      <c r="B13" s="129"/>
      <c r="C13" s="15">
        <v>2</v>
      </c>
      <c r="D13" s="15">
        <v>2</v>
      </c>
      <c r="E13" s="15">
        <v>2</v>
      </c>
      <c r="F13" s="15">
        <v>2</v>
      </c>
      <c r="G13" s="15">
        <v>2</v>
      </c>
      <c r="H13" s="15">
        <v>2</v>
      </c>
      <c r="I13" s="15">
        <v>2</v>
      </c>
      <c r="J13" s="15">
        <v>2</v>
      </c>
      <c r="K13" s="15">
        <v>2</v>
      </c>
      <c r="L13" s="15">
        <v>3</v>
      </c>
      <c r="M13" s="15">
        <v>2</v>
      </c>
      <c r="N13" s="15">
        <v>2</v>
      </c>
      <c r="O13" s="15">
        <v>2</v>
      </c>
      <c r="P13" s="15">
        <v>3</v>
      </c>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8" t="s">
        <v>8</v>
      </c>
      <c r="B14" s="138"/>
      <c r="C14" s="100" t="s">
        <v>113</v>
      </c>
      <c r="D14" s="100" t="s">
        <v>113</v>
      </c>
      <c r="E14" s="100" t="s">
        <v>113</v>
      </c>
      <c r="F14" s="100" t="s">
        <v>105</v>
      </c>
      <c r="G14" s="100" t="s">
        <v>113</v>
      </c>
      <c r="H14" s="100" t="s">
        <v>113</v>
      </c>
      <c r="I14" s="100" t="s">
        <v>113</v>
      </c>
      <c r="J14" s="100" t="s">
        <v>113</v>
      </c>
      <c r="K14" s="100" t="s">
        <v>113</v>
      </c>
      <c r="L14" s="100" t="s">
        <v>113</v>
      </c>
      <c r="M14" s="100" t="s">
        <v>113</v>
      </c>
      <c r="N14" s="100" t="s">
        <v>113</v>
      </c>
      <c r="O14" s="100" t="s">
        <v>113</v>
      </c>
      <c r="P14" s="100" t="s">
        <v>105</v>
      </c>
      <c r="Q14" s="100"/>
      <c r="R14" s="100"/>
      <c r="S14" s="100"/>
      <c r="T14" s="100"/>
      <c r="U14" s="100"/>
      <c r="V14" s="100"/>
      <c r="AD14" s="30" t="s">
        <v>138</v>
      </c>
      <c r="AE14" s="30">
        <v>6</v>
      </c>
      <c r="AI14" s="53" t="s">
        <v>119</v>
      </c>
      <c r="AJ14" s="54">
        <v>0.8</v>
      </c>
      <c r="AK14" s="55">
        <v>1.7</v>
      </c>
      <c r="AL14" s="11">
        <v>12</v>
      </c>
      <c r="AM14" s="11">
        <v>6.7</v>
      </c>
      <c r="AN14" s="11" t="s">
        <v>135</v>
      </c>
    </row>
    <row r="15" spans="1:40" ht="13" x14ac:dyDescent="0.25">
      <c r="A15" s="137" t="s">
        <v>9</v>
      </c>
      <c r="B15" s="137"/>
      <c r="C15" s="15">
        <v>38</v>
      </c>
      <c r="D15" s="15">
        <v>38</v>
      </c>
      <c r="E15" s="15">
        <v>38</v>
      </c>
      <c r="F15" s="15">
        <v>40</v>
      </c>
      <c r="G15" s="15">
        <v>38</v>
      </c>
      <c r="H15" s="15">
        <v>38</v>
      </c>
      <c r="I15" s="15">
        <v>38</v>
      </c>
      <c r="J15" s="15">
        <v>38</v>
      </c>
      <c r="K15" s="15">
        <v>38</v>
      </c>
      <c r="L15" s="15">
        <v>38</v>
      </c>
      <c r="M15" s="15">
        <v>38</v>
      </c>
      <c r="N15" s="15">
        <v>38</v>
      </c>
      <c r="O15" s="15">
        <v>38</v>
      </c>
      <c r="P15" s="15">
        <v>40</v>
      </c>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9" t="s">
        <v>44</v>
      </c>
      <c r="B16" s="139"/>
      <c r="C16" s="101" t="s">
        <v>71</v>
      </c>
      <c r="D16" s="101" t="s">
        <v>71</v>
      </c>
      <c r="E16" s="101" t="s">
        <v>71</v>
      </c>
      <c r="F16" s="101" t="s">
        <v>71</v>
      </c>
      <c r="G16" s="101" t="s">
        <v>71</v>
      </c>
      <c r="H16" s="101" t="s">
        <v>71</v>
      </c>
      <c r="I16" s="101" t="s">
        <v>71</v>
      </c>
      <c r="J16" s="101" t="s">
        <v>71</v>
      </c>
      <c r="K16" s="101" t="s">
        <v>71</v>
      </c>
      <c r="L16" s="101" t="s">
        <v>71</v>
      </c>
      <c r="M16" s="101" t="s">
        <v>71</v>
      </c>
      <c r="N16" s="101" t="s">
        <v>71</v>
      </c>
      <c r="O16" s="101" t="s">
        <v>71</v>
      </c>
      <c r="P16" s="101" t="s">
        <v>71</v>
      </c>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35" t="s">
        <v>69</v>
      </c>
      <c r="B17" s="136"/>
      <c r="C17" s="28">
        <f>(VLOOKUP(C$14,$AI2:$AK26,2,FALSE))*C$15</f>
        <v>64.599999999999994</v>
      </c>
      <c r="D17" s="28">
        <f t="shared" ref="D17:V17" si="0">(VLOOKUP(D$14,$AI2:$AK26,2,FALSE))*D$15</f>
        <v>64.599999999999994</v>
      </c>
      <c r="E17" s="28">
        <f t="shared" si="0"/>
        <v>64.599999999999994</v>
      </c>
      <c r="F17" s="28">
        <f t="shared" si="0"/>
        <v>56</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56</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3" t="s">
        <v>23</v>
      </c>
      <c r="B18" s="134"/>
      <c r="C18" s="16">
        <f>$D31</f>
        <v>64.276296000000002</v>
      </c>
      <c r="D18" s="16">
        <f>$D32</f>
        <v>64.276296000000002</v>
      </c>
      <c r="E18" s="16">
        <f>$D33</f>
        <v>64.276296000000002</v>
      </c>
      <c r="F18" s="16">
        <f>$D34</f>
        <v>64.276296000000002</v>
      </c>
      <c r="G18" s="16">
        <f>$D35</f>
        <v>64.276296000000002</v>
      </c>
      <c r="H18" s="16">
        <f>$D36</f>
        <v>64.276296000000002</v>
      </c>
      <c r="I18" s="16">
        <f>$D37</f>
        <v>64.276296000000002</v>
      </c>
      <c r="J18" s="16">
        <f>$D38</f>
        <v>64.276296000000002</v>
      </c>
      <c r="K18" s="16">
        <f>$D39</f>
        <v>64.276296000000002</v>
      </c>
      <c r="L18" s="16">
        <f>$D40</f>
        <v>64.276296000000002</v>
      </c>
      <c r="M18" s="16">
        <f>$D41</f>
        <v>64.276296000000002</v>
      </c>
      <c r="N18" s="16">
        <f>$D42</f>
        <v>64.276296000000002</v>
      </c>
      <c r="O18" s="16">
        <f>$D43</f>
        <v>64.276296000000002</v>
      </c>
      <c r="P18" s="16">
        <f>$D44</f>
        <v>64.276296000000002</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3" t="s">
        <v>90</v>
      </c>
      <c r="B19" s="134"/>
      <c r="C19" s="16">
        <f>C18-C17</f>
        <v>-0.32370399999999222</v>
      </c>
      <c r="D19" s="16">
        <f t="shared" ref="D19:V19" si="1">D18-D17</f>
        <v>-0.32370399999999222</v>
      </c>
      <c r="E19" s="16">
        <f t="shared" si="1"/>
        <v>-0.32370399999999222</v>
      </c>
      <c r="F19" s="16">
        <f t="shared" si="1"/>
        <v>8.2762960000000021</v>
      </c>
      <c r="G19" s="16">
        <f t="shared" si="1"/>
        <v>-0.32370399999999222</v>
      </c>
      <c r="H19" s="16">
        <f t="shared" si="1"/>
        <v>-0.32370399999999222</v>
      </c>
      <c r="I19" s="16">
        <f t="shared" si="1"/>
        <v>-0.32370399999999222</v>
      </c>
      <c r="J19" s="16">
        <f t="shared" si="1"/>
        <v>-0.32370399999999222</v>
      </c>
      <c r="K19" s="16">
        <f t="shared" si="1"/>
        <v>-0.32370399999999222</v>
      </c>
      <c r="L19" s="16">
        <f t="shared" si="1"/>
        <v>-0.32370399999999222</v>
      </c>
      <c r="M19" s="16">
        <f t="shared" si="1"/>
        <v>-0.32370399999999222</v>
      </c>
      <c r="N19" s="16">
        <f t="shared" si="1"/>
        <v>-0.32370399999999222</v>
      </c>
      <c r="O19" s="16">
        <f t="shared" si="1"/>
        <v>-0.32370399999999222</v>
      </c>
      <c r="P19" s="16">
        <f t="shared" si="1"/>
        <v>8.2762960000000021</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1" t="s">
        <v>91</v>
      </c>
      <c r="B20" s="132"/>
      <c r="C20" s="26" t="str">
        <f>IF($B31="","",IF(C$19&gt;=0,"INCREASE","DECREASE"))</f>
        <v>DECREASE</v>
      </c>
      <c r="D20" s="26" t="str">
        <f>IF($B32="","",IF(D$19&gt;=0,"INCREASE","DECREASE"))</f>
        <v>DECREASE</v>
      </c>
      <c r="E20" s="26" t="str">
        <f>IF($B33="","",IF(E$19&gt;=0,"INCREASE","DECREASE"))</f>
        <v>DECREASE</v>
      </c>
      <c r="F20" s="26" t="str">
        <f>IF($B34="","",IF(F$19&gt;=0,"INCREASE","DECREASE"))</f>
        <v>INCREASE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INCREASE</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5" t="s">
        <v>88</v>
      </c>
      <c r="B21" s="136"/>
      <c r="C21" s="28">
        <f>(VLOOKUP(C$14,$AI2:$AK26,3,FALSE))*C$15</f>
        <v>228</v>
      </c>
      <c r="D21" s="28">
        <f t="shared" ref="D21:V21" si="2">(VLOOKUP(D$14,$AI2:$AK26,3,FALSE))*D$15</f>
        <v>228</v>
      </c>
      <c r="E21" s="28">
        <f t="shared" si="2"/>
        <v>228</v>
      </c>
      <c r="F21" s="28">
        <f t="shared" si="2"/>
        <v>176</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176</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3" t="s">
        <v>89</v>
      </c>
      <c r="B22" s="134"/>
      <c r="C22" s="16">
        <f>$E31</f>
        <v>5.6683200000000014</v>
      </c>
      <c r="D22" s="16">
        <f>$E32</f>
        <v>5.6683200000000014</v>
      </c>
      <c r="E22" s="16">
        <f>$E33</f>
        <v>5.6683200000000014</v>
      </c>
      <c r="F22" s="16">
        <f>$E34</f>
        <v>5.6683200000000014</v>
      </c>
      <c r="G22" s="16">
        <f>$E35</f>
        <v>5.6683200000000014</v>
      </c>
      <c r="H22" s="16">
        <f>$E36</f>
        <v>5.6683200000000014</v>
      </c>
      <c r="I22" s="16">
        <f>$E37</f>
        <v>5.6683200000000014</v>
      </c>
      <c r="J22" s="16">
        <f>$E38</f>
        <v>5.6683200000000014</v>
      </c>
      <c r="K22" s="16">
        <f>$E39</f>
        <v>5.6683200000000014</v>
      </c>
      <c r="L22" s="16">
        <f>$E40</f>
        <v>5.6683200000000014</v>
      </c>
      <c r="M22" s="16">
        <f>$E41</f>
        <v>5.6683200000000014</v>
      </c>
      <c r="N22" s="16">
        <f>$E42</f>
        <v>5.6683200000000014</v>
      </c>
      <c r="O22" s="16">
        <f>$E43</f>
        <v>5.6683200000000014</v>
      </c>
      <c r="P22" s="16">
        <f>$E44</f>
        <v>5.6683200000000014</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3" t="s">
        <v>92</v>
      </c>
      <c r="B23" s="134"/>
      <c r="C23" s="16">
        <f>C22-C21</f>
        <v>-222.33168000000001</v>
      </c>
      <c r="D23" s="16">
        <f t="shared" ref="D23:V23" si="3">D22-D21</f>
        <v>-222.33168000000001</v>
      </c>
      <c r="E23" s="16">
        <f t="shared" si="3"/>
        <v>-222.33168000000001</v>
      </c>
      <c r="F23" s="16">
        <f t="shared" si="3"/>
        <v>-170.33168000000001</v>
      </c>
      <c r="G23" s="16">
        <f t="shared" si="3"/>
        <v>-222.33168000000001</v>
      </c>
      <c r="H23" s="16">
        <f t="shared" si="3"/>
        <v>-222.33168000000001</v>
      </c>
      <c r="I23" s="16">
        <f t="shared" si="3"/>
        <v>-222.33168000000001</v>
      </c>
      <c r="J23" s="16">
        <f t="shared" si="3"/>
        <v>-222.33168000000001</v>
      </c>
      <c r="K23" s="16">
        <f t="shared" si="3"/>
        <v>-222.33168000000001</v>
      </c>
      <c r="L23" s="16">
        <f t="shared" si="3"/>
        <v>-222.33168000000001</v>
      </c>
      <c r="M23" s="16">
        <f t="shared" si="3"/>
        <v>-222.33168000000001</v>
      </c>
      <c r="N23" s="16">
        <f t="shared" si="3"/>
        <v>-222.33168000000001</v>
      </c>
      <c r="O23" s="16">
        <f t="shared" si="3"/>
        <v>-222.33168000000001</v>
      </c>
      <c r="P23" s="16">
        <f t="shared" si="3"/>
        <v>-170.33168000000001</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1" t="s">
        <v>93</v>
      </c>
      <c r="B24" s="132"/>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35">
      <c r="A28" s="108"/>
      <c r="B28" s="24">
        <v>10.8</v>
      </c>
      <c r="C28" s="15">
        <v>0.36</v>
      </c>
      <c r="D28" s="15">
        <v>1169</v>
      </c>
      <c r="E28" s="15">
        <v>196</v>
      </c>
      <c r="F28" s="15">
        <v>44.9</v>
      </c>
      <c r="G28" s="15">
        <v>3.32</v>
      </c>
      <c r="H28" s="15">
        <v>21.5</v>
      </c>
      <c r="I28" s="15">
        <v>1.52</v>
      </c>
      <c r="J28" s="15">
        <v>7.0000000000000007E-2</v>
      </c>
      <c r="K28" s="23">
        <v>0.05</v>
      </c>
      <c r="L28" s="15">
        <v>0.73</v>
      </c>
      <c r="M28" s="15">
        <v>1.42</v>
      </c>
      <c r="N28" s="15"/>
      <c r="O28" s="15"/>
      <c r="P28" s="15">
        <v>778</v>
      </c>
      <c r="Q28" s="15">
        <v>595</v>
      </c>
      <c r="R28" s="15"/>
      <c r="S28" s="15"/>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24</v>
      </c>
      <c r="C31" s="77">
        <f>IF(C$27="%w/w SAR",((C$28*10)*$B31),IF(C$27="%w/w DM",(((C$28*10)*($B$28/100))*$B31),IF(C$27="kg/t SAR",(C$28*$B31),IF(C$27="kg/t DM",((C$28*($B$28/100))*$B31),IF(C$27="mg/kg SAR",((C$28*0.001)*$B31),IF(C$27="mg/kg DM",(((C$28*0.001)*($B$28/100))*$B31),0))))))</f>
        <v>86.399999999999991</v>
      </c>
      <c r="D31" s="77">
        <f>(IF(D$27="%w/w SAR",((D$28*10)*$B31),IF(D$27="%w/w DM",(((D$28*10)*($B$28/100))*$B31),IF(D$27="kg/t SAR",(D$28*$B31),IF(D$27="kg/t DM",((D$28*($B$28/100))*$B31),IF(D$27="mg/kg SAR",((D$28*0.001)*$B31),IF(D$27="mg/kg DM",(((D$28*0.001)*($B$28/100))*$B31),"0")))))))*2.291</f>
        <v>64.276296000000002</v>
      </c>
      <c r="E31" s="77">
        <f>(IF(E$27="%w/w SAR",((E$28*10)*$B31),IF(E$27="%w/w DM",(((E$28*10)*($B$28/100))*$B31),IF(E$27="kg/t SAR",(E$28*$B31),IF(E$27="kg/t DM",((E$28*($B$28/100))*$B31),IF(E$27="mg/kg SAR",((E$28*0.001)*$B31),IF(E$27="mg/kg DM",(((E$28*0.001)*($B$28/100))*$B31),"0")))))))*1.205</f>
        <v>5.6683200000000014</v>
      </c>
      <c r="F31" s="77">
        <f>(IF(F$27="%w/w SAR",((F$28*10)*$B31),IF(F$27="%w/w DM",(((F$28*10)*($B$28/100))*$B31),IF(F$27="kg/t SAR",(F$28*$B31),IF(F$27="kg/t DM",((F$28*($B$28/100))*$B31),IF(F$27="mg/kg SAR",((F$28*0.001)*$B31),IF(F$27="mg/kg DM",(((F$28*0.001)*($B$28/100))*$B31),"0")))))))*1.658</f>
        <v>1.7866608000000002</v>
      </c>
      <c r="G31" s="77">
        <f t="shared" ref="G31:P31" si="5">IF(G$27="%w/w SAR",((G$28*10)*$B31),IF(G$27="%w/w DM",(((G$28*10)*($B$28/100))*$B31),IF(G$27="kg/t SAR",(G$28*$B31),IF(G$27="kg/t DM",((G$28*($B$28/100))*$B31),IF(G$27="mg/kg SAR",((G$28*0.001)*$B31),IF(G$27="mg/kg DM",(((G$28*0.001)*($B$28/100))*$B31),0))))))</f>
        <v>7.9680000000000001E-2</v>
      </c>
      <c r="H31" s="77">
        <f t="shared" si="5"/>
        <v>0.51600000000000001</v>
      </c>
      <c r="I31" s="77">
        <f t="shared" si="5"/>
        <v>3.6479999999999999E-2</v>
      </c>
      <c r="J31" s="77">
        <f t="shared" si="5"/>
        <v>1.6800000000000001E-3</v>
      </c>
      <c r="K31" s="77">
        <f t="shared" si="5"/>
        <v>1.2000000000000001E-3</v>
      </c>
      <c r="L31" s="77">
        <f t="shared" si="5"/>
        <v>1.7520000000000001E-2</v>
      </c>
      <c r="M31" s="77">
        <f t="shared" si="5"/>
        <v>3.4079999999999999E-2</v>
      </c>
      <c r="N31" s="77">
        <f t="shared" si="5"/>
        <v>0</v>
      </c>
      <c r="O31" s="77">
        <f t="shared" si="5"/>
        <v>0</v>
      </c>
      <c r="P31" s="77">
        <f t="shared" si="5"/>
        <v>18.672000000000001</v>
      </c>
      <c r="Q31" s="77">
        <f>(IF(Q$27="%w/w SAR",((Q$28*10)*$B31),IF(Q$27="%w/w DM",(((Q$28*10)*($B$28/100))*$B31),IF(Q$27="kg/t SAR",(Q$28*$B31),IF(Q$27="kg/t DM",((Q$28*($B$28/100))*$B31),IF(Q$27="mg/kg SAR",((Q$28*0.001)*$B31),IF(Q$27="mg/kg DM",(((Q$28*0.001)*($B$28/100))*$B31),0)))))))*2.5</f>
        <v>35.699999999999996</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24</v>
      </c>
      <c r="C32" s="77">
        <f t="shared" ref="C32:C50" si="6">IF(C$27="%w/w SAR",((C$28*10)*$B32),IF(C$27="%w/w DM",(((C$28*10)*($B$28/100))*$B32),IF(C$27="kg/t SAR",(C$28*$B32),IF(C$27="kg/t DM",((C$28*($B$28/100))*$B32),IF(C$27="mg/kg SAR",((C$28*0.001)*$B32),IF(C$27="mg/kg DM",(((C$28*0.001)*($B$28/100))*$B32),0))))))</f>
        <v>86.399999999999991</v>
      </c>
      <c r="D32" s="77">
        <f t="shared" ref="D32:D50" si="7">(IF(D$27="%w/w SAR",((D$28*10)*$B32),IF(D$27="%w/w DM",(((D$28*10)*($B$28/100))*$B32),IF(D$27="kg/t SAR",(D$28*$B32),IF(D$27="kg/t DM",((D$28*($B$28/100))*$B32),IF(D$27="mg/kg SAR",((D$28*0.001)*$B32),IF(D$27="mg/kg DM",(((D$28*0.001)*($B$28/100))*$B32),"0")))))))*2.291</f>
        <v>64.276296000000002</v>
      </c>
      <c r="E32" s="77">
        <f t="shared" ref="E32:E50" si="8">(IF(E$27="%w/w SAR",((E$28*10)*$B32),IF(E$27="%w/w DM",(((E$28*10)*($B$28/100))*$B32),IF(E$27="kg/t SAR",(E$28*$B32),IF(E$27="kg/t DM",((E$28*($B$28/100))*$B32),IF(E$27="mg/kg SAR",((E$28*0.001)*$B32),IF(E$27="mg/kg DM",(((E$28*0.001)*($B$28/100))*$B32),"0")))))))*1.205</f>
        <v>5.6683200000000014</v>
      </c>
      <c r="F32" s="77">
        <f t="shared" ref="F32:F50" si="9">(IF(F$27="%w/w SAR",((F$28*10)*$B32),IF(F$27="%w/w DM",(((F$28*10)*($B$28/100))*$B32),IF(F$27="kg/t SAR",(F$28*$B32),IF(F$27="kg/t DM",((F$28*($B$28/100))*$B32),IF(F$27="mg/kg SAR",((F$28*0.001)*$B32),IF(F$27="mg/kg DM",(((F$28*0.001)*($B$28/100))*$B32),"0")))))))*1.658</f>
        <v>1.7866608000000002</v>
      </c>
      <c r="G32" s="77">
        <f t="shared" ref="G32:P50" si="10">IF(G$27="%w/w SAR",((G$28*10)*$B32),IF(G$27="%w/w DM",(((G$28*10)*($B$28/100))*$B32),IF(G$27="kg/t SAR",(G$28*$B32),IF(G$27="kg/t DM",((G$28*($B$28/100))*$B32),IF(G$27="mg/kg SAR",((G$28*0.001)*$B32),IF(G$27="mg/kg DM",(((G$28*0.001)*($B$28/100))*$B32),0))))))</f>
        <v>7.9680000000000001E-2</v>
      </c>
      <c r="H32" s="77">
        <f t="shared" si="10"/>
        <v>0.51600000000000001</v>
      </c>
      <c r="I32" s="77">
        <f t="shared" si="10"/>
        <v>3.6479999999999999E-2</v>
      </c>
      <c r="J32" s="77">
        <f t="shared" si="10"/>
        <v>1.6800000000000001E-3</v>
      </c>
      <c r="K32" s="77">
        <f t="shared" si="10"/>
        <v>1.2000000000000001E-3</v>
      </c>
      <c r="L32" s="77">
        <f t="shared" si="10"/>
        <v>1.7520000000000001E-2</v>
      </c>
      <c r="M32" s="77">
        <f t="shared" si="10"/>
        <v>3.4079999999999999E-2</v>
      </c>
      <c r="N32" s="77">
        <f t="shared" si="10"/>
        <v>0</v>
      </c>
      <c r="O32" s="77">
        <f t="shared" si="10"/>
        <v>0</v>
      </c>
      <c r="P32" s="77">
        <f t="shared" si="10"/>
        <v>18.672000000000001</v>
      </c>
      <c r="Q32" s="77">
        <f t="shared" ref="Q32:Q50" si="11">(IF(Q$27="%w/w SAR",((Q$28*10)*$B32),IF(Q$27="%w/w DM",(((Q$28*10)*($B$28/100))*$B32),IF(Q$27="kg/t SAR",(Q$28*$B32),IF(Q$27="kg/t DM",((Q$28*($B$28/100))*$B32),IF(Q$27="mg/kg SAR",((Q$28*0.001)*$B32),IF(Q$27="mg/kg DM",(((Q$28*0.001)*($B$28/100))*$B32),0)))))))*2.5</f>
        <v>35.699999999999996</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ht="13" x14ac:dyDescent="0.35">
      <c r="A33" s="13">
        <f>E8</f>
        <v>3</v>
      </c>
      <c r="B33" s="15">
        <v>24</v>
      </c>
      <c r="C33" s="77">
        <f t="shared" si="6"/>
        <v>86.399999999999991</v>
      </c>
      <c r="D33" s="77">
        <f t="shared" si="7"/>
        <v>64.276296000000002</v>
      </c>
      <c r="E33" s="77">
        <f t="shared" si="8"/>
        <v>5.6683200000000014</v>
      </c>
      <c r="F33" s="77">
        <f t="shared" si="9"/>
        <v>1.7866608000000002</v>
      </c>
      <c r="G33" s="77">
        <f t="shared" si="10"/>
        <v>7.9680000000000001E-2</v>
      </c>
      <c r="H33" s="77">
        <f t="shared" si="10"/>
        <v>0.51600000000000001</v>
      </c>
      <c r="I33" s="77">
        <f t="shared" si="10"/>
        <v>3.6479999999999999E-2</v>
      </c>
      <c r="J33" s="77">
        <f t="shared" si="10"/>
        <v>1.6800000000000001E-3</v>
      </c>
      <c r="K33" s="77">
        <f t="shared" si="10"/>
        <v>1.2000000000000001E-3</v>
      </c>
      <c r="L33" s="77">
        <f t="shared" si="10"/>
        <v>1.7520000000000001E-2</v>
      </c>
      <c r="M33" s="77">
        <f t="shared" si="10"/>
        <v>3.4079999999999999E-2</v>
      </c>
      <c r="N33" s="77">
        <f t="shared" si="10"/>
        <v>0</v>
      </c>
      <c r="O33" s="77">
        <f t="shared" si="10"/>
        <v>0</v>
      </c>
      <c r="P33" s="77">
        <f t="shared" si="10"/>
        <v>18.672000000000001</v>
      </c>
      <c r="Q33" s="77">
        <f t="shared" si="11"/>
        <v>35.699999999999996</v>
      </c>
      <c r="R33" s="77">
        <f t="shared" si="12"/>
        <v>0</v>
      </c>
      <c r="S33" s="77">
        <f t="shared" si="12"/>
        <v>0</v>
      </c>
      <c r="T33" s="77">
        <f t="shared" si="12"/>
        <v>0</v>
      </c>
      <c r="U33" s="77">
        <f t="shared" si="12"/>
        <v>0</v>
      </c>
      <c r="AB33" s="59"/>
      <c r="AC33" s="59"/>
      <c r="AD33" s="59"/>
      <c r="AE33" s="59"/>
      <c r="AF33" s="59"/>
      <c r="AG33" s="59"/>
      <c r="AH33" s="59"/>
      <c r="AI33" s="59"/>
    </row>
    <row r="34" spans="1:35" s="72" customFormat="1" ht="13" x14ac:dyDescent="0.35">
      <c r="A34" s="13">
        <f>F8</f>
        <v>4</v>
      </c>
      <c r="B34" s="15">
        <v>24</v>
      </c>
      <c r="C34" s="77">
        <f t="shared" si="6"/>
        <v>86.399999999999991</v>
      </c>
      <c r="D34" s="77">
        <f t="shared" si="7"/>
        <v>64.276296000000002</v>
      </c>
      <c r="E34" s="77">
        <f t="shared" si="8"/>
        <v>5.6683200000000014</v>
      </c>
      <c r="F34" s="77">
        <f t="shared" si="9"/>
        <v>1.7866608000000002</v>
      </c>
      <c r="G34" s="77">
        <f t="shared" si="10"/>
        <v>7.9680000000000001E-2</v>
      </c>
      <c r="H34" s="77">
        <f t="shared" si="10"/>
        <v>0.51600000000000001</v>
      </c>
      <c r="I34" s="77">
        <f t="shared" si="10"/>
        <v>3.6479999999999999E-2</v>
      </c>
      <c r="J34" s="77">
        <f t="shared" si="10"/>
        <v>1.6800000000000001E-3</v>
      </c>
      <c r="K34" s="77">
        <f t="shared" si="10"/>
        <v>1.2000000000000001E-3</v>
      </c>
      <c r="L34" s="77">
        <f t="shared" si="10"/>
        <v>1.7520000000000001E-2</v>
      </c>
      <c r="M34" s="77">
        <f t="shared" si="10"/>
        <v>3.4079999999999999E-2</v>
      </c>
      <c r="N34" s="77">
        <f t="shared" si="10"/>
        <v>0</v>
      </c>
      <c r="O34" s="77">
        <f t="shared" si="10"/>
        <v>0</v>
      </c>
      <c r="P34" s="77">
        <f t="shared" si="10"/>
        <v>18.672000000000001</v>
      </c>
      <c r="Q34" s="77">
        <f t="shared" si="11"/>
        <v>35.699999999999996</v>
      </c>
      <c r="R34" s="77">
        <f t="shared" si="12"/>
        <v>0</v>
      </c>
      <c r="S34" s="77">
        <f t="shared" si="12"/>
        <v>0</v>
      </c>
      <c r="T34" s="77">
        <f t="shared" si="12"/>
        <v>0</v>
      </c>
      <c r="U34" s="77">
        <f t="shared" si="12"/>
        <v>0</v>
      </c>
      <c r="AB34" s="59"/>
      <c r="AC34" s="59"/>
      <c r="AD34" s="59"/>
      <c r="AE34" s="59"/>
      <c r="AF34" s="59"/>
      <c r="AG34" s="59"/>
      <c r="AH34" s="59"/>
      <c r="AI34" s="59"/>
    </row>
    <row r="35" spans="1:35" s="72" customFormat="1" ht="13" x14ac:dyDescent="0.35">
      <c r="A35" s="13">
        <f>G8</f>
        <v>5</v>
      </c>
      <c r="B35" s="15">
        <v>24</v>
      </c>
      <c r="C35" s="77">
        <f t="shared" si="6"/>
        <v>86.399999999999991</v>
      </c>
      <c r="D35" s="77">
        <f t="shared" si="7"/>
        <v>64.276296000000002</v>
      </c>
      <c r="E35" s="77">
        <f t="shared" si="8"/>
        <v>5.6683200000000014</v>
      </c>
      <c r="F35" s="77">
        <f t="shared" si="9"/>
        <v>1.7866608000000002</v>
      </c>
      <c r="G35" s="77">
        <f t="shared" si="10"/>
        <v>7.9680000000000001E-2</v>
      </c>
      <c r="H35" s="77">
        <f t="shared" si="10"/>
        <v>0.51600000000000001</v>
      </c>
      <c r="I35" s="77">
        <f t="shared" si="10"/>
        <v>3.6479999999999999E-2</v>
      </c>
      <c r="J35" s="77">
        <f t="shared" si="10"/>
        <v>1.6800000000000001E-3</v>
      </c>
      <c r="K35" s="77">
        <f t="shared" si="10"/>
        <v>1.2000000000000001E-3</v>
      </c>
      <c r="L35" s="77">
        <f t="shared" si="10"/>
        <v>1.7520000000000001E-2</v>
      </c>
      <c r="M35" s="77">
        <f t="shared" si="10"/>
        <v>3.4079999999999999E-2</v>
      </c>
      <c r="N35" s="77">
        <f t="shared" si="10"/>
        <v>0</v>
      </c>
      <c r="O35" s="77">
        <f t="shared" si="10"/>
        <v>0</v>
      </c>
      <c r="P35" s="77">
        <f t="shared" si="10"/>
        <v>18.672000000000001</v>
      </c>
      <c r="Q35" s="77">
        <f t="shared" si="11"/>
        <v>35.699999999999996</v>
      </c>
      <c r="R35" s="77">
        <f t="shared" si="12"/>
        <v>0</v>
      </c>
      <c r="S35" s="77">
        <f t="shared" si="12"/>
        <v>0</v>
      </c>
      <c r="T35" s="77">
        <f t="shared" si="12"/>
        <v>0</v>
      </c>
      <c r="U35" s="77">
        <f t="shared" si="12"/>
        <v>0</v>
      </c>
      <c r="AB35" s="59"/>
      <c r="AC35" s="59"/>
      <c r="AD35" s="59"/>
      <c r="AE35" s="59"/>
      <c r="AF35" s="59"/>
      <c r="AG35" s="59"/>
      <c r="AH35" s="59"/>
      <c r="AI35" s="59"/>
    </row>
    <row r="36" spans="1:35" s="72" customFormat="1" ht="13" x14ac:dyDescent="0.35">
      <c r="A36" s="13">
        <f>H8</f>
        <v>6</v>
      </c>
      <c r="B36" s="15">
        <v>24</v>
      </c>
      <c r="C36" s="77">
        <f t="shared" si="6"/>
        <v>86.399999999999991</v>
      </c>
      <c r="D36" s="77">
        <f t="shared" si="7"/>
        <v>64.276296000000002</v>
      </c>
      <c r="E36" s="77">
        <f t="shared" si="8"/>
        <v>5.6683200000000014</v>
      </c>
      <c r="F36" s="77">
        <f t="shared" si="9"/>
        <v>1.7866608000000002</v>
      </c>
      <c r="G36" s="77">
        <f t="shared" si="10"/>
        <v>7.9680000000000001E-2</v>
      </c>
      <c r="H36" s="77">
        <f t="shared" si="10"/>
        <v>0.51600000000000001</v>
      </c>
      <c r="I36" s="77">
        <f t="shared" si="10"/>
        <v>3.6479999999999999E-2</v>
      </c>
      <c r="J36" s="77">
        <f t="shared" si="10"/>
        <v>1.6800000000000001E-3</v>
      </c>
      <c r="K36" s="77">
        <f t="shared" si="10"/>
        <v>1.2000000000000001E-3</v>
      </c>
      <c r="L36" s="77">
        <f t="shared" si="10"/>
        <v>1.7520000000000001E-2</v>
      </c>
      <c r="M36" s="77">
        <f t="shared" si="10"/>
        <v>3.4079999999999999E-2</v>
      </c>
      <c r="N36" s="77">
        <f t="shared" si="10"/>
        <v>0</v>
      </c>
      <c r="O36" s="77">
        <f t="shared" si="10"/>
        <v>0</v>
      </c>
      <c r="P36" s="77">
        <f t="shared" si="10"/>
        <v>18.672000000000001</v>
      </c>
      <c r="Q36" s="77">
        <f t="shared" si="11"/>
        <v>35.699999999999996</v>
      </c>
      <c r="R36" s="77">
        <f t="shared" si="12"/>
        <v>0</v>
      </c>
      <c r="S36" s="77">
        <f t="shared" si="12"/>
        <v>0</v>
      </c>
      <c r="T36" s="77">
        <f t="shared" si="12"/>
        <v>0</v>
      </c>
      <c r="U36" s="77">
        <f t="shared" si="12"/>
        <v>0</v>
      </c>
      <c r="AB36" s="59"/>
      <c r="AC36" s="59"/>
      <c r="AD36" s="59"/>
      <c r="AE36" s="59"/>
      <c r="AF36" s="59"/>
      <c r="AG36" s="59"/>
      <c r="AH36" s="59"/>
      <c r="AI36" s="59"/>
    </row>
    <row r="37" spans="1:35" s="72" customFormat="1" ht="13" x14ac:dyDescent="0.35">
      <c r="A37" s="13">
        <f>I8</f>
        <v>8</v>
      </c>
      <c r="B37" s="15">
        <v>24</v>
      </c>
      <c r="C37" s="77">
        <f t="shared" si="6"/>
        <v>86.399999999999991</v>
      </c>
      <c r="D37" s="77">
        <f t="shared" si="7"/>
        <v>64.276296000000002</v>
      </c>
      <c r="E37" s="77">
        <f t="shared" si="8"/>
        <v>5.6683200000000014</v>
      </c>
      <c r="F37" s="77">
        <f t="shared" si="9"/>
        <v>1.7866608000000002</v>
      </c>
      <c r="G37" s="77">
        <f t="shared" si="10"/>
        <v>7.9680000000000001E-2</v>
      </c>
      <c r="H37" s="77">
        <f t="shared" si="10"/>
        <v>0.51600000000000001</v>
      </c>
      <c r="I37" s="77">
        <f t="shared" si="10"/>
        <v>3.6479999999999999E-2</v>
      </c>
      <c r="J37" s="77">
        <f t="shared" si="10"/>
        <v>1.6800000000000001E-3</v>
      </c>
      <c r="K37" s="77">
        <f t="shared" si="10"/>
        <v>1.2000000000000001E-3</v>
      </c>
      <c r="L37" s="77">
        <f t="shared" si="10"/>
        <v>1.7520000000000001E-2</v>
      </c>
      <c r="M37" s="77">
        <f t="shared" si="10"/>
        <v>3.4079999999999999E-2</v>
      </c>
      <c r="N37" s="77">
        <f t="shared" si="10"/>
        <v>0</v>
      </c>
      <c r="O37" s="77">
        <f t="shared" si="10"/>
        <v>0</v>
      </c>
      <c r="P37" s="77">
        <f t="shared" si="10"/>
        <v>18.672000000000001</v>
      </c>
      <c r="Q37" s="77">
        <f t="shared" si="11"/>
        <v>35.699999999999996</v>
      </c>
      <c r="R37" s="77">
        <f t="shared" si="12"/>
        <v>0</v>
      </c>
      <c r="S37" s="77">
        <f t="shared" si="12"/>
        <v>0</v>
      </c>
      <c r="T37" s="77">
        <f t="shared" si="12"/>
        <v>0</v>
      </c>
      <c r="U37" s="77">
        <f t="shared" si="12"/>
        <v>0</v>
      </c>
      <c r="AB37" s="59"/>
      <c r="AC37" s="59"/>
      <c r="AD37" s="59"/>
      <c r="AE37" s="59"/>
      <c r="AF37" s="59"/>
      <c r="AG37" s="59"/>
      <c r="AH37" s="59"/>
      <c r="AI37" s="59"/>
    </row>
    <row r="38" spans="1:35" s="72" customFormat="1" ht="13" x14ac:dyDescent="0.35">
      <c r="A38" s="13">
        <f>J8</f>
        <v>7</v>
      </c>
      <c r="B38" s="15">
        <v>24</v>
      </c>
      <c r="C38" s="77">
        <f t="shared" si="6"/>
        <v>86.399999999999991</v>
      </c>
      <c r="D38" s="77">
        <f t="shared" si="7"/>
        <v>64.276296000000002</v>
      </c>
      <c r="E38" s="77">
        <f t="shared" si="8"/>
        <v>5.6683200000000014</v>
      </c>
      <c r="F38" s="77">
        <f t="shared" si="9"/>
        <v>1.7866608000000002</v>
      </c>
      <c r="G38" s="77">
        <f t="shared" si="10"/>
        <v>7.9680000000000001E-2</v>
      </c>
      <c r="H38" s="77">
        <f t="shared" si="10"/>
        <v>0.51600000000000001</v>
      </c>
      <c r="I38" s="77">
        <f t="shared" si="10"/>
        <v>3.6479999999999999E-2</v>
      </c>
      <c r="J38" s="77">
        <f t="shared" si="10"/>
        <v>1.6800000000000001E-3</v>
      </c>
      <c r="K38" s="77">
        <f t="shared" si="10"/>
        <v>1.2000000000000001E-3</v>
      </c>
      <c r="L38" s="77">
        <f t="shared" si="10"/>
        <v>1.7520000000000001E-2</v>
      </c>
      <c r="M38" s="77">
        <f t="shared" si="10"/>
        <v>3.4079999999999999E-2</v>
      </c>
      <c r="N38" s="77">
        <f t="shared" si="10"/>
        <v>0</v>
      </c>
      <c r="O38" s="77">
        <f t="shared" si="10"/>
        <v>0</v>
      </c>
      <c r="P38" s="77">
        <f t="shared" si="10"/>
        <v>18.672000000000001</v>
      </c>
      <c r="Q38" s="77">
        <f t="shared" si="11"/>
        <v>35.699999999999996</v>
      </c>
      <c r="R38" s="77">
        <f t="shared" si="12"/>
        <v>0</v>
      </c>
      <c r="S38" s="77">
        <f t="shared" si="12"/>
        <v>0</v>
      </c>
      <c r="T38" s="77">
        <f t="shared" si="12"/>
        <v>0</v>
      </c>
      <c r="U38" s="77">
        <f t="shared" si="12"/>
        <v>0</v>
      </c>
      <c r="AB38" s="59"/>
      <c r="AC38" s="59"/>
      <c r="AD38" s="59"/>
      <c r="AE38" s="59"/>
      <c r="AF38" s="59"/>
      <c r="AG38" s="59"/>
      <c r="AH38" s="59"/>
      <c r="AI38" s="59"/>
    </row>
    <row r="39" spans="1:35" s="72" customFormat="1" ht="13" x14ac:dyDescent="0.35">
      <c r="A39" s="13">
        <f>K8</f>
        <v>9</v>
      </c>
      <c r="B39" s="15">
        <v>24</v>
      </c>
      <c r="C39" s="77">
        <f t="shared" si="6"/>
        <v>86.399999999999991</v>
      </c>
      <c r="D39" s="77">
        <f t="shared" si="7"/>
        <v>64.276296000000002</v>
      </c>
      <c r="E39" s="77">
        <f t="shared" si="8"/>
        <v>5.6683200000000014</v>
      </c>
      <c r="F39" s="77">
        <f t="shared" si="9"/>
        <v>1.7866608000000002</v>
      </c>
      <c r="G39" s="77">
        <f t="shared" si="10"/>
        <v>7.9680000000000001E-2</v>
      </c>
      <c r="H39" s="77">
        <f t="shared" si="10"/>
        <v>0.51600000000000001</v>
      </c>
      <c r="I39" s="77">
        <f t="shared" si="10"/>
        <v>3.6479999999999999E-2</v>
      </c>
      <c r="J39" s="77">
        <f t="shared" si="10"/>
        <v>1.6800000000000001E-3</v>
      </c>
      <c r="K39" s="77">
        <f t="shared" si="10"/>
        <v>1.2000000000000001E-3</v>
      </c>
      <c r="L39" s="77">
        <f t="shared" si="10"/>
        <v>1.7520000000000001E-2</v>
      </c>
      <c r="M39" s="77">
        <f t="shared" si="10"/>
        <v>3.4079999999999999E-2</v>
      </c>
      <c r="N39" s="77">
        <f t="shared" si="10"/>
        <v>0</v>
      </c>
      <c r="O39" s="77">
        <f t="shared" si="10"/>
        <v>0</v>
      </c>
      <c r="P39" s="77">
        <f t="shared" si="10"/>
        <v>18.672000000000001</v>
      </c>
      <c r="Q39" s="77">
        <f t="shared" si="11"/>
        <v>35.699999999999996</v>
      </c>
      <c r="R39" s="77">
        <f t="shared" si="12"/>
        <v>0</v>
      </c>
      <c r="S39" s="77">
        <f t="shared" si="12"/>
        <v>0</v>
      </c>
      <c r="T39" s="77">
        <f t="shared" si="12"/>
        <v>0</v>
      </c>
      <c r="U39" s="77">
        <f t="shared" si="12"/>
        <v>0</v>
      </c>
      <c r="AB39" s="59"/>
      <c r="AC39" s="59"/>
      <c r="AD39" s="59"/>
      <c r="AE39" s="59"/>
      <c r="AF39" s="59"/>
      <c r="AG39" s="59"/>
      <c r="AH39" s="59"/>
      <c r="AI39" s="59"/>
    </row>
    <row r="40" spans="1:35" s="72" customFormat="1" ht="13" x14ac:dyDescent="0.35">
      <c r="A40" s="13">
        <f>L8</f>
        <v>10</v>
      </c>
      <c r="B40" s="15">
        <v>24</v>
      </c>
      <c r="C40" s="77">
        <f t="shared" si="6"/>
        <v>86.399999999999991</v>
      </c>
      <c r="D40" s="77">
        <f t="shared" si="7"/>
        <v>64.276296000000002</v>
      </c>
      <c r="E40" s="77">
        <f t="shared" si="8"/>
        <v>5.6683200000000014</v>
      </c>
      <c r="F40" s="77">
        <f t="shared" si="9"/>
        <v>1.7866608000000002</v>
      </c>
      <c r="G40" s="77">
        <f t="shared" si="10"/>
        <v>7.9680000000000001E-2</v>
      </c>
      <c r="H40" s="77">
        <f t="shared" si="10"/>
        <v>0.51600000000000001</v>
      </c>
      <c r="I40" s="77">
        <f t="shared" si="10"/>
        <v>3.6479999999999999E-2</v>
      </c>
      <c r="J40" s="77">
        <f t="shared" si="10"/>
        <v>1.6800000000000001E-3</v>
      </c>
      <c r="K40" s="77">
        <f t="shared" si="10"/>
        <v>1.2000000000000001E-3</v>
      </c>
      <c r="L40" s="77">
        <f t="shared" si="10"/>
        <v>1.7520000000000001E-2</v>
      </c>
      <c r="M40" s="77">
        <f t="shared" si="10"/>
        <v>3.4079999999999999E-2</v>
      </c>
      <c r="N40" s="77">
        <f t="shared" si="10"/>
        <v>0</v>
      </c>
      <c r="O40" s="77">
        <f t="shared" si="10"/>
        <v>0</v>
      </c>
      <c r="P40" s="77">
        <f t="shared" si="10"/>
        <v>18.672000000000001</v>
      </c>
      <c r="Q40" s="77">
        <f t="shared" si="11"/>
        <v>35.699999999999996</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f>M8</f>
        <v>11</v>
      </c>
      <c r="B41" s="15">
        <v>24</v>
      </c>
      <c r="C41" s="77">
        <f t="shared" si="6"/>
        <v>86.399999999999991</v>
      </c>
      <c r="D41" s="77">
        <f t="shared" si="7"/>
        <v>64.276296000000002</v>
      </c>
      <c r="E41" s="77">
        <f t="shared" si="8"/>
        <v>5.6683200000000014</v>
      </c>
      <c r="F41" s="77">
        <f t="shared" si="9"/>
        <v>1.7866608000000002</v>
      </c>
      <c r="G41" s="77">
        <f t="shared" si="10"/>
        <v>7.9680000000000001E-2</v>
      </c>
      <c r="H41" s="77">
        <f t="shared" si="10"/>
        <v>0.51600000000000001</v>
      </c>
      <c r="I41" s="77">
        <f t="shared" si="10"/>
        <v>3.6479999999999999E-2</v>
      </c>
      <c r="J41" s="77">
        <f t="shared" si="10"/>
        <v>1.6800000000000001E-3</v>
      </c>
      <c r="K41" s="77">
        <f t="shared" si="10"/>
        <v>1.2000000000000001E-3</v>
      </c>
      <c r="L41" s="77">
        <f t="shared" si="10"/>
        <v>1.7520000000000001E-2</v>
      </c>
      <c r="M41" s="77">
        <f t="shared" si="10"/>
        <v>3.4079999999999999E-2</v>
      </c>
      <c r="N41" s="77">
        <f t="shared" si="10"/>
        <v>0</v>
      </c>
      <c r="O41" s="77">
        <f t="shared" si="10"/>
        <v>0</v>
      </c>
      <c r="P41" s="77">
        <f t="shared" si="10"/>
        <v>18.672000000000001</v>
      </c>
      <c r="Q41" s="77">
        <f t="shared" si="11"/>
        <v>35.699999999999996</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f>N8</f>
        <v>12</v>
      </c>
      <c r="B42" s="15">
        <v>24</v>
      </c>
      <c r="C42" s="77">
        <f t="shared" si="6"/>
        <v>86.399999999999991</v>
      </c>
      <c r="D42" s="77">
        <f t="shared" si="7"/>
        <v>64.276296000000002</v>
      </c>
      <c r="E42" s="77">
        <f t="shared" si="8"/>
        <v>5.6683200000000014</v>
      </c>
      <c r="F42" s="77">
        <f t="shared" si="9"/>
        <v>1.7866608000000002</v>
      </c>
      <c r="G42" s="77">
        <f t="shared" si="10"/>
        <v>7.9680000000000001E-2</v>
      </c>
      <c r="H42" s="77">
        <f t="shared" si="10"/>
        <v>0.51600000000000001</v>
      </c>
      <c r="I42" s="77">
        <f t="shared" si="10"/>
        <v>3.6479999999999999E-2</v>
      </c>
      <c r="J42" s="77">
        <f t="shared" si="10"/>
        <v>1.6800000000000001E-3</v>
      </c>
      <c r="K42" s="77">
        <f t="shared" si="10"/>
        <v>1.2000000000000001E-3</v>
      </c>
      <c r="L42" s="77">
        <f t="shared" si="10"/>
        <v>1.7520000000000001E-2</v>
      </c>
      <c r="M42" s="77">
        <f t="shared" si="10"/>
        <v>3.4079999999999999E-2</v>
      </c>
      <c r="N42" s="77">
        <f t="shared" si="10"/>
        <v>0</v>
      </c>
      <c r="O42" s="77">
        <f t="shared" si="10"/>
        <v>0</v>
      </c>
      <c r="P42" s="77">
        <f t="shared" si="10"/>
        <v>18.672000000000001</v>
      </c>
      <c r="Q42" s="77">
        <f t="shared" si="11"/>
        <v>35.699999999999996</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13</v>
      </c>
      <c r="B43" s="15">
        <v>24</v>
      </c>
      <c r="C43" s="77">
        <f t="shared" si="6"/>
        <v>86.399999999999991</v>
      </c>
      <c r="D43" s="77">
        <f t="shared" si="7"/>
        <v>64.276296000000002</v>
      </c>
      <c r="E43" s="77">
        <f t="shared" si="8"/>
        <v>5.6683200000000014</v>
      </c>
      <c r="F43" s="77">
        <f t="shared" si="9"/>
        <v>1.7866608000000002</v>
      </c>
      <c r="G43" s="77">
        <f t="shared" si="10"/>
        <v>7.9680000000000001E-2</v>
      </c>
      <c r="H43" s="77">
        <f t="shared" si="10"/>
        <v>0.51600000000000001</v>
      </c>
      <c r="I43" s="77">
        <f t="shared" si="10"/>
        <v>3.6479999999999999E-2</v>
      </c>
      <c r="J43" s="77">
        <f t="shared" si="10"/>
        <v>1.6800000000000001E-3</v>
      </c>
      <c r="K43" s="77">
        <f t="shared" si="10"/>
        <v>1.2000000000000001E-3</v>
      </c>
      <c r="L43" s="77">
        <f t="shared" si="10"/>
        <v>1.7520000000000001E-2</v>
      </c>
      <c r="M43" s="77">
        <f t="shared" si="10"/>
        <v>3.4079999999999999E-2</v>
      </c>
      <c r="N43" s="77">
        <f t="shared" si="10"/>
        <v>0</v>
      </c>
      <c r="O43" s="77">
        <f t="shared" si="10"/>
        <v>0</v>
      </c>
      <c r="P43" s="77">
        <f t="shared" si="10"/>
        <v>18.672000000000001</v>
      </c>
      <c r="Q43" s="77">
        <f t="shared" si="11"/>
        <v>35.699999999999996</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t="str">
        <f>P8</f>
        <v>7a</v>
      </c>
      <c r="B44" s="15">
        <v>24</v>
      </c>
      <c r="C44" s="77">
        <f t="shared" si="6"/>
        <v>86.399999999999991</v>
      </c>
      <c r="D44" s="77">
        <f t="shared" si="7"/>
        <v>64.276296000000002</v>
      </c>
      <c r="E44" s="77">
        <f t="shared" si="8"/>
        <v>5.6683200000000014</v>
      </c>
      <c r="F44" s="77">
        <f t="shared" si="9"/>
        <v>1.7866608000000002</v>
      </c>
      <c r="G44" s="77">
        <f t="shared" si="10"/>
        <v>7.9680000000000001E-2</v>
      </c>
      <c r="H44" s="77">
        <f t="shared" si="10"/>
        <v>0.51600000000000001</v>
      </c>
      <c r="I44" s="77">
        <f t="shared" si="10"/>
        <v>3.6479999999999999E-2</v>
      </c>
      <c r="J44" s="77">
        <f t="shared" si="10"/>
        <v>1.6800000000000001E-3</v>
      </c>
      <c r="K44" s="77">
        <f t="shared" si="10"/>
        <v>1.2000000000000001E-3</v>
      </c>
      <c r="L44" s="77">
        <f t="shared" si="10"/>
        <v>1.7520000000000001E-2</v>
      </c>
      <c r="M44" s="77">
        <f t="shared" si="10"/>
        <v>3.4079999999999999E-2</v>
      </c>
      <c r="N44" s="77">
        <f t="shared" si="10"/>
        <v>0</v>
      </c>
      <c r="O44" s="77">
        <f t="shared" si="10"/>
        <v>0</v>
      </c>
      <c r="P44" s="77">
        <f t="shared" si="10"/>
        <v>18.672000000000001</v>
      </c>
      <c r="Q44" s="77">
        <f t="shared" si="11"/>
        <v>35.699999999999996</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8</v>
      </c>
      <c r="I57" s="8">
        <f t="shared" si="13"/>
        <v>7</v>
      </c>
      <c r="J57" s="8">
        <f t="shared" si="13"/>
        <v>9</v>
      </c>
      <c r="K57" s="8">
        <f t="shared" si="13"/>
        <v>10</v>
      </c>
      <c r="L57" s="8">
        <f t="shared" si="13"/>
        <v>11</v>
      </c>
      <c r="M57" s="8">
        <f t="shared" si="13"/>
        <v>12</v>
      </c>
      <c r="N57" s="8">
        <f t="shared" si="13"/>
        <v>13</v>
      </c>
      <c r="O57" s="8" t="str">
        <f t="shared" si="13"/>
        <v>7a</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Sandy Loam I Grass</v>
      </c>
      <c r="C58" s="13" t="str">
        <f>D16&amp;" I "&amp;(VLOOKUP(D14,Table24[],6,FALSE))</f>
        <v>Sandy Loam I Grass</v>
      </c>
      <c r="D58" s="13" t="str">
        <f>E16&amp;" I "&amp;(VLOOKUP(E14,Table24[],6,FALSE))</f>
        <v>Sandy Loam I Grass</v>
      </c>
      <c r="E58" s="13" t="str">
        <f>F16&amp;" I "&amp;(VLOOKUP(F14,Table24[],6,FALSE))</f>
        <v>Sandy Loam I Arable</v>
      </c>
      <c r="F58" s="13" t="str">
        <f>G16&amp;" I "&amp;(VLOOKUP(G14,Table24[],6,FALSE))</f>
        <v>Sandy Loam I Grass</v>
      </c>
      <c r="G58" s="13" t="str">
        <f>H16&amp;" I "&amp;(VLOOKUP(H14,Table24[],6,FALSE))</f>
        <v>Sandy Loam I Grass</v>
      </c>
      <c r="H58" s="13" t="str">
        <f>I16&amp;" I "&amp;(VLOOKUP(I14,Table24[],6,FALSE))</f>
        <v>Sandy Loam I Grass</v>
      </c>
      <c r="I58" s="13" t="str">
        <f>J16&amp;" I "&amp;(VLOOKUP(J14,Table24[],6,FALSE))</f>
        <v>Sandy Loam I Grass</v>
      </c>
      <c r="J58" s="13" t="str">
        <f>K16&amp;" I "&amp;(VLOOKUP(K14,Table24[],6,FALSE))</f>
        <v>Sandy Loam I Grass</v>
      </c>
      <c r="K58" s="13" t="str">
        <f>L16&amp;" I "&amp;(VLOOKUP(L14,Table24[],6,FALSE))</f>
        <v>Sandy Loam I Grass</v>
      </c>
      <c r="L58" s="13" t="str">
        <f>M16&amp;" I "&amp;(VLOOKUP(M14,Table24[],6,FALSE))</f>
        <v>Sandy Loam I Grass</v>
      </c>
      <c r="M58" s="13" t="str">
        <f>N16&amp;" I "&amp;(VLOOKUP(N14,Table24[],6,FALSE))</f>
        <v>Sandy Loam I Grass</v>
      </c>
      <c r="N58" s="13" t="str">
        <f>O16&amp;" I "&amp;(VLOOKUP(O14,Table24[],6,FALSE))</f>
        <v>Sandy Loam I Grass</v>
      </c>
      <c r="O58" s="13" t="str">
        <f>P16&amp;" I "&amp;(VLOOKUP(P14,Table24[],6,FALSE))</f>
        <v>Sandy Loam I Arable</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6.2</v>
      </c>
      <c r="C59" s="76">
        <f>VLOOKUP(D$14,Table24[],5,FALSE)</f>
        <v>6.2</v>
      </c>
      <c r="D59" s="76">
        <f>VLOOKUP(E$14,Table24[],5,FALSE)</f>
        <v>6.2</v>
      </c>
      <c r="E59" s="76">
        <f>VLOOKUP(F$14,Table24[],5,FALSE)</f>
        <v>6.7</v>
      </c>
      <c r="F59" s="76">
        <f>VLOOKUP(G$14,Table24[],5,FALSE)</f>
        <v>6.2</v>
      </c>
      <c r="G59" s="76">
        <f>VLOOKUP(H$14,Table24[],5,FALSE)</f>
        <v>6.2</v>
      </c>
      <c r="H59" s="76">
        <f>VLOOKUP(I$14,Table24[],5,FALSE)</f>
        <v>6.2</v>
      </c>
      <c r="I59" s="76">
        <f>VLOOKUP(J$14,Table24[],5,FALSE)</f>
        <v>6.2</v>
      </c>
      <c r="J59" s="76">
        <f>VLOOKUP(K$14,Table24[],5,FALSE)</f>
        <v>6.2</v>
      </c>
      <c r="K59" s="76">
        <f>VLOOKUP(L$14,Table24[],5,FALSE)</f>
        <v>6.2</v>
      </c>
      <c r="L59" s="76">
        <f>VLOOKUP(M$14,Table24[],5,FALSE)</f>
        <v>6.2</v>
      </c>
      <c r="M59" s="76">
        <f>VLOOKUP(N$14,Table24[],5,FALSE)</f>
        <v>6.2</v>
      </c>
      <c r="N59" s="76">
        <f>VLOOKUP(O$14,Table24[],5,FALSE)</f>
        <v>6.2</v>
      </c>
      <c r="O59" s="76">
        <f>VLOOKUP(P$14,Table24[],5,FALSE)</f>
        <v>6.7</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6.2</v>
      </c>
      <c r="C60" s="76">
        <f t="shared" ref="C60:U60" si="14">D10</f>
        <v>6</v>
      </c>
      <c r="D60" s="76">
        <f t="shared" si="14"/>
        <v>7</v>
      </c>
      <c r="E60" s="76">
        <f t="shared" si="14"/>
        <v>6.1</v>
      </c>
      <c r="F60" s="76">
        <f t="shared" si="14"/>
        <v>6.5</v>
      </c>
      <c r="G60" s="76">
        <f t="shared" si="14"/>
        <v>6.5</v>
      </c>
      <c r="H60" s="76">
        <f t="shared" si="14"/>
        <v>6.1</v>
      </c>
      <c r="I60" s="76">
        <f t="shared" si="14"/>
        <v>6.1</v>
      </c>
      <c r="J60" s="76">
        <f t="shared" si="14"/>
        <v>6.6</v>
      </c>
      <c r="K60" s="76">
        <f t="shared" si="14"/>
        <v>6.7</v>
      </c>
      <c r="L60" s="76">
        <f t="shared" si="14"/>
        <v>6.7</v>
      </c>
      <c r="M60" s="76">
        <f t="shared" si="14"/>
        <v>6.5</v>
      </c>
      <c r="N60" s="76">
        <f t="shared" si="14"/>
        <v>6.7</v>
      </c>
      <c r="O60" s="76">
        <f t="shared" si="14"/>
        <v>6.5</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5</v>
      </c>
      <c r="C61" s="76">
        <f t="shared" si="15"/>
        <v>5</v>
      </c>
      <c r="D61" s="76">
        <f t="shared" si="15"/>
        <v>5</v>
      </c>
      <c r="E61" s="76">
        <f t="shared" si="15"/>
        <v>7</v>
      </c>
      <c r="F61" s="76">
        <f t="shared" si="15"/>
        <v>5</v>
      </c>
      <c r="G61" s="76">
        <f t="shared" si="15"/>
        <v>5</v>
      </c>
      <c r="H61" s="76">
        <f t="shared" si="15"/>
        <v>5</v>
      </c>
      <c r="I61" s="76">
        <f t="shared" si="15"/>
        <v>5</v>
      </c>
      <c r="J61" s="76">
        <f t="shared" si="15"/>
        <v>5</v>
      </c>
      <c r="K61" s="76">
        <f t="shared" si="15"/>
        <v>5</v>
      </c>
      <c r="L61" s="76">
        <f t="shared" si="15"/>
        <v>5</v>
      </c>
      <c r="M61" s="76">
        <f t="shared" si="15"/>
        <v>5</v>
      </c>
      <c r="N61" s="76">
        <f t="shared" si="15"/>
        <v>5</v>
      </c>
      <c r="O61" s="76">
        <f t="shared" si="15"/>
        <v>7</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24</v>
      </c>
      <c r="C62" s="77">
        <f>B32</f>
        <v>24</v>
      </c>
      <c r="D62" s="77">
        <f>B33</f>
        <v>24</v>
      </c>
      <c r="E62" s="77">
        <f>B34</f>
        <v>24</v>
      </c>
      <c r="F62" s="77">
        <f>B35</f>
        <v>24</v>
      </c>
      <c r="G62" s="77">
        <f>B36</f>
        <v>24</v>
      </c>
      <c r="H62" s="77">
        <f>B37</f>
        <v>24</v>
      </c>
      <c r="I62" s="77">
        <f>B38</f>
        <v>24</v>
      </c>
      <c r="J62" s="77">
        <f>B39</f>
        <v>24</v>
      </c>
      <c r="K62" s="77">
        <f>B40</f>
        <v>24</v>
      </c>
      <c r="L62" s="77">
        <f>B41</f>
        <v>24</v>
      </c>
      <c r="M62" s="77">
        <f>B42</f>
        <v>24</v>
      </c>
      <c r="N62" s="77">
        <f>B43</f>
        <v>24</v>
      </c>
      <c r="O62" s="77">
        <f>B44</f>
        <v>24</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1.0000000000000009</v>
      </c>
      <c r="D64" s="77">
        <f t="shared" si="17"/>
        <v>-3.9999999999999991</v>
      </c>
      <c r="E64" s="77">
        <f t="shared" si="17"/>
        <v>4.2000000000000037</v>
      </c>
      <c r="F64" s="77">
        <f t="shared" si="17"/>
        <v>-1.4999999999999991</v>
      </c>
      <c r="G64" s="77">
        <f t="shared" si="17"/>
        <v>-1.4999999999999991</v>
      </c>
      <c r="H64" s="77">
        <f t="shared" si="17"/>
        <v>0.50000000000000266</v>
      </c>
      <c r="I64" s="77">
        <f t="shared" si="17"/>
        <v>0.50000000000000266</v>
      </c>
      <c r="J64" s="77">
        <f t="shared" si="17"/>
        <v>-1.9999999999999973</v>
      </c>
      <c r="K64" s="77">
        <f t="shared" si="17"/>
        <v>-2.5</v>
      </c>
      <c r="L64" s="77">
        <f t="shared" si="17"/>
        <v>-2.5</v>
      </c>
      <c r="M64" s="77">
        <f t="shared" si="17"/>
        <v>-1.4999999999999991</v>
      </c>
      <c r="N64" s="77">
        <f t="shared" si="17"/>
        <v>-2.5</v>
      </c>
      <c r="O64" s="77">
        <f t="shared" si="17"/>
        <v>1.4000000000000012</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-1.0000000000000009</v>
      </c>
      <c r="D65" s="77">
        <f t="shared" si="18"/>
        <v>3.9999999999999991</v>
      </c>
      <c r="E65" s="77">
        <f t="shared" si="18"/>
        <v>-4.2000000000000037</v>
      </c>
      <c r="F65" s="77">
        <f t="shared" si="18"/>
        <v>1.4999999999999991</v>
      </c>
      <c r="G65" s="77">
        <f t="shared" si="18"/>
        <v>1.4999999999999991</v>
      </c>
      <c r="H65" s="77">
        <f t="shared" si="18"/>
        <v>-0.50000000000000266</v>
      </c>
      <c r="I65" s="77">
        <f t="shared" si="18"/>
        <v>-0.50000000000000266</v>
      </c>
      <c r="J65" s="77">
        <f t="shared" si="18"/>
        <v>1.9999999999999973</v>
      </c>
      <c r="K65" s="77">
        <f t="shared" si="18"/>
        <v>2.5</v>
      </c>
      <c r="L65" s="77">
        <f t="shared" si="18"/>
        <v>2.5</v>
      </c>
      <c r="M65" s="77">
        <f t="shared" si="18"/>
        <v>1.4999999999999991</v>
      </c>
      <c r="N65" s="77">
        <f t="shared" si="18"/>
        <v>2.5</v>
      </c>
      <c r="O65" s="77">
        <f t="shared" si="18"/>
        <v>-1.4000000000000012</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OVER</v>
      </c>
      <c r="E66" s="78" t="str">
        <f t="shared" si="19"/>
        <v>UNDER</v>
      </c>
      <c r="F66" s="78" t="str">
        <f t="shared" si="19"/>
        <v>OVER</v>
      </c>
      <c r="G66" s="78" t="str">
        <f t="shared" si="19"/>
        <v>OVER</v>
      </c>
      <c r="H66" s="78" t="str">
        <f t="shared" si="19"/>
        <v>UNDER</v>
      </c>
      <c r="I66" s="78" t="str">
        <f t="shared" si="19"/>
        <v>UNDER</v>
      </c>
      <c r="J66" s="78" t="str">
        <f t="shared" si="19"/>
        <v>OVER</v>
      </c>
      <c r="K66" s="78" t="str">
        <f t="shared" si="19"/>
        <v>OVER</v>
      </c>
      <c r="L66" s="78" t="str">
        <f t="shared" si="19"/>
        <v>OVER</v>
      </c>
      <c r="M66" s="78" t="str">
        <f t="shared" si="19"/>
        <v>OVER</v>
      </c>
      <c r="N66" s="78" t="str">
        <f t="shared" si="19"/>
        <v>OVER</v>
      </c>
      <c r="O66" s="78" t="str">
        <f t="shared" si="19"/>
        <v>UNDER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419" priority="46" operator="equal">
      <formula>"DECREASE"</formula>
    </cfRule>
    <cfRule type="cellIs" dxfId="418" priority="47" operator="equal">
      <formula>"INCREASE"</formula>
    </cfRule>
  </conditionalFormatting>
  <conditionalFormatting sqref="B62:U66 B31:B50">
    <cfRule type="cellIs" dxfId="417" priority="45" operator="greaterThan">
      <formula>$B$51</formula>
    </cfRule>
  </conditionalFormatting>
  <conditionalFormatting sqref="C31:C50">
    <cfRule type="cellIs" dxfId="416" priority="44" operator="greaterThan">
      <formula>$C$51</formula>
    </cfRule>
  </conditionalFormatting>
  <conditionalFormatting sqref="C18:V18">
    <cfRule type="cellIs" dxfId="415" priority="40" operator="equal">
      <formula>0</formula>
    </cfRule>
  </conditionalFormatting>
  <conditionalFormatting sqref="C17:V17">
    <cfRule type="cellIs" dxfId="414" priority="38" operator="equal">
      <formula>0</formula>
    </cfRule>
  </conditionalFormatting>
  <conditionalFormatting sqref="C19:V19">
    <cfRule type="cellIs" dxfId="413" priority="37" operator="equal">
      <formula>0</formula>
    </cfRule>
  </conditionalFormatting>
  <conditionalFormatting sqref="G31:G50">
    <cfRule type="cellIs" dxfId="412" priority="34" operator="greaterThan">
      <formula>$G$51</formula>
    </cfRule>
  </conditionalFormatting>
  <conditionalFormatting sqref="H31:H50">
    <cfRule type="cellIs" dxfId="411" priority="33" operator="greaterThan">
      <formula>$H$51</formula>
    </cfRule>
  </conditionalFormatting>
  <conditionalFormatting sqref="I31:I50">
    <cfRule type="cellIs" dxfId="410" priority="32" operator="greaterThan">
      <formula>$I$51</formula>
    </cfRule>
  </conditionalFormatting>
  <conditionalFormatting sqref="K31:K50">
    <cfRule type="cellIs" dxfId="409" priority="30" operator="greaterThan">
      <formula>$K$51</formula>
    </cfRule>
  </conditionalFormatting>
  <conditionalFormatting sqref="L31:L50">
    <cfRule type="cellIs" dxfId="408" priority="29" operator="greaterThan">
      <formula>$L$51</formula>
    </cfRule>
  </conditionalFormatting>
  <conditionalFormatting sqref="M31:M50">
    <cfRule type="cellIs" dxfId="407" priority="28" operator="greaterThan">
      <formula>$M$51</formula>
    </cfRule>
  </conditionalFormatting>
  <conditionalFormatting sqref="P31:P50">
    <cfRule type="cellIs" dxfId="406" priority="27" operator="greaterThan">
      <formula>$P$51</formula>
    </cfRule>
  </conditionalFormatting>
  <conditionalFormatting sqref="R31:R50">
    <cfRule type="cellIs" dxfId="405" priority="26" operator="greaterThan">
      <formula>$R$51</formula>
    </cfRule>
  </conditionalFormatting>
  <conditionalFormatting sqref="S31:S50">
    <cfRule type="cellIs" dxfId="404" priority="25" operator="greaterThan">
      <formula>$S$51</formula>
    </cfRule>
  </conditionalFormatting>
  <conditionalFormatting sqref="T31:T50">
    <cfRule type="cellIs" dxfId="403" priority="24" operator="greaterThan">
      <formula>$T$51</formula>
    </cfRule>
  </conditionalFormatting>
  <conditionalFormatting sqref="U31:U50">
    <cfRule type="cellIs" dxfId="402" priority="23" operator="greaterThan">
      <formula>$U$51</formula>
    </cfRule>
  </conditionalFormatting>
  <conditionalFormatting sqref="C22:V22">
    <cfRule type="cellIs" dxfId="401" priority="21" operator="equal">
      <formula>0</formula>
    </cfRule>
  </conditionalFormatting>
  <conditionalFormatting sqref="C24:V24">
    <cfRule type="cellIs" dxfId="400" priority="19" operator="equal">
      <formula>"DECREASE"</formula>
    </cfRule>
    <cfRule type="cellIs" dxfId="399" priority="20" operator="equal">
      <formula>"INCREASE"</formula>
    </cfRule>
  </conditionalFormatting>
  <conditionalFormatting sqref="C23:V23">
    <cfRule type="cellIs" dxfId="398" priority="18" operator="equal">
      <formula>0</formula>
    </cfRule>
  </conditionalFormatting>
  <conditionalFormatting sqref="C21:V21">
    <cfRule type="cellIs" dxfId="397" priority="11" operator="equal">
      <formula>0</formula>
    </cfRule>
  </conditionalFormatting>
  <conditionalFormatting sqref="B66:U66">
    <cfRule type="cellIs" dxfId="396" priority="7" operator="equal">
      <formula>"UNDER"</formula>
    </cfRule>
    <cfRule type="cellIs" dxfId="395" priority="8" operator="equal">
      <formula>"OVER"</formula>
    </cfRule>
  </conditionalFormatting>
  <conditionalFormatting sqref="J31:J50">
    <cfRule type="cellIs" dxfId="394" priority="6" operator="greaterThan">
      <formula>$J$51</formula>
    </cfRule>
  </conditionalFormatting>
  <conditionalFormatting sqref="L3">
    <cfRule type="cellIs" dxfId="393" priority="4" operator="lessThan">
      <formula>30</formula>
    </cfRule>
    <cfRule type="cellIs" dxfId="392" priority="5" operator="greaterThanOrEqual">
      <formula>30</formula>
    </cfRule>
  </conditionalFormatting>
  <conditionalFormatting sqref="I1">
    <cfRule type="cellIs" dxfId="391" priority="3" operator="between">
      <formula>0.1</formula>
      <formula>5</formula>
    </cfRule>
  </conditionalFormatting>
  <conditionalFormatting sqref="I2">
    <cfRule type="cellIs" dxfId="390" priority="2" operator="greaterThan">
      <formula>5000.1</formula>
    </cfRule>
  </conditionalFormatting>
  <conditionalFormatting sqref="I3">
    <cfRule type="cellIs" dxfId="389" priority="1" operator="greaterThan">
      <formula>40000.01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D36" sqref="D3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9" t="s">
        <v>41</v>
      </c>
      <c r="B1" s="129"/>
      <c r="C1" s="142" t="str">
        <f>'Field data and Waste 1'!C1:D1</f>
        <v>PAN-019532</v>
      </c>
      <c r="D1" s="143"/>
      <c r="E1" s="93" t="s">
        <v>45</v>
      </c>
      <c r="F1" s="39">
        <f>'Field data and Waste 1'!F1</f>
        <v>18.100000000000001</v>
      </c>
      <c r="G1" s="125" t="s">
        <v>43</v>
      </c>
      <c r="H1" s="126"/>
      <c r="I1" s="120">
        <v>7.01</v>
      </c>
      <c r="J1" s="129" t="s">
        <v>153</v>
      </c>
      <c r="K1" s="129"/>
      <c r="L1" s="120">
        <v>57</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9" t="s">
        <v>87</v>
      </c>
      <c r="B2" s="129"/>
      <c r="C2" s="144" t="str">
        <f>'Field data and Waste 1'!C2:D2</f>
        <v>EPR-KP3594VE</v>
      </c>
      <c r="D2" s="145"/>
      <c r="E2" s="93" t="s">
        <v>109</v>
      </c>
      <c r="F2" s="120" t="s">
        <v>167</v>
      </c>
      <c r="G2" s="127" t="s">
        <v>110</v>
      </c>
      <c r="H2" s="128"/>
      <c r="I2" s="120">
        <v>3261</v>
      </c>
      <c r="J2" s="129" t="s">
        <v>158</v>
      </c>
      <c r="K2" s="129"/>
      <c r="L2" s="120">
        <v>0.22</v>
      </c>
      <c r="AB2" s="30" t="s">
        <v>56</v>
      </c>
      <c r="AC2" s="17"/>
      <c r="AD2" s="30" t="s">
        <v>70</v>
      </c>
      <c r="AE2" s="17"/>
      <c r="AF2" s="17"/>
      <c r="AG2" s="44" t="s">
        <v>76</v>
      </c>
      <c r="AH2" s="18"/>
      <c r="AI2" s="45" t="s">
        <v>126</v>
      </c>
      <c r="AJ2" s="46">
        <v>0</v>
      </c>
      <c r="AK2" s="47">
        <v>0</v>
      </c>
      <c r="AL2" s="10">
        <v>0</v>
      </c>
      <c r="AM2" s="11">
        <v>0</v>
      </c>
      <c r="AN2" s="11">
        <v>0</v>
      </c>
    </row>
    <row r="3" spans="1:41" ht="13" x14ac:dyDescent="0.25">
      <c r="A3" s="125" t="s">
        <v>42</v>
      </c>
      <c r="B3" s="126"/>
      <c r="C3" s="144" t="str">
        <f>'Field data and Waste 1'!C3:D3</f>
        <v xml:space="preserve">Trade effluent services </v>
      </c>
      <c r="D3" s="145"/>
      <c r="E3" s="93" t="s">
        <v>108</v>
      </c>
      <c r="F3" s="31" t="s">
        <v>78</v>
      </c>
      <c r="G3" s="129" t="s">
        <v>159</v>
      </c>
      <c r="H3" s="129"/>
      <c r="I3" s="118"/>
      <c r="J3" s="125" t="s">
        <v>154</v>
      </c>
      <c r="K3" s="126"/>
      <c r="L3" s="97">
        <f>(L1/(L2*10000))*100</f>
        <v>2.5909090909090908</v>
      </c>
      <c r="AB3" s="30" t="s">
        <v>57</v>
      </c>
      <c r="AC3" s="17"/>
      <c r="AD3" s="30" t="s">
        <v>71</v>
      </c>
      <c r="AE3" s="17"/>
      <c r="AF3" s="17"/>
      <c r="AG3" s="44" t="s">
        <v>77</v>
      </c>
      <c r="AH3" s="18"/>
      <c r="AI3" s="48" t="s">
        <v>113</v>
      </c>
      <c r="AJ3" s="49">
        <v>1.7</v>
      </c>
      <c r="AK3" s="50">
        <v>6</v>
      </c>
      <c r="AL3" s="51">
        <v>1</v>
      </c>
      <c r="AM3" s="11">
        <v>6.2</v>
      </c>
      <c r="AN3" s="11" t="s">
        <v>112</v>
      </c>
    </row>
    <row r="4" spans="1:41" ht="13" x14ac:dyDescent="0.25">
      <c r="A4" s="129" t="s">
        <v>0</v>
      </c>
      <c r="B4" s="129"/>
      <c r="C4" s="142" t="str">
        <f>'Field data and Waste 1'!C4:D4</f>
        <v>Play Yn Llan, Llangynhafal, LL16 4LN</v>
      </c>
      <c r="D4" s="143"/>
      <c r="E4" s="94" t="s">
        <v>1</v>
      </c>
      <c r="F4" s="120" t="s">
        <v>168</v>
      </c>
      <c r="G4" s="125"/>
      <c r="H4" s="126"/>
      <c r="I4" s="39"/>
      <c r="J4" s="125"/>
      <c r="K4" s="126"/>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9" t="s">
        <v>47</v>
      </c>
      <c r="B5" s="129"/>
      <c r="C5" s="142" t="str">
        <f>'Field data and Waste 1'!C5:D5</f>
        <v xml:space="preserve">Ethan Banfield </v>
      </c>
      <c r="D5" s="143"/>
      <c r="E5" s="93"/>
      <c r="F5" s="39"/>
      <c r="G5" s="125"/>
      <c r="H5" s="126"/>
      <c r="I5" s="39"/>
      <c r="J5" s="125"/>
      <c r="K5" s="126"/>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9" t="s">
        <v>2</v>
      </c>
      <c r="B8" s="129"/>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8</v>
      </c>
      <c r="J8" s="60">
        <f>'Field data and Waste 1'!J8</f>
        <v>7</v>
      </c>
      <c r="K8" s="60">
        <f>'Field data and Waste 1'!K8</f>
        <v>9</v>
      </c>
      <c r="L8" s="60">
        <f>'Field data and Waste 1'!L8</f>
        <v>10</v>
      </c>
      <c r="M8" s="60">
        <f>'Field data and Waste 1'!M8</f>
        <v>11</v>
      </c>
      <c r="N8" s="60">
        <f>'Field data and Waste 1'!N8</f>
        <v>12</v>
      </c>
      <c r="O8" s="60">
        <f>'Field data and Waste 1'!O8</f>
        <v>13</v>
      </c>
      <c r="P8" s="60" t="str">
        <f>'Field data and Waste 1'!P8</f>
        <v>7a</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9" t="s">
        <v>3</v>
      </c>
      <c r="B9" s="129"/>
      <c r="C9" s="60" t="str">
        <f>'Field data and Waste 1'!C9</f>
        <v>Moderate</v>
      </c>
      <c r="D9" s="60" t="str">
        <f>'Field data and Waste 1'!D9</f>
        <v>Moderate</v>
      </c>
      <c r="E9" s="60" t="str">
        <f>'Field data and Waste 1'!E9</f>
        <v>moderate</v>
      </c>
      <c r="F9" s="60">
        <f>'Field data and Waste 1'!F9</f>
        <v>1</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f>'Field data and Waste 1'!P9</f>
        <v>1</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9" t="s">
        <v>4</v>
      </c>
      <c r="B10" s="129"/>
      <c r="C10" s="60">
        <f>'Field data and Waste 1'!C10</f>
        <v>6.2</v>
      </c>
      <c r="D10" s="60">
        <f>'Field data and Waste 1'!D10</f>
        <v>6</v>
      </c>
      <c r="E10" s="60">
        <f>'Field data and Waste 1'!E10</f>
        <v>7</v>
      </c>
      <c r="F10" s="60">
        <f>'Field data and Waste 1'!F10</f>
        <v>6.1</v>
      </c>
      <c r="G10" s="60">
        <f>'Field data and Waste 1'!G10</f>
        <v>6.5</v>
      </c>
      <c r="H10" s="60">
        <f>'Field data and Waste 1'!H10</f>
        <v>6.5</v>
      </c>
      <c r="I10" s="60">
        <f>'Field data and Waste 1'!I10</f>
        <v>6.1</v>
      </c>
      <c r="J10" s="60">
        <f>'Field data and Waste 1'!J10</f>
        <v>6.1</v>
      </c>
      <c r="K10" s="60">
        <f>'Field data and Waste 1'!K10</f>
        <v>6.6</v>
      </c>
      <c r="L10" s="60">
        <f>'Field data and Waste 1'!L10</f>
        <v>6.7</v>
      </c>
      <c r="M10" s="60">
        <f>'Field data and Waste 1'!M10</f>
        <v>6.7</v>
      </c>
      <c r="N10" s="60">
        <f>'Field data and Waste 1'!N10</f>
        <v>6.5</v>
      </c>
      <c r="O10" s="60">
        <f>'Field data and Waste 1'!O10</f>
        <v>6.7</v>
      </c>
      <c r="P10" s="60">
        <f>'Field data and Waste 1'!P10</f>
        <v>6.5</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9" t="s">
        <v>5</v>
      </c>
      <c r="B11" s="129"/>
      <c r="C11" s="60">
        <f>'Field data and Waste 1'!C11</f>
        <v>2</v>
      </c>
      <c r="D11" s="60">
        <f>'Field data and Waste 1'!D11</f>
        <v>1</v>
      </c>
      <c r="E11" s="60">
        <f>'Field data and Waste 1'!E11</f>
        <v>1</v>
      </c>
      <c r="F11" s="60">
        <f>'Field data and Waste 1'!F11</f>
        <v>2</v>
      </c>
      <c r="G11" s="60">
        <f>'Field data and Waste 1'!G11</f>
        <v>1</v>
      </c>
      <c r="H11" s="60">
        <f>'Field data and Waste 1'!H11</f>
        <v>2</v>
      </c>
      <c r="I11" s="60">
        <f>'Field data and Waste 1'!I11</f>
        <v>1</v>
      </c>
      <c r="J11" s="60">
        <f>'Field data and Waste 1'!J11</f>
        <v>1</v>
      </c>
      <c r="K11" s="60">
        <f>'Field data and Waste 1'!K11</f>
        <v>0</v>
      </c>
      <c r="L11" s="60">
        <f>'Field data and Waste 1'!L11</f>
        <v>0</v>
      </c>
      <c r="M11" s="60">
        <f>'Field data and Waste 1'!M11</f>
        <v>1</v>
      </c>
      <c r="N11" s="60">
        <f>'Field data and Waste 1'!N11</f>
        <v>1</v>
      </c>
      <c r="O11" s="60">
        <f>'Field data and Waste 1'!O11</f>
        <v>1</v>
      </c>
      <c r="P11" s="60">
        <f>'Field data and Waste 1'!P11</f>
        <v>3</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9" t="s">
        <v>6</v>
      </c>
      <c r="B12" s="129"/>
      <c r="C12" s="60">
        <f>'Field data and Waste 1'!C12</f>
        <v>2</v>
      </c>
      <c r="D12" s="60">
        <f>'Field data and Waste 1'!D12</f>
        <v>2</v>
      </c>
      <c r="E12" s="60">
        <f>'Field data and Waste 1'!E12</f>
        <v>1</v>
      </c>
      <c r="F12" s="60">
        <f>'Field data and Waste 1'!F12</f>
        <v>1</v>
      </c>
      <c r="G12" s="60">
        <f>'Field data and Waste 1'!G12</f>
        <v>2</v>
      </c>
      <c r="H12" s="60">
        <f>'Field data and Waste 1'!H12</f>
        <v>3</v>
      </c>
      <c r="I12" s="60">
        <f>'Field data and Waste 1'!I12</f>
        <v>3</v>
      </c>
      <c r="J12" s="60">
        <f>'Field data and Waste 1'!J12</f>
        <v>2</v>
      </c>
      <c r="K12" s="60">
        <f>'Field data and Waste 1'!K12</f>
        <v>2</v>
      </c>
      <c r="L12" s="60">
        <f>'Field data and Waste 1'!L12</f>
        <v>1</v>
      </c>
      <c r="M12" s="60">
        <f>'Field data and Waste 1'!M12</f>
        <v>1</v>
      </c>
      <c r="N12" s="60">
        <f>'Field data and Waste 1'!N12</f>
        <v>2</v>
      </c>
      <c r="O12" s="60">
        <f>'Field data and Waste 1'!O12</f>
        <v>2</v>
      </c>
      <c r="P12" s="60">
        <f>'Field data and Waste 1'!P12</f>
        <v>3</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9" t="s">
        <v>7</v>
      </c>
      <c r="B13" s="129"/>
      <c r="C13" s="60">
        <f>'Field data and Waste 1'!C13</f>
        <v>2</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2</v>
      </c>
      <c r="L13" s="60">
        <f>'Field data and Waste 1'!L13</f>
        <v>3</v>
      </c>
      <c r="M13" s="60">
        <f>'Field data and Waste 1'!M13</f>
        <v>2</v>
      </c>
      <c r="N13" s="60">
        <f>'Field data and Waste 1'!N13</f>
        <v>2</v>
      </c>
      <c r="O13" s="60">
        <f>'Field data and Waste 1'!O13</f>
        <v>2</v>
      </c>
      <c r="P13" s="60">
        <f>'Field data and Waste 1'!P13</f>
        <v>3</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8" t="s">
        <v>8</v>
      </c>
      <c r="B14" s="138"/>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Maize- Silage (30% DM)</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Maize- Silage (30% DM)</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7" t="s">
        <v>9</v>
      </c>
      <c r="B15" s="137"/>
      <c r="C15" s="60">
        <f>'Field data and Waste 1'!C15</f>
        <v>38</v>
      </c>
      <c r="D15" s="60">
        <f>'Field data and Waste 1'!D15</f>
        <v>38</v>
      </c>
      <c r="E15" s="60">
        <f>'Field data and Waste 1'!E15</f>
        <v>38</v>
      </c>
      <c r="F15" s="60">
        <f>'Field data and Waste 1'!F15</f>
        <v>40</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40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9" t="s">
        <v>44</v>
      </c>
      <c r="B16" s="139"/>
      <c r="C16" s="103" t="str">
        <f>'Field data and Waste 1'!C16</f>
        <v>Sandy Loam</v>
      </c>
      <c r="D16" s="103" t="str">
        <f>'Field data and Waste 1'!D16</f>
        <v>Sandy Loam</v>
      </c>
      <c r="E16" s="103" t="str">
        <f>'Field data and Waste 1'!E16</f>
        <v>Sandy Loam</v>
      </c>
      <c r="F16" s="103" t="str">
        <f>'Field data and Waste 1'!F16</f>
        <v>Sandy Loam</v>
      </c>
      <c r="G16" s="103" t="str">
        <f>'Field data and Waste 1'!G16</f>
        <v>Sandy Loam</v>
      </c>
      <c r="H16" s="103" t="str">
        <f>'Field data and Waste 1'!H16</f>
        <v>Sandy Loam</v>
      </c>
      <c r="I16" s="103" t="str">
        <f>'Field data and Waste 1'!I16</f>
        <v>Sandy Loam</v>
      </c>
      <c r="J16" s="103" t="str">
        <f>'Field data and Waste 1'!J16</f>
        <v>Sandy Loam</v>
      </c>
      <c r="K16" s="103" t="str">
        <f>'Field data and Waste 1'!K16</f>
        <v>Sandy Loam</v>
      </c>
      <c r="L16" s="103" t="str">
        <f>'Field data and Waste 1'!L16</f>
        <v>Sandy Loam</v>
      </c>
      <c r="M16" s="103" t="str">
        <f>'Field data and Waste 1'!M16</f>
        <v>Sandy Loam</v>
      </c>
      <c r="N16" s="103" t="str">
        <f>'Field data and Waste 1'!N16</f>
        <v>Sandy Loam</v>
      </c>
      <c r="O16" s="103" t="str">
        <f>'Field data and Waste 1'!O16</f>
        <v>Sandy Loam</v>
      </c>
      <c r="P16" s="103" t="str">
        <f>'Field data and Waste 1'!P16</f>
        <v>Sandy Loam</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5" t="s">
        <v>69</v>
      </c>
      <c r="B17" s="136"/>
      <c r="C17" s="28">
        <f>(VLOOKUP(C$14,$AI2:$AK26,2,FALSE))*C$15</f>
        <v>64.599999999999994</v>
      </c>
      <c r="D17" s="28">
        <f t="shared" ref="D17:V17" si="0">(VLOOKUP(D$14,$AI2:$AK26,2,FALSE))*D$15</f>
        <v>64.599999999999994</v>
      </c>
      <c r="E17" s="28">
        <f t="shared" si="0"/>
        <v>64.599999999999994</v>
      </c>
      <c r="F17" s="28">
        <f t="shared" si="0"/>
        <v>56</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56</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3" t="s">
        <v>23</v>
      </c>
      <c r="B18" s="134"/>
      <c r="C18" s="16">
        <f>$D31</f>
        <v>65.073564000000005</v>
      </c>
      <c r="D18" s="16">
        <f>$D32</f>
        <v>65.073564000000005</v>
      </c>
      <c r="E18" s="16">
        <f>$D33</f>
        <v>65.073564000000005</v>
      </c>
      <c r="F18" s="16">
        <f>$D34</f>
        <v>65.073564000000005</v>
      </c>
      <c r="G18" s="16">
        <f>$D35</f>
        <v>65.073564000000005</v>
      </c>
      <c r="H18" s="16">
        <f>$D36</f>
        <v>65.073564000000005</v>
      </c>
      <c r="I18" s="16">
        <f>$D37</f>
        <v>65.073564000000005</v>
      </c>
      <c r="J18" s="16">
        <f>$D38</f>
        <v>65.073564000000005</v>
      </c>
      <c r="K18" s="16">
        <f>$D39</f>
        <v>65.073564000000005</v>
      </c>
      <c r="L18" s="16">
        <f>$D40</f>
        <v>65.073564000000005</v>
      </c>
      <c r="M18" s="16">
        <f>$D41</f>
        <v>65.073564000000005</v>
      </c>
      <c r="N18" s="16">
        <f>$D42</f>
        <v>65.073564000000005</v>
      </c>
      <c r="O18" s="16">
        <f>$D43</f>
        <v>65.073564000000005</v>
      </c>
      <c r="P18" s="16">
        <f>$D44</f>
        <v>65.073564000000005</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3" t="s">
        <v>90</v>
      </c>
      <c r="B19" s="134"/>
      <c r="C19" s="16">
        <f>C18-C17</f>
        <v>0.47356400000001031</v>
      </c>
      <c r="D19" s="16">
        <f t="shared" ref="D19:V19" si="1">D18-D17</f>
        <v>0.47356400000001031</v>
      </c>
      <c r="E19" s="16">
        <f t="shared" si="1"/>
        <v>0.47356400000001031</v>
      </c>
      <c r="F19" s="16">
        <f t="shared" si="1"/>
        <v>9.0735640000000046</v>
      </c>
      <c r="G19" s="16">
        <f t="shared" si="1"/>
        <v>0.47356400000001031</v>
      </c>
      <c r="H19" s="16">
        <f t="shared" si="1"/>
        <v>0.47356400000001031</v>
      </c>
      <c r="I19" s="16">
        <f t="shared" si="1"/>
        <v>0.47356400000001031</v>
      </c>
      <c r="J19" s="16">
        <f t="shared" si="1"/>
        <v>0.47356400000001031</v>
      </c>
      <c r="K19" s="16">
        <f t="shared" si="1"/>
        <v>0.47356400000001031</v>
      </c>
      <c r="L19" s="16">
        <f t="shared" si="1"/>
        <v>0.47356400000001031</v>
      </c>
      <c r="M19" s="16">
        <f t="shared" si="1"/>
        <v>0.47356400000001031</v>
      </c>
      <c r="N19" s="16">
        <f t="shared" si="1"/>
        <v>0.47356400000001031</v>
      </c>
      <c r="O19" s="16">
        <f t="shared" si="1"/>
        <v>0.47356400000001031</v>
      </c>
      <c r="P19" s="16">
        <f t="shared" si="1"/>
        <v>9.0735640000000046</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1" t="s">
        <v>91</v>
      </c>
      <c r="B20" s="132"/>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INCREASE</v>
      </c>
      <c r="L20" s="26" t="str">
        <f>IF($B40="","",IF(L$19&gt;=0,"INCREASE","DECREASE"))</f>
        <v>INCREASE</v>
      </c>
      <c r="M20" s="26" t="str">
        <f>IF($B41="","",IF(M$19&gt;=0,"INCREASE","DECREASE"))</f>
        <v>INCREASE</v>
      </c>
      <c r="N20" s="26" t="str">
        <f>IF($B42="","",IF(N$19&gt;=0,"INCREASE","DECREASE"))</f>
        <v>INCREASE</v>
      </c>
      <c r="O20" s="26" t="str">
        <f>IF($B43="","",IF(O$19&gt;=0,"INCREASE","DECREASE"))</f>
        <v>INCREASE</v>
      </c>
      <c r="P20" s="26" t="str">
        <f>IF($B44="","",IF(P$19&gt;=0,"INCREASE","DECREASE"))</f>
        <v>INCREASE</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5" t="s">
        <v>88</v>
      </c>
      <c r="B21" s="136"/>
      <c r="C21" s="28">
        <f>(VLOOKUP(C$14,$AI2:$AK26,3,FALSE))*C$15</f>
        <v>228</v>
      </c>
      <c r="D21" s="28">
        <f t="shared" ref="D21:V21" si="2">(VLOOKUP(D$14,$AI2:$AK26,3,FALSE))*D$15</f>
        <v>228</v>
      </c>
      <c r="E21" s="28">
        <f t="shared" si="2"/>
        <v>228</v>
      </c>
      <c r="F21" s="28">
        <f t="shared" si="2"/>
        <v>176</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176</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3" t="s">
        <v>89</v>
      </c>
      <c r="B22" s="134"/>
      <c r="C22" s="16">
        <f>$E31</f>
        <v>13.92498</v>
      </c>
      <c r="D22" s="16">
        <f>$E32</f>
        <v>13.92498</v>
      </c>
      <c r="E22" s="16">
        <f>$E33</f>
        <v>13.92498</v>
      </c>
      <c r="F22" s="16">
        <f>$E34</f>
        <v>13.92498</v>
      </c>
      <c r="G22" s="16">
        <f>$E35</f>
        <v>13.92498</v>
      </c>
      <c r="H22" s="16">
        <f>$E36</f>
        <v>13.92498</v>
      </c>
      <c r="I22" s="16">
        <f>$E37</f>
        <v>13.92498</v>
      </c>
      <c r="J22" s="16">
        <f>$E38</f>
        <v>13.92498</v>
      </c>
      <c r="K22" s="16">
        <f>$E39</f>
        <v>13.92498</v>
      </c>
      <c r="L22" s="16">
        <f>$E40</f>
        <v>13.92498</v>
      </c>
      <c r="M22" s="16">
        <f>$E41</f>
        <v>13.92498</v>
      </c>
      <c r="N22" s="16">
        <f>$E42</f>
        <v>13.92498</v>
      </c>
      <c r="O22" s="16">
        <f>$E43</f>
        <v>13.92498</v>
      </c>
      <c r="P22" s="16">
        <f>$E44</f>
        <v>13.92498</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3" t="s">
        <v>92</v>
      </c>
      <c r="B23" s="134"/>
      <c r="C23" s="16">
        <f>C22-C21</f>
        <v>-214.07501999999999</v>
      </c>
      <c r="D23" s="16">
        <f t="shared" ref="D23:V23" si="3">D22-D21</f>
        <v>-214.07501999999999</v>
      </c>
      <c r="E23" s="16">
        <f t="shared" si="3"/>
        <v>-214.07501999999999</v>
      </c>
      <c r="F23" s="16">
        <f t="shared" si="3"/>
        <v>-162.07501999999999</v>
      </c>
      <c r="G23" s="16">
        <f t="shared" si="3"/>
        <v>-214.07501999999999</v>
      </c>
      <c r="H23" s="16">
        <f t="shared" si="3"/>
        <v>-214.07501999999999</v>
      </c>
      <c r="I23" s="16">
        <f t="shared" si="3"/>
        <v>-214.07501999999999</v>
      </c>
      <c r="J23" s="16">
        <f t="shared" si="3"/>
        <v>-214.07501999999999</v>
      </c>
      <c r="K23" s="16">
        <f t="shared" si="3"/>
        <v>-214.07501999999999</v>
      </c>
      <c r="L23" s="16">
        <f t="shared" si="3"/>
        <v>-214.07501999999999</v>
      </c>
      <c r="M23" s="16">
        <f t="shared" si="3"/>
        <v>-214.07501999999999</v>
      </c>
      <c r="N23" s="16">
        <f t="shared" si="3"/>
        <v>-214.07501999999999</v>
      </c>
      <c r="O23" s="16">
        <f t="shared" si="3"/>
        <v>-214.07501999999999</v>
      </c>
      <c r="P23" s="16">
        <f t="shared" si="3"/>
        <v>-162.07501999999999</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1" t="s">
        <v>93</v>
      </c>
      <c r="B24" s="132"/>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35">
      <c r="A28" s="108"/>
      <c r="B28" s="24">
        <v>3.24</v>
      </c>
      <c r="C28" s="15">
        <v>0.22</v>
      </c>
      <c r="D28" s="15">
        <v>526</v>
      </c>
      <c r="E28" s="15">
        <v>214</v>
      </c>
      <c r="F28" s="15">
        <v>92</v>
      </c>
      <c r="G28" s="15">
        <v>0.98</v>
      </c>
      <c r="H28" s="15">
        <v>11.1</v>
      </c>
      <c r="I28" s="15">
        <v>0.5</v>
      </c>
      <c r="J28" s="15">
        <v>0.01</v>
      </c>
      <c r="K28" s="23">
        <v>0.05</v>
      </c>
      <c r="L28" s="15">
        <v>0.65300000000000002</v>
      </c>
      <c r="M28" s="15">
        <v>5.1100000000000003</v>
      </c>
      <c r="N28" s="15"/>
      <c r="O28" s="15"/>
      <c r="P28" s="15">
        <v>4373</v>
      </c>
      <c r="Q28" s="15">
        <v>2095</v>
      </c>
      <c r="R28" s="15"/>
      <c r="S28" s="15"/>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54</v>
      </c>
      <c r="C31" s="77">
        <f>IF(C$27="%w/w SAR",((C$28*10)*$B31),IF(C$27="%w/w DM",(((C$28*10)*($B$28/100))*$B31),IF(C$27="kg/t SAR",(C$28*$B31),IF(C$27="kg/t DM",((C$28*($B$28/100))*$B31),IF(C$27="mg/kg SAR",((C$28*0.001)*$B31),IF(C$27="mg/kg DM",(((C$28*0.001)*($B$28/100))*$B31),0))))))</f>
        <v>118.80000000000001</v>
      </c>
      <c r="D31" s="77">
        <f>(IF(D$27="%w/w SAR",((D$28*10)*$B31),IF(D$27="%w/w DM",(((D$28*10)*($B$28/100))*$B31),IF(D$27="kg/t SAR",(D$28*$B31),IF(D$27="kg/t DM",((D$28*($B$28/100))*$B31),IF(D$27="mg/kg SAR",((D$28*0.001)*$B31),IF(D$27="mg/kg DM",(((D$28*0.001)*($B$28/100))*$B31),"0")))))))*2.291</f>
        <v>65.073564000000005</v>
      </c>
      <c r="E31" s="77">
        <f>(IF(E$27="%w/w SAR",((E$28*10)*$B31),IF(E$27="%w/w DM",(((E$28*10)*($B$28/100))*$B31),IF(E$27="kg/t SAR",(E$28*$B31),IF(E$27="kg/t DM",((E$28*($B$28/100))*$B31),IF(E$27="mg/kg SAR",((E$28*0.001)*$B31),IF(E$27="mg/kg DM",(((E$28*0.001)*($B$28/100))*$B31),"0")))))))*1.205</f>
        <v>13.92498</v>
      </c>
      <c r="F31" s="77">
        <f>(IF(F$27="%w/w SAR",((F$28*10)*$B31),IF(F$27="%w/w DM",(((F$28*10)*($B$28/100))*$B31),IF(F$27="kg/t SAR",(F$28*$B31),IF(F$27="kg/t DM",((F$28*($B$28/100))*$B31),IF(F$27="mg/kg SAR",((F$28*0.001)*$B31),IF(F$27="mg/kg DM",(((F$28*0.001)*($B$28/100))*$B31),"0")))))))*1.658</f>
        <v>8.2369439999999994</v>
      </c>
      <c r="G31" s="77">
        <f t="shared" ref="G31:P46" si="5">IF(G$27="%w/w SAR",((G$28*10)*$B31),IF(G$27="%w/w DM",(((G$28*10)*($B$28/100))*$B31),IF(G$27="kg/t SAR",(G$28*$B31),IF(G$27="kg/t DM",((G$28*($B$28/100))*$B31),IF(G$27="mg/kg SAR",((G$28*0.001)*$B31),IF(G$27="mg/kg DM",(((G$28*0.001)*($B$28/100))*$B31),0))))))</f>
        <v>5.2919999999999995E-2</v>
      </c>
      <c r="H31" s="77">
        <f t="shared" si="5"/>
        <v>0.59940000000000004</v>
      </c>
      <c r="I31" s="77">
        <f t="shared" si="5"/>
        <v>2.7E-2</v>
      </c>
      <c r="J31" s="77">
        <f t="shared" si="5"/>
        <v>5.4000000000000001E-4</v>
      </c>
      <c r="K31" s="77">
        <f t="shared" si="5"/>
        <v>2.7000000000000001E-3</v>
      </c>
      <c r="L31" s="77">
        <f t="shared" si="5"/>
        <v>3.5262000000000002E-2</v>
      </c>
      <c r="M31" s="77">
        <f t="shared" si="5"/>
        <v>0.27594000000000002</v>
      </c>
      <c r="N31" s="77">
        <f t="shared" si="5"/>
        <v>0</v>
      </c>
      <c r="O31" s="77">
        <f t="shared" si="5"/>
        <v>0</v>
      </c>
      <c r="P31" s="77">
        <f t="shared" si="5"/>
        <v>236.14200000000002</v>
      </c>
      <c r="Q31" s="77">
        <f>(IF(Q$27="%w/w SAR",((Q$28*10)*$B31),IF(Q$27="%w/w DM",(((Q$28*10)*($B$28/100))*$B31),IF(Q$27="kg/t SAR",(Q$28*$B31),IF(Q$27="kg/t DM",((Q$28*($B$28/100))*$B31),IF(Q$27="mg/kg SAR",((Q$28*0.001)*$B31),IF(Q$27="mg/kg DM",(((Q$28*0.001)*($B$28/100))*$B31),0)))))))*2.5</f>
        <v>282.82500000000005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54</v>
      </c>
      <c r="C32" s="77">
        <f t="shared" ref="C32:C50" si="6">IF(C$27="%w/w SAR",((C$28*10)*$B32),IF(C$27="%w/w DM",(((C$28*10)*($B$28/100))*$B32),IF(C$27="kg/t SAR",(C$28*$B32),IF(C$27="kg/t DM",((C$28*($B$28/100))*$B32),IF(C$27="mg/kg SAR",((C$28*0.001)*$B32),IF(C$27="mg/kg DM",(((C$28*0.001)*($B$28/100))*$B32),0))))))</f>
        <v>118.80000000000001</v>
      </c>
      <c r="D32" s="77">
        <f t="shared" ref="D32:D50" si="7">(IF(D$27="%w/w SAR",((D$28*10)*$B32),IF(D$27="%w/w DM",(((D$28*10)*($B$28/100))*$B32),IF(D$27="kg/t SAR",(D$28*$B32),IF(D$27="kg/t DM",((D$28*($B$28/100))*$B32),IF(D$27="mg/kg SAR",((D$28*0.001)*$B32),IF(D$27="mg/kg DM",(((D$28*0.001)*($B$28/100))*$B32),"0")))))))*2.291</f>
        <v>65.073564000000005</v>
      </c>
      <c r="E32" s="77">
        <f t="shared" ref="E32:E50" si="8">(IF(E$27="%w/w SAR",((E$28*10)*$B32),IF(E$27="%w/w DM",(((E$28*10)*($B$28/100))*$B32),IF(E$27="kg/t SAR",(E$28*$B32),IF(E$27="kg/t DM",((E$28*($B$28/100))*$B32),IF(E$27="mg/kg SAR",((E$28*0.001)*$B32),IF(E$27="mg/kg DM",(((E$28*0.001)*($B$28/100))*$B32),"0")))))))*1.205</f>
        <v>13.92498</v>
      </c>
      <c r="F32" s="77">
        <f t="shared" ref="F32:F50" si="9">(IF(F$27="%w/w SAR",((F$28*10)*$B32),IF(F$27="%w/w DM",(((F$28*10)*($B$28/100))*$B32),IF(F$27="kg/t SAR",(F$28*$B32),IF(F$27="kg/t DM",((F$28*($B$28/100))*$B32),IF(F$27="mg/kg SAR",((F$28*0.001)*$B32),IF(F$27="mg/kg DM",(((F$28*0.001)*($B$28/100))*$B32),"0")))))))*1.658</f>
        <v>8.2369439999999994</v>
      </c>
      <c r="G32" s="77">
        <f t="shared" si="5"/>
        <v>5.2919999999999995E-2</v>
      </c>
      <c r="H32" s="77">
        <f t="shared" si="5"/>
        <v>0.59940000000000004</v>
      </c>
      <c r="I32" s="77">
        <f t="shared" si="5"/>
        <v>2.7E-2</v>
      </c>
      <c r="J32" s="77">
        <f t="shared" si="5"/>
        <v>5.4000000000000001E-4</v>
      </c>
      <c r="K32" s="77">
        <f t="shared" si="5"/>
        <v>2.7000000000000001E-3</v>
      </c>
      <c r="L32" s="77">
        <f t="shared" si="5"/>
        <v>3.5262000000000002E-2</v>
      </c>
      <c r="M32" s="77">
        <f t="shared" si="5"/>
        <v>0.27594000000000002</v>
      </c>
      <c r="N32" s="77">
        <f t="shared" si="5"/>
        <v>0</v>
      </c>
      <c r="O32" s="77">
        <f t="shared" si="5"/>
        <v>0</v>
      </c>
      <c r="P32" s="77">
        <f t="shared" si="5"/>
        <v>236.14200000000002</v>
      </c>
      <c r="Q32" s="77">
        <f t="shared" ref="Q32:Q50" si="10">(IF(Q$27="%w/w SAR",((Q$28*10)*$B32),IF(Q$27="%w/w DM",(((Q$28*10)*($B$28/100))*$B32),IF(Q$27="kg/t SAR",(Q$28*$B32),IF(Q$27="kg/t DM",((Q$28*($B$28/100))*$B32),IF(Q$27="mg/kg SAR",((Q$28*0.001)*$B32),IF(Q$27="mg/kg DM",(((Q$28*0.001)*($B$28/100))*$B32),0)))))))*2.5</f>
        <v>282.82500000000005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54</v>
      </c>
      <c r="C33" s="77">
        <f t="shared" si="6"/>
        <v>118.80000000000001</v>
      </c>
      <c r="D33" s="77">
        <f t="shared" si="7"/>
        <v>65.073564000000005</v>
      </c>
      <c r="E33" s="77">
        <f t="shared" si="8"/>
        <v>13.92498</v>
      </c>
      <c r="F33" s="77">
        <f t="shared" si="9"/>
        <v>8.2369439999999994</v>
      </c>
      <c r="G33" s="77">
        <f t="shared" si="5"/>
        <v>5.2919999999999995E-2</v>
      </c>
      <c r="H33" s="77">
        <f t="shared" si="5"/>
        <v>0.59940000000000004</v>
      </c>
      <c r="I33" s="77">
        <f t="shared" si="5"/>
        <v>2.7E-2</v>
      </c>
      <c r="J33" s="77">
        <f t="shared" si="5"/>
        <v>5.4000000000000001E-4</v>
      </c>
      <c r="K33" s="77">
        <f t="shared" si="5"/>
        <v>2.7000000000000001E-3</v>
      </c>
      <c r="L33" s="77">
        <f t="shared" si="5"/>
        <v>3.5262000000000002E-2</v>
      </c>
      <c r="M33" s="77">
        <f t="shared" si="5"/>
        <v>0.27594000000000002</v>
      </c>
      <c r="N33" s="77">
        <f t="shared" si="5"/>
        <v>0</v>
      </c>
      <c r="O33" s="77">
        <f t="shared" si="5"/>
        <v>0</v>
      </c>
      <c r="P33" s="77">
        <f t="shared" si="5"/>
        <v>236.14200000000002</v>
      </c>
      <c r="Q33" s="77">
        <f t="shared" si="10"/>
        <v>282.82500000000005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54</v>
      </c>
      <c r="C34" s="77">
        <f t="shared" si="6"/>
        <v>118.80000000000001</v>
      </c>
      <c r="D34" s="77">
        <f t="shared" si="7"/>
        <v>65.073564000000005</v>
      </c>
      <c r="E34" s="77">
        <f t="shared" si="8"/>
        <v>13.92498</v>
      </c>
      <c r="F34" s="77">
        <f t="shared" si="9"/>
        <v>8.2369439999999994</v>
      </c>
      <c r="G34" s="77">
        <f t="shared" si="5"/>
        <v>5.2919999999999995E-2</v>
      </c>
      <c r="H34" s="77">
        <f t="shared" si="5"/>
        <v>0.59940000000000004</v>
      </c>
      <c r="I34" s="77">
        <f t="shared" si="5"/>
        <v>2.7E-2</v>
      </c>
      <c r="J34" s="77">
        <f t="shared" si="5"/>
        <v>5.4000000000000001E-4</v>
      </c>
      <c r="K34" s="77">
        <f t="shared" si="5"/>
        <v>2.7000000000000001E-3</v>
      </c>
      <c r="L34" s="77">
        <f t="shared" si="5"/>
        <v>3.5262000000000002E-2</v>
      </c>
      <c r="M34" s="77">
        <f t="shared" si="5"/>
        <v>0.27594000000000002</v>
      </c>
      <c r="N34" s="77">
        <f t="shared" si="5"/>
        <v>0</v>
      </c>
      <c r="O34" s="77">
        <f t="shared" si="5"/>
        <v>0</v>
      </c>
      <c r="P34" s="77">
        <f t="shared" si="5"/>
        <v>236.14200000000002</v>
      </c>
      <c r="Q34" s="77">
        <f t="shared" si="10"/>
        <v>282.82500000000005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54</v>
      </c>
      <c r="C35" s="77">
        <f t="shared" si="6"/>
        <v>118.80000000000001</v>
      </c>
      <c r="D35" s="77">
        <f t="shared" si="7"/>
        <v>65.073564000000005</v>
      </c>
      <c r="E35" s="77">
        <f t="shared" si="8"/>
        <v>13.92498</v>
      </c>
      <c r="F35" s="77">
        <f t="shared" si="9"/>
        <v>8.2369439999999994</v>
      </c>
      <c r="G35" s="77">
        <f t="shared" si="5"/>
        <v>5.2919999999999995E-2</v>
      </c>
      <c r="H35" s="77">
        <f t="shared" si="5"/>
        <v>0.59940000000000004</v>
      </c>
      <c r="I35" s="77">
        <f t="shared" si="5"/>
        <v>2.7E-2</v>
      </c>
      <c r="J35" s="77">
        <f t="shared" si="5"/>
        <v>5.4000000000000001E-4</v>
      </c>
      <c r="K35" s="77">
        <f t="shared" si="5"/>
        <v>2.7000000000000001E-3</v>
      </c>
      <c r="L35" s="77">
        <f t="shared" si="5"/>
        <v>3.5262000000000002E-2</v>
      </c>
      <c r="M35" s="77">
        <f t="shared" si="5"/>
        <v>0.27594000000000002</v>
      </c>
      <c r="N35" s="77">
        <f t="shared" si="5"/>
        <v>0</v>
      </c>
      <c r="O35" s="77">
        <f t="shared" si="5"/>
        <v>0</v>
      </c>
      <c r="P35" s="77">
        <f t="shared" si="5"/>
        <v>236.14200000000002</v>
      </c>
      <c r="Q35" s="77">
        <f t="shared" si="10"/>
        <v>282.82500000000005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54</v>
      </c>
      <c r="C36" s="77">
        <f t="shared" si="6"/>
        <v>118.80000000000001</v>
      </c>
      <c r="D36" s="77">
        <f t="shared" si="7"/>
        <v>65.073564000000005</v>
      </c>
      <c r="E36" s="77">
        <f t="shared" si="8"/>
        <v>13.92498</v>
      </c>
      <c r="F36" s="77">
        <f t="shared" si="9"/>
        <v>8.2369439999999994</v>
      </c>
      <c r="G36" s="77">
        <f t="shared" si="5"/>
        <v>5.2919999999999995E-2</v>
      </c>
      <c r="H36" s="77">
        <f t="shared" si="5"/>
        <v>0.59940000000000004</v>
      </c>
      <c r="I36" s="77">
        <f t="shared" si="5"/>
        <v>2.7E-2</v>
      </c>
      <c r="J36" s="77">
        <f t="shared" si="5"/>
        <v>5.4000000000000001E-4</v>
      </c>
      <c r="K36" s="77">
        <f t="shared" si="5"/>
        <v>2.7000000000000001E-3</v>
      </c>
      <c r="L36" s="77">
        <f t="shared" si="5"/>
        <v>3.5262000000000002E-2</v>
      </c>
      <c r="M36" s="77">
        <f t="shared" si="5"/>
        <v>0.27594000000000002</v>
      </c>
      <c r="N36" s="77">
        <f t="shared" si="5"/>
        <v>0</v>
      </c>
      <c r="O36" s="77">
        <f t="shared" si="5"/>
        <v>0</v>
      </c>
      <c r="P36" s="77">
        <f t="shared" si="5"/>
        <v>236.14200000000002</v>
      </c>
      <c r="Q36" s="77">
        <f t="shared" si="10"/>
        <v>282.82500000000005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8</v>
      </c>
      <c r="B37" s="15">
        <v>54</v>
      </c>
      <c r="C37" s="77">
        <f t="shared" si="6"/>
        <v>118.80000000000001</v>
      </c>
      <c r="D37" s="77">
        <f t="shared" si="7"/>
        <v>65.073564000000005</v>
      </c>
      <c r="E37" s="77">
        <f t="shared" si="8"/>
        <v>13.92498</v>
      </c>
      <c r="F37" s="77">
        <f t="shared" si="9"/>
        <v>8.2369439999999994</v>
      </c>
      <c r="G37" s="77">
        <f t="shared" si="5"/>
        <v>5.2919999999999995E-2</v>
      </c>
      <c r="H37" s="77">
        <f t="shared" si="5"/>
        <v>0.59940000000000004</v>
      </c>
      <c r="I37" s="77">
        <f t="shared" si="5"/>
        <v>2.7E-2</v>
      </c>
      <c r="J37" s="77">
        <f t="shared" si="5"/>
        <v>5.4000000000000001E-4</v>
      </c>
      <c r="K37" s="77">
        <f t="shared" si="5"/>
        <v>2.7000000000000001E-3</v>
      </c>
      <c r="L37" s="77">
        <f t="shared" si="5"/>
        <v>3.5262000000000002E-2</v>
      </c>
      <c r="M37" s="77">
        <f t="shared" si="5"/>
        <v>0.27594000000000002</v>
      </c>
      <c r="N37" s="77">
        <f t="shared" si="5"/>
        <v>0</v>
      </c>
      <c r="O37" s="77">
        <f t="shared" si="5"/>
        <v>0</v>
      </c>
      <c r="P37" s="77">
        <f t="shared" si="5"/>
        <v>236.14200000000002</v>
      </c>
      <c r="Q37" s="77">
        <f t="shared" si="10"/>
        <v>282.82500000000005</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7</v>
      </c>
      <c r="B38" s="15">
        <v>54</v>
      </c>
      <c r="C38" s="77">
        <f t="shared" si="6"/>
        <v>118.80000000000001</v>
      </c>
      <c r="D38" s="77">
        <f t="shared" si="7"/>
        <v>65.073564000000005</v>
      </c>
      <c r="E38" s="77">
        <f t="shared" si="8"/>
        <v>13.92498</v>
      </c>
      <c r="F38" s="77">
        <f t="shared" si="9"/>
        <v>8.2369439999999994</v>
      </c>
      <c r="G38" s="77">
        <f t="shared" si="5"/>
        <v>5.2919999999999995E-2</v>
      </c>
      <c r="H38" s="77">
        <f t="shared" si="5"/>
        <v>0.59940000000000004</v>
      </c>
      <c r="I38" s="77">
        <f t="shared" si="5"/>
        <v>2.7E-2</v>
      </c>
      <c r="J38" s="77">
        <f t="shared" si="5"/>
        <v>5.4000000000000001E-4</v>
      </c>
      <c r="K38" s="77">
        <f t="shared" si="5"/>
        <v>2.7000000000000001E-3</v>
      </c>
      <c r="L38" s="77">
        <f t="shared" si="5"/>
        <v>3.5262000000000002E-2</v>
      </c>
      <c r="M38" s="77">
        <f t="shared" si="5"/>
        <v>0.27594000000000002</v>
      </c>
      <c r="N38" s="77">
        <f t="shared" si="5"/>
        <v>0</v>
      </c>
      <c r="O38" s="77">
        <f t="shared" si="5"/>
        <v>0</v>
      </c>
      <c r="P38" s="77">
        <f t="shared" si="5"/>
        <v>236.14200000000002</v>
      </c>
      <c r="Q38" s="77">
        <f t="shared" si="10"/>
        <v>282.82500000000005</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v>54</v>
      </c>
      <c r="C39" s="77">
        <f t="shared" si="6"/>
        <v>118.80000000000001</v>
      </c>
      <c r="D39" s="77">
        <f t="shared" si="7"/>
        <v>65.073564000000005</v>
      </c>
      <c r="E39" s="77">
        <f t="shared" si="8"/>
        <v>13.92498</v>
      </c>
      <c r="F39" s="77">
        <f t="shared" si="9"/>
        <v>8.2369439999999994</v>
      </c>
      <c r="G39" s="77">
        <f t="shared" si="5"/>
        <v>5.2919999999999995E-2</v>
      </c>
      <c r="H39" s="77">
        <f t="shared" si="5"/>
        <v>0.59940000000000004</v>
      </c>
      <c r="I39" s="77">
        <f t="shared" si="5"/>
        <v>2.7E-2</v>
      </c>
      <c r="J39" s="77">
        <f t="shared" si="5"/>
        <v>5.4000000000000001E-4</v>
      </c>
      <c r="K39" s="77">
        <f t="shared" si="5"/>
        <v>2.7000000000000001E-3</v>
      </c>
      <c r="L39" s="77">
        <f t="shared" si="5"/>
        <v>3.5262000000000002E-2</v>
      </c>
      <c r="M39" s="77">
        <f t="shared" si="5"/>
        <v>0.27594000000000002</v>
      </c>
      <c r="N39" s="77">
        <f t="shared" si="5"/>
        <v>0</v>
      </c>
      <c r="O39" s="77">
        <f t="shared" si="5"/>
        <v>0</v>
      </c>
      <c r="P39" s="77">
        <f t="shared" si="5"/>
        <v>236.14200000000002</v>
      </c>
      <c r="Q39" s="77">
        <f t="shared" si="10"/>
        <v>282.82500000000005</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v>54</v>
      </c>
      <c r="C40" s="77">
        <f t="shared" si="6"/>
        <v>118.80000000000001</v>
      </c>
      <c r="D40" s="77">
        <f t="shared" si="7"/>
        <v>65.073564000000005</v>
      </c>
      <c r="E40" s="77">
        <f t="shared" si="8"/>
        <v>13.92498</v>
      </c>
      <c r="F40" s="77">
        <f t="shared" si="9"/>
        <v>8.2369439999999994</v>
      </c>
      <c r="G40" s="77">
        <f t="shared" si="5"/>
        <v>5.2919999999999995E-2</v>
      </c>
      <c r="H40" s="77">
        <f t="shared" si="5"/>
        <v>0.59940000000000004</v>
      </c>
      <c r="I40" s="77">
        <f t="shared" si="5"/>
        <v>2.7E-2</v>
      </c>
      <c r="J40" s="77">
        <f t="shared" si="5"/>
        <v>5.4000000000000001E-4</v>
      </c>
      <c r="K40" s="77">
        <f t="shared" si="5"/>
        <v>2.7000000000000001E-3</v>
      </c>
      <c r="L40" s="77">
        <f t="shared" si="5"/>
        <v>3.5262000000000002E-2</v>
      </c>
      <c r="M40" s="77">
        <f t="shared" si="5"/>
        <v>0.27594000000000002</v>
      </c>
      <c r="N40" s="77">
        <f t="shared" si="5"/>
        <v>0</v>
      </c>
      <c r="O40" s="77">
        <f t="shared" si="5"/>
        <v>0</v>
      </c>
      <c r="P40" s="77">
        <f t="shared" si="5"/>
        <v>236.14200000000002</v>
      </c>
      <c r="Q40" s="77">
        <f t="shared" si="10"/>
        <v>282.82500000000005</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11</v>
      </c>
      <c r="B41" s="15">
        <v>54</v>
      </c>
      <c r="C41" s="77">
        <f t="shared" si="6"/>
        <v>118.80000000000001</v>
      </c>
      <c r="D41" s="77">
        <f t="shared" si="7"/>
        <v>65.073564000000005</v>
      </c>
      <c r="E41" s="77">
        <f t="shared" si="8"/>
        <v>13.92498</v>
      </c>
      <c r="F41" s="77">
        <f t="shared" si="9"/>
        <v>8.2369439999999994</v>
      </c>
      <c r="G41" s="77">
        <f t="shared" si="5"/>
        <v>5.2919999999999995E-2</v>
      </c>
      <c r="H41" s="77">
        <f t="shared" si="5"/>
        <v>0.59940000000000004</v>
      </c>
      <c r="I41" s="77">
        <f t="shared" si="5"/>
        <v>2.7E-2</v>
      </c>
      <c r="J41" s="77">
        <f t="shared" si="5"/>
        <v>5.4000000000000001E-4</v>
      </c>
      <c r="K41" s="77">
        <f t="shared" si="5"/>
        <v>2.7000000000000001E-3</v>
      </c>
      <c r="L41" s="77">
        <f t="shared" si="5"/>
        <v>3.5262000000000002E-2</v>
      </c>
      <c r="M41" s="77">
        <f t="shared" si="5"/>
        <v>0.27594000000000002</v>
      </c>
      <c r="N41" s="77">
        <f t="shared" si="5"/>
        <v>0</v>
      </c>
      <c r="O41" s="77">
        <f t="shared" si="5"/>
        <v>0</v>
      </c>
      <c r="P41" s="77">
        <f t="shared" si="5"/>
        <v>236.14200000000002</v>
      </c>
      <c r="Q41" s="77">
        <f t="shared" si="10"/>
        <v>282.82500000000005</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12</v>
      </c>
      <c r="B42" s="15">
        <v>54</v>
      </c>
      <c r="C42" s="77">
        <f t="shared" si="6"/>
        <v>118.80000000000001</v>
      </c>
      <c r="D42" s="77">
        <f t="shared" si="7"/>
        <v>65.073564000000005</v>
      </c>
      <c r="E42" s="77">
        <f t="shared" si="8"/>
        <v>13.92498</v>
      </c>
      <c r="F42" s="77">
        <f t="shared" si="9"/>
        <v>8.2369439999999994</v>
      </c>
      <c r="G42" s="77">
        <f t="shared" si="5"/>
        <v>5.2919999999999995E-2</v>
      </c>
      <c r="H42" s="77">
        <f t="shared" si="5"/>
        <v>0.59940000000000004</v>
      </c>
      <c r="I42" s="77">
        <f t="shared" si="5"/>
        <v>2.7E-2</v>
      </c>
      <c r="J42" s="77">
        <f t="shared" si="5"/>
        <v>5.4000000000000001E-4</v>
      </c>
      <c r="K42" s="77">
        <f t="shared" si="5"/>
        <v>2.7000000000000001E-3</v>
      </c>
      <c r="L42" s="77">
        <f t="shared" si="5"/>
        <v>3.5262000000000002E-2</v>
      </c>
      <c r="M42" s="77">
        <f t="shared" si="5"/>
        <v>0.27594000000000002</v>
      </c>
      <c r="N42" s="77">
        <f t="shared" si="5"/>
        <v>0</v>
      </c>
      <c r="O42" s="77">
        <f t="shared" si="5"/>
        <v>0</v>
      </c>
      <c r="P42" s="77">
        <f t="shared" si="5"/>
        <v>236.14200000000002</v>
      </c>
      <c r="Q42" s="77">
        <f t="shared" si="10"/>
        <v>282.82500000000005</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13</v>
      </c>
      <c r="B43" s="15">
        <v>54</v>
      </c>
      <c r="C43" s="77">
        <f t="shared" si="6"/>
        <v>118.80000000000001</v>
      </c>
      <c r="D43" s="77">
        <f t="shared" si="7"/>
        <v>65.073564000000005</v>
      </c>
      <c r="E43" s="77">
        <f t="shared" si="8"/>
        <v>13.92498</v>
      </c>
      <c r="F43" s="77">
        <f t="shared" si="9"/>
        <v>8.2369439999999994</v>
      </c>
      <c r="G43" s="77">
        <f t="shared" si="5"/>
        <v>5.2919999999999995E-2</v>
      </c>
      <c r="H43" s="77">
        <f t="shared" si="5"/>
        <v>0.59940000000000004</v>
      </c>
      <c r="I43" s="77">
        <f t="shared" si="5"/>
        <v>2.7E-2</v>
      </c>
      <c r="J43" s="77">
        <f t="shared" si="5"/>
        <v>5.4000000000000001E-4</v>
      </c>
      <c r="K43" s="77">
        <f t="shared" si="5"/>
        <v>2.7000000000000001E-3</v>
      </c>
      <c r="L43" s="77">
        <f t="shared" si="5"/>
        <v>3.5262000000000002E-2</v>
      </c>
      <c r="M43" s="77">
        <f t="shared" si="5"/>
        <v>0.27594000000000002</v>
      </c>
      <c r="N43" s="77">
        <f t="shared" si="5"/>
        <v>0</v>
      </c>
      <c r="O43" s="77">
        <f t="shared" si="5"/>
        <v>0</v>
      </c>
      <c r="P43" s="77">
        <f t="shared" si="5"/>
        <v>236.14200000000002</v>
      </c>
      <c r="Q43" s="77">
        <f t="shared" si="10"/>
        <v>282.82500000000005</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t="str">
        <f>P8</f>
        <v>7a</v>
      </c>
      <c r="B44" s="15">
        <v>54</v>
      </c>
      <c r="C44" s="77">
        <f t="shared" si="6"/>
        <v>118.80000000000001</v>
      </c>
      <c r="D44" s="77">
        <f t="shared" si="7"/>
        <v>65.073564000000005</v>
      </c>
      <c r="E44" s="77">
        <f t="shared" si="8"/>
        <v>13.92498</v>
      </c>
      <c r="F44" s="77">
        <f t="shared" si="9"/>
        <v>8.2369439999999994</v>
      </c>
      <c r="G44" s="77">
        <f t="shared" si="5"/>
        <v>5.2919999999999995E-2</v>
      </c>
      <c r="H44" s="77">
        <f t="shared" si="5"/>
        <v>0.59940000000000004</v>
      </c>
      <c r="I44" s="77">
        <f t="shared" si="5"/>
        <v>2.7E-2</v>
      </c>
      <c r="J44" s="77">
        <f t="shared" si="5"/>
        <v>5.4000000000000001E-4</v>
      </c>
      <c r="K44" s="77">
        <f t="shared" si="5"/>
        <v>2.7000000000000001E-3</v>
      </c>
      <c r="L44" s="77">
        <f t="shared" si="5"/>
        <v>3.5262000000000002E-2</v>
      </c>
      <c r="M44" s="77">
        <f t="shared" si="5"/>
        <v>0.27594000000000002</v>
      </c>
      <c r="N44" s="77">
        <f t="shared" si="5"/>
        <v>0</v>
      </c>
      <c r="O44" s="77">
        <f t="shared" si="5"/>
        <v>0</v>
      </c>
      <c r="P44" s="77">
        <f t="shared" si="5"/>
        <v>236.14200000000002</v>
      </c>
      <c r="Q44" s="77">
        <f t="shared" si="10"/>
        <v>282.82500000000005</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8</v>
      </c>
      <c r="I57" s="8">
        <f t="shared" si="13"/>
        <v>7</v>
      </c>
      <c r="J57" s="8">
        <f t="shared" si="13"/>
        <v>9</v>
      </c>
      <c r="K57" s="8">
        <f t="shared" si="13"/>
        <v>10</v>
      </c>
      <c r="L57" s="8">
        <f t="shared" si="13"/>
        <v>11</v>
      </c>
      <c r="M57" s="8">
        <f t="shared" si="13"/>
        <v>12</v>
      </c>
      <c r="N57" s="8">
        <f t="shared" si="13"/>
        <v>13</v>
      </c>
      <c r="O57" s="8" t="str">
        <f t="shared" si="13"/>
        <v>7a</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Sandy Loam I Grass</v>
      </c>
      <c r="C58" s="13" t="str">
        <f>D16&amp;" I "&amp;(VLOOKUP(D14,Table245[],6,FALSE))</f>
        <v>Sandy Loam I Grass</v>
      </c>
      <c r="D58" s="13" t="str">
        <f>E16&amp;" I "&amp;(VLOOKUP(E14,Table245[],6,FALSE))</f>
        <v>Sandy Loam I Grass</v>
      </c>
      <c r="E58" s="13" t="str">
        <f>F16&amp;" I "&amp;(VLOOKUP(F14,Table245[],6,FALSE))</f>
        <v>Sandy Loam I Arable</v>
      </c>
      <c r="F58" s="13" t="str">
        <f>G16&amp;" I "&amp;(VLOOKUP(G14,Table245[],6,FALSE))</f>
        <v>Sandy Loam I Grass</v>
      </c>
      <c r="G58" s="13" t="str">
        <f>H16&amp;" I "&amp;(VLOOKUP(H14,Table245[],6,FALSE))</f>
        <v>Sandy Loam I Grass</v>
      </c>
      <c r="H58" s="13" t="str">
        <f>I16&amp;" I "&amp;(VLOOKUP(I14,Table245[],6,FALSE))</f>
        <v>Sandy Loam I Grass</v>
      </c>
      <c r="I58" s="13" t="str">
        <f>J16&amp;" I "&amp;(VLOOKUP(J14,Table245[],6,FALSE))</f>
        <v>Sandy Loam I Grass</v>
      </c>
      <c r="J58" s="13" t="str">
        <f>K16&amp;" I "&amp;(VLOOKUP(K14,Table245[],6,FALSE))</f>
        <v>Sandy Loam I Grass</v>
      </c>
      <c r="K58" s="13" t="str">
        <f>L16&amp;" I "&amp;(VLOOKUP(L14,Table245[],6,FALSE))</f>
        <v>Sandy Loam I Grass</v>
      </c>
      <c r="L58" s="13" t="str">
        <f>M16&amp;" I "&amp;(VLOOKUP(M14,Table245[],6,FALSE))</f>
        <v>Sandy Loam I Grass</v>
      </c>
      <c r="M58" s="13" t="str">
        <f>N16&amp;" I "&amp;(VLOOKUP(N14,Table245[],6,FALSE))</f>
        <v>Sandy Loam I Grass</v>
      </c>
      <c r="N58" s="13" t="str">
        <f>O16&amp;" I "&amp;(VLOOKUP(O14,Table245[],6,FALSE))</f>
        <v>Sandy Loam I Grass</v>
      </c>
      <c r="O58" s="13" t="str">
        <f>P16&amp;" I "&amp;(VLOOKUP(P14,Table245[],6,FALSE))</f>
        <v>Sandy Loam I Arable</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6.2</v>
      </c>
      <c r="C59" s="76">
        <f>VLOOKUP(D$14,Table245[],5,FALSE)</f>
        <v>6.2</v>
      </c>
      <c r="D59" s="76">
        <f>VLOOKUP(E$14,Table245[],5,FALSE)</f>
        <v>6.2</v>
      </c>
      <c r="E59" s="76">
        <f>VLOOKUP(F$14,Table245[],5,FALSE)</f>
        <v>6.7</v>
      </c>
      <c r="F59" s="76">
        <f>VLOOKUP(G$14,Table245[],5,FALSE)</f>
        <v>6.2</v>
      </c>
      <c r="G59" s="76">
        <f>VLOOKUP(H$14,Table245[],5,FALSE)</f>
        <v>6.2</v>
      </c>
      <c r="H59" s="76">
        <f>VLOOKUP(I$14,Table245[],5,FALSE)</f>
        <v>6.2</v>
      </c>
      <c r="I59" s="76">
        <f>VLOOKUP(J$14,Table245[],5,FALSE)</f>
        <v>6.2</v>
      </c>
      <c r="J59" s="76">
        <f>VLOOKUP(K$14,Table245[],5,FALSE)</f>
        <v>6.2</v>
      </c>
      <c r="K59" s="76">
        <f>VLOOKUP(L$14,Table245[],5,FALSE)</f>
        <v>6.2</v>
      </c>
      <c r="L59" s="76">
        <f>VLOOKUP(M$14,Table245[],5,FALSE)</f>
        <v>6.2</v>
      </c>
      <c r="M59" s="76">
        <f>VLOOKUP(N$14,Table245[],5,FALSE)</f>
        <v>6.2</v>
      </c>
      <c r="N59" s="76">
        <f>VLOOKUP(O$14,Table245[],5,FALSE)</f>
        <v>6.2</v>
      </c>
      <c r="O59" s="76">
        <f>VLOOKUP(P$14,Table245[],5,FALSE)</f>
        <v>6.7</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6.2</v>
      </c>
      <c r="C60" s="76">
        <f t="shared" ref="C60:U60" si="14">D10</f>
        <v>6</v>
      </c>
      <c r="D60" s="76">
        <f t="shared" si="14"/>
        <v>7</v>
      </c>
      <c r="E60" s="76">
        <f t="shared" si="14"/>
        <v>6.1</v>
      </c>
      <c r="F60" s="76">
        <f t="shared" si="14"/>
        <v>6.5</v>
      </c>
      <c r="G60" s="76">
        <f t="shared" si="14"/>
        <v>6.5</v>
      </c>
      <c r="H60" s="76">
        <f t="shared" si="14"/>
        <v>6.1</v>
      </c>
      <c r="I60" s="76">
        <f t="shared" si="14"/>
        <v>6.1</v>
      </c>
      <c r="J60" s="76">
        <f t="shared" si="14"/>
        <v>6.6</v>
      </c>
      <c r="K60" s="76">
        <f t="shared" si="14"/>
        <v>6.7</v>
      </c>
      <c r="L60" s="76">
        <f t="shared" si="14"/>
        <v>6.7</v>
      </c>
      <c r="M60" s="76">
        <f t="shared" si="14"/>
        <v>6.5</v>
      </c>
      <c r="N60" s="76">
        <f t="shared" si="14"/>
        <v>6.7</v>
      </c>
      <c r="O60" s="76">
        <f t="shared" si="14"/>
        <v>6.5</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5</v>
      </c>
      <c r="C61" s="76">
        <f t="shared" si="15"/>
        <v>5</v>
      </c>
      <c r="D61" s="76">
        <f t="shared" si="15"/>
        <v>5</v>
      </c>
      <c r="E61" s="76">
        <f t="shared" si="15"/>
        <v>7</v>
      </c>
      <c r="F61" s="76">
        <f t="shared" si="15"/>
        <v>5</v>
      </c>
      <c r="G61" s="76">
        <f t="shared" si="15"/>
        <v>5</v>
      </c>
      <c r="H61" s="76">
        <f t="shared" si="15"/>
        <v>5</v>
      </c>
      <c r="I61" s="76">
        <f t="shared" si="15"/>
        <v>5</v>
      </c>
      <c r="J61" s="76">
        <f t="shared" si="15"/>
        <v>5</v>
      </c>
      <c r="K61" s="76">
        <f t="shared" si="15"/>
        <v>5</v>
      </c>
      <c r="L61" s="76">
        <f t="shared" si="15"/>
        <v>5</v>
      </c>
      <c r="M61" s="76">
        <f t="shared" si="15"/>
        <v>5</v>
      </c>
      <c r="N61" s="76">
        <f t="shared" si="15"/>
        <v>5</v>
      </c>
      <c r="O61" s="76">
        <f t="shared" si="15"/>
        <v>7</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54</v>
      </c>
      <c r="C62" s="77">
        <f>B32</f>
        <v>54</v>
      </c>
      <c r="D62" s="77">
        <f>B33</f>
        <v>54</v>
      </c>
      <c r="E62" s="77">
        <f>B34</f>
        <v>54</v>
      </c>
      <c r="F62" s="77">
        <f>B35</f>
        <v>54</v>
      </c>
      <c r="G62" s="77">
        <f>B36</f>
        <v>54</v>
      </c>
      <c r="H62" s="77">
        <f>B37</f>
        <v>54</v>
      </c>
      <c r="I62" s="77">
        <f>B38</f>
        <v>54</v>
      </c>
      <c r="J62" s="77">
        <f>B39</f>
        <v>54</v>
      </c>
      <c r="K62" s="77">
        <f>B40</f>
        <v>54</v>
      </c>
      <c r="L62" s="77">
        <f>B41</f>
        <v>54</v>
      </c>
      <c r="M62" s="77">
        <f>B42</f>
        <v>54</v>
      </c>
      <c r="N62" s="77">
        <f>B43</f>
        <v>54</v>
      </c>
      <c r="O62" s="77">
        <f>B44</f>
        <v>54</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1.0000000000000009</v>
      </c>
      <c r="D64" s="77">
        <f t="shared" si="17"/>
        <v>-3.9999999999999991</v>
      </c>
      <c r="E64" s="77">
        <f t="shared" si="17"/>
        <v>4.2000000000000037</v>
      </c>
      <c r="F64" s="77">
        <f t="shared" si="17"/>
        <v>-1.4999999999999991</v>
      </c>
      <c r="G64" s="77">
        <f t="shared" si="17"/>
        <v>-1.4999999999999991</v>
      </c>
      <c r="H64" s="77">
        <f t="shared" si="17"/>
        <v>0.50000000000000266</v>
      </c>
      <c r="I64" s="77">
        <f t="shared" si="17"/>
        <v>0.50000000000000266</v>
      </c>
      <c r="J64" s="77">
        <f t="shared" si="17"/>
        <v>-1.9999999999999973</v>
      </c>
      <c r="K64" s="77">
        <f t="shared" si="17"/>
        <v>-2.5</v>
      </c>
      <c r="L64" s="77">
        <f t="shared" si="17"/>
        <v>-2.5</v>
      </c>
      <c r="M64" s="77">
        <f t="shared" si="17"/>
        <v>-1.4999999999999991</v>
      </c>
      <c r="N64" s="77">
        <f t="shared" si="17"/>
        <v>-2.5</v>
      </c>
      <c r="O64" s="77">
        <f t="shared" si="17"/>
        <v>1.4000000000000012</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-1.0000000000000009</v>
      </c>
      <c r="D65" s="77">
        <f t="shared" si="18"/>
        <v>3.9999999999999991</v>
      </c>
      <c r="E65" s="77">
        <f t="shared" si="18"/>
        <v>-4.2000000000000037</v>
      </c>
      <c r="F65" s="77">
        <f t="shared" si="18"/>
        <v>1.4999999999999991</v>
      </c>
      <c r="G65" s="77">
        <f t="shared" si="18"/>
        <v>1.4999999999999991</v>
      </c>
      <c r="H65" s="77">
        <f t="shared" si="18"/>
        <v>-0.50000000000000266</v>
      </c>
      <c r="I65" s="77">
        <f t="shared" si="18"/>
        <v>-0.50000000000000266</v>
      </c>
      <c r="J65" s="77">
        <f t="shared" si="18"/>
        <v>1.9999999999999973</v>
      </c>
      <c r="K65" s="77">
        <f t="shared" si="18"/>
        <v>2.5</v>
      </c>
      <c r="L65" s="77">
        <f t="shared" si="18"/>
        <v>2.5</v>
      </c>
      <c r="M65" s="77">
        <f t="shared" si="18"/>
        <v>1.4999999999999991</v>
      </c>
      <c r="N65" s="77">
        <f t="shared" si="18"/>
        <v>2.5</v>
      </c>
      <c r="O65" s="77">
        <f t="shared" si="18"/>
        <v>-1.4000000000000012</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OVER</v>
      </c>
      <c r="E66" s="78" t="str">
        <f t="shared" si="19"/>
        <v>UNDER</v>
      </c>
      <c r="F66" s="78" t="str">
        <f t="shared" si="19"/>
        <v>OVER</v>
      </c>
      <c r="G66" s="78" t="str">
        <f t="shared" si="19"/>
        <v>OVER</v>
      </c>
      <c r="H66" s="78" t="str">
        <f t="shared" si="19"/>
        <v>UNDER</v>
      </c>
      <c r="I66" s="78" t="str">
        <f t="shared" si="19"/>
        <v>UNDER</v>
      </c>
      <c r="J66" s="78" t="str">
        <f t="shared" si="19"/>
        <v>OVER</v>
      </c>
      <c r="K66" s="78" t="str">
        <f t="shared" si="19"/>
        <v>OVER</v>
      </c>
      <c r="L66" s="78" t="str">
        <f t="shared" si="19"/>
        <v>OVER</v>
      </c>
      <c r="M66" s="78" t="str">
        <f t="shared" si="19"/>
        <v>OVER</v>
      </c>
      <c r="N66" s="78" t="str">
        <f t="shared" si="19"/>
        <v>OVER</v>
      </c>
      <c r="O66" s="78" t="str">
        <f t="shared" si="19"/>
        <v>UNDER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77" priority="39" operator="equal">
      <formula>"DECREASE"</formula>
    </cfRule>
    <cfRule type="cellIs" dxfId="376" priority="40" operator="equal">
      <formula>"INCREASE"</formula>
    </cfRule>
  </conditionalFormatting>
  <conditionalFormatting sqref="B62:U66 B31:B50">
    <cfRule type="cellIs" dxfId="375" priority="38" operator="greaterThan">
      <formula>$B$51</formula>
    </cfRule>
  </conditionalFormatting>
  <conditionalFormatting sqref="C31:C50">
    <cfRule type="cellIs" dxfId="374" priority="37" operator="greaterThan">
      <formula>$C$51</formula>
    </cfRule>
  </conditionalFormatting>
  <conditionalFormatting sqref="C18:V18">
    <cfRule type="cellIs" dxfId="373" priority="36" operator="equal">
      <formula>0</formula>
    </cfRule>
  </conditionalFormatting>
  <conditionalFormatting sqref="C17:V17">
    <cfRule type="cellIs" dxfId="372" priority="35" operator="equal">
      <formula>0</formula>
    </cfRule>
  </conditionalFormatting>
  <conditionalFormatting sqref="C19:V19">
    <cfRule type="cellIs" dxfId="371" priority="34" operator="equal">
      <formula>0</formula>
    </cfRule>
  </conditionalFormatting>
  <conditionalFormatting sqref="G31:G50">
    <cfRule type="cellIs" dxfId="370" priority="33" operator="greaterThan">
      <formula>$G$51</formula>
    </cfRule>
  </conditionalFormatting>
  <conditionalFormatting sqref="H31:H50">
    <cfRule type="cellIs" dxfId="369" priority="32" operator="greaterThan">
      <formula>$H$51</formula>
    </cfRule>
  </conditionalFormatting>
  <conditionalFormatting sqref="I31:I50">
    <cfRule type="cellIs" dxfId="368" priority="31" operator="greaterThan">
      <formula>$I$51</formula>
    </cfRule>
  </conditionalFormatting>
  <conditionalFormatting sqref="K31:K50">
    <cfRule type="cellIs" dxfId="367" priority="30" operator="greaterThan">
      <formula>$K$51</formula>
    </cfRule>
  </conditionalFormatting>
  <conditionalFormatting sqref="L31:L50">
    <cfRule type="cellIs" dxfId="366" priority="29" operator="greaterThan">
      <formula>$L$51</formula>
    </cfRule>
  </conditionalFormatting>
  <conditionalFormatting sqref="M31:M50">
    <cfRule type="cellIs" dxfId="365" priority="28" operator="greaterThan">
      <formula>$M$51</formula>
    </cfRule>
  </conditionalFormatting>
  <conditionalFormatting sqref="P31:P50">
    <cfRule type="cellIs" dxfId="364" priority="27" operator="greaterThan">
      <formula>$P$51</formula>
    </cfRule>
  </conditionalFormatting>
  <conditionalFormatting sqref="R31:R50">
    <cfRule type="cellIs" dxfId="363" priority="26" operator="greaterThan">
      <formula>$R$51</formula>
    </cfRule>
  </conditionalFormatting>
  <conditionalFormatting sqref="S31:S50">
    <cfRule type="cellIs" dxfId="362" priority="25" operator="greaterThan">
      <formula>$S$51</formula>
    </cfRule>
  </conditionalFormatting>
  <conditionalFormatting sqref="T31:T50">
    <cfRule type="cellIs" dxfId="361" priority="24" operator="greaterThan">
      <formula>$T$51</formula>
    </cfRule>
  </conditionalFormatting>
  <conditionalFormatting sqref="U31:U50">
    <cfRule type="cellIs" dxfId="360" priority="23" operator="greaterThan">
      <formula>$U$51</formula>
    </cfRule>
  </conditionalFormatting>
  <conditionalFormatting sqref="C22:V22">
    <cfRule type="cellIs" dxfId="359" priority="22" operator="equal">
      <formula>0</formula>
    </cfRule>
  </conditionalFormatting>
  <conditionalFormatting sqref="C24:V24">
    <cfRule type="cellIs" dxfId="358" priority="20" operator="equal">
      <formula>"DECREASE"</formula>
    </cfRule>
    <cfRule type="cellIs" dxfId="357" priority="21" operator="equal">
      <formula>"INCREASE"</formula>
    </cfRule>
  </conditionalFormatting>
  <conditionalFormatting sqref="C23:V23">
    <cfRule type="cellIs" dxfId="356" priority="19" operator="equal">
      <formula>0</formula>
    </cfRule>
  </conditionalFormatting>
  <conditionalFormatting sqref="C21:V21">
    <cfRule type="cellIs" dxfId="355" priority="15" operator="equal">
      <formula>0</formula>
    </cfRule>
  </conditionalFormatting>
  <conditionalFormatting sqref="B66:U66">
    <cfRule type="cellIs" dxfId="354" priority="13" operator="equal">
      <formula>"UNDER"</formula>
    </cfRule>
    <cfRule type="cellIs" dxfId="353" priority="14" operator="equal">
      <formula>"OVER"</formula>
    </cfRule>
  </conditionalFormatting>
  <conditionalFormatting sqref="J31:J50">
    <cfRule type="cellIs" dxfId="352" priority="10" operator="greaterThan">
      <formula>$J$51</formula>
    </cfRule>
  </conditionalFormatting>
  <conditionalFormatting sqref="L3">
    <cfRule type="cellIs" dxfId="351" priority="6" operator="lessThan">
      <formula>30</formula>
    </cfRule>
    <cfRule type="cellIs" dxfId="350" priority="7" operator="greaterThanOrEqual">
      <formula>30</formula>
    </cfRule>
  </conditionalFormatting>
  <conditionalFormatting sqref="I3">
    <cfRule type="cellIs" dxfId="349" priority="3" operator="greaterThan">
      <formula>40000.01</formula>
    </cfRule>
  </conditionalFormatting>
  <conditionalFormatting sqref="I1">
    <cfRule type="cellIs" dxfId="348" priority="2" operator="between">
      <formula>0.1</formula>
      <formula>5</formula>
    </cfRule>
  </conditionalFormatting>
  <conditionalFormatting sqref="I2">
    <cfRule type="cellIs" dxfId="347" priority="1" operator="greaterThan">
      <formula>5000.1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B32" sqref="B32:B4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9" t="s">
        <v>41</v>
      </c>
      <c r="B1" s="129"/>
      <c r="C1" s="142" t="str">
        <f>'Field data and Waste 1'!C1:D1</f>
        <v>PAN-019532</v>
      </c>
      <c r="D1" s="143"/>
      <c r="E1" s="93" t="s">
        <v>45</v>
      </c>
      <c r="F1" s="39">
        <f>'Field data and Waste 1'!F1</f>
        <v>18.100000000000001</v>
      </c>
      <c r="G1" s="125" t="s">
        <v>43</v>
      </c>
      <c r="H1" s="126"/>
      <c r="I1" s="120">
        <v>7.0469999999999997</v>
      </c>
      <c r="J1" s="129" t="s">
        <v>153</v>
      </c>
      <c r="K1" s="129"/>
      <c r="L1" s="120">
        <v>140</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9" t="s">
        <v>87</v>
      </c>
      <c r="B2" s="129"/>
      <c r="C2" s="144" t="str">
        <f>'Field data and Waste 1'!C2:D2</f>
        <v>EPR-KP3594VE</v>
      </c>
      <c r="D2" s="145"/>
      <c r="E2" s="93" t="s">
        <v>109</v>
      </c>
      <c r="F2" s="120" t="s">
        <v>169</v>
      </c>
      <c r="G2" s="127" t="s">
        <v>110</v>
      </c>
      <c r="H2" s="128"/>
      <c r="I2" s="120">
        <v>613</v>
      </c>
      <c r="J2" s="129" t="s">
        <v>158</v>
      </c>
      <c r="K2" s="129"/>
      <c r="L2" s="120">
        <v>0.36</v>
      </c>
      <c r="AB2" s="30" t="s">
        <v>56</v>
      </c>
      <c r="AC2" s="17"/>
      <c r="AD2" s="30" t="s">
        <v>70</v>
      </c>
      <c r="AE2" s="17"/>
      <c r="AF2" s="17"/>
      <c r="AG2" s="44" t="s">
        <v>76</v>
      </c>
      <c r="AH2" s="18"/>
      <c r="AI2" s="45" t="s">
        <v>126</v>
      </c>
      <c r="AJ2" s="46">
        <v>0</v>
      </c>
      <c r="AK2" s="47">
        <v>0</v>
      </c>
      <c r="AL2" s="10">
        <v>0</v>
      </c>
      <c r="AM2" s="11">
        <v>0</v>
      </c>
      <c r="AN2" s="11">
        <v>0</v>
      </c>
    </row>
    <row r="3" spans="1:41" ht="13" x14ac:dyDescent="0.25">
      <c r="A3" s="125" t="s">
        <v>42</v>
      </c>
      <c r="B3" s="126"/>
      <c r="C3" s="144" t="str">
        <f>'Field data and Waste 1'!C3:D3</f>
        <v xml:space="preserve">Trade effluent services </v>
      </c>
      <c r="D3" s="145"/>
      <c r="E3" s="93" t="s">
        <v>108</v>
      </c>
      <c r="F3" s="31" t="s">
        <v>78</v>
      </c>
      <c r="G3" s="129" t="s">
        <v>159</v>
      </c>
      <c r="H3" s="129"/>
      <c r="I3" s="118"/>
      <c r="J3" s="125" t="s">
        <v>154</v>
      </c>
      <c r="K3" s="126"/>
      <c r="L3" s="97">
        <f>(L1/(L2*10000))*100</f>
        <v>3.8888888888888888</v>
      </c>
      <c r="AB3" s="30" t="s">
        <v>57</v>
      </c>
      <c r="AC3" s="17"/>
      <c r="AD3" s="30" t="s">
        <v>71</v>
      </c>
      <c r="AE3" s="17"/>
      <c r="AF3" s="17"/>
      <c r="AG3" s="44" t="s">
        <v>77</v>
      </c>
      <c r="AH3" s="18"/>
      <c r="AI3" s="48" t="s">
        <v>113</v>
      </c>
      <c r="AJ3" s="49">
        <v>1.7</v>
      </c>
      <c r="AK3" s="50">
        <v>6</v>
      </c>
      <c r="AL3" s="51">
        <v>1</v>
      </c>
      <c r="AM3" s="11">
        <v>6.2</v>
      </c>
      <c r="AN3" s="11" t="s">
        <v>112</v>
      </c>
    </row>
    <row r="4" spans="1:41" ht="13" x14ac:dyDescent="0.25">
      <c r="A4" s="129" t="s">
        <v>0</v>
      </c>
      <c r="B4" s="129"/>
      <c r="C4" s="142" t="str">
        <f>'Field data and Waste 1'!C4:D4</f>
        <v>Play Yn Llan, Llangynhafal, LL16 4LN</v>
      </c>
      <c r="D4" s="143"/>
      <c r="E4" s="94" t="s">
        <v>1</v>
      </c>
      <c r="F4" s="120" t="s">
        <v>170</v>
      </c>
      <c r="G4" s="125"/>
      <c r="H4" s="126"/>
      <c r="I4" s="39"/>
      <c r="J4" s="125"/>
      <c r="K4" s="126"/>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9" t="s">
        <v>47</v>
      </c>
      <c r="B5" s="129"/>
      <c r="C5" s="142" t="str">
        <f>'Field data and Waste 1'!C5:D5</f>
        <v xml:space="preserve">Ethan Banfield </v>
      </c>
      <c r="D5" s="143"/>
      <c r="E5" s="93"/>
      <c r="F5" s="39"/>
      <c r="G5" s="125"/>
      <c r="H5" s="126"/>
      <c r="I5" s="39"/>
      <c r="J5" s="125"/>
      <c r="K5" s="126"/>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9" t="s">
        <v>2</v>
      </c>
      <c r="B8" s="129"/>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8</v>
      </c>
      <c r="J8" s="60">
        <f>'Field data and Waste 1'!J8</f>
        <v>7</v>
      </c>
      <c r="K8" s="60">
        <f>'Field data and Waste 1'!K8</f>
        <v>9</v>
      </c>
      <c r="L8" s="60">
        <f>'Field data and Waste 1'!L8</f>
        <v>10</v>
      </c>
      <c r="M8" s="60">
        <f>'Field data and Waste 1'!M8</f>
        <v>11</v>
      </c>
      <c r="N8" s="60">
        <f>'Field data and Waste 1'!N8</f>
        <v>12</v>
      </c>
      <c r="O8" s="60">
        <f>'Field data and Waste 1'!O8</f>
        <v>13</v>
      </c>
      <c r="P8" s="60" t="str">
        <f>'Field data and Waste 1'!P8</f>
        <v>7a</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9" t="s">
        <v>3</v>
      </c>
      <c r="B9" s="129"/>
      <c r="C9" s="60" t="str">
        <f>'Field data and Waste 1'!C9</f>
        <v>Moderate</v>
      </c>
      <c r="D9" s="60" t="str">
        <f>'Field data and Waste 1'!D9</f>
        <v>Moderate</v>
      </c>
      <c r="E9" s="60" t="str">
        <f>'Field data and Waste 1'!E9</f>
        <v>moderate</v>
      </c>
      <c r="F9" s="60">
        <f>'Field data and Waste 1'!F9</f>
        <v>1</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f>'Field data and Waste 1'!P9</f>
        <v>1</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9" t="s">
        <v>4</v>
      </c>
      <c r="B10" s="129"/>
      <c r="C10" s="60">
        <f>'Field data and Waste 1'!C10</f>
        <v>6.2</v>
      </c>
      <c r="D10" s="60">
        <f>'Field data and Waste 1'!D10</f>
        <v>6</v>
      </c>
      <c r="E10" s="60">
        <f>'Field data and Waste 1'!E10</f>
        <v>7</v>
      </c>
      <c r="F10" s="60">
        <f>'Field data and Waste 1'!F10</f>
        <v>6.1</v>
      </c>
      <c r="G10" s="60">
        <f>'Field data and Waste 1'!G10</f>
        <v>6.5</v>
      </c>
      <c r="H10" s="60">
        <f>'Field data and Waste 1'!H10</f>
        <v>6.5</v>
      </c>
      <c r="I10" s="60">
        <f>'Field data and Waste 1'!I10</f>
        <v>6.1</v>
      </c>
      <c r="J10" s="60">
        <f>'Field data and Waste 1'!J10</f>
        <v>6.1</v>
      </c>
      <c r="K10" s="60">
        <f>'Field data and Waste 1'!K10</f>
        <v>6.6</v>
      </c>
      <c r="L10" s="60">
        <f>'Field data and Waste 1'!L10</f>
        <v>6.7</v>
      </c>
      <c r="M10" s="60">
        <f>'Field data and Waste 1'!M10</f>
        <v>6.7</v>
      </c>
      <c r="N10" s="60">
        <f>'Field data and Waste 1'!N10</f>
        <v>6.5</v>
      </c>
      <c r="O10" s="60">
        <f>'Field data and Waste 1'!O10</f>
        <v>6.7</v>
      </c>
      <c r="P10" s="60">
        <f>'Field data and Waste 1'!P10</f>
        <v>6.5</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9" t="s">
        <v>5</v>
      </c>
      <c r="B11" s="129"/>
      <c r="C11" s="60">
        <f>'Field data and Waste 1'!C11</f>
        <v>2</v>
      </c>
      <c r="D11" s="60">
        <f>'Field data and Waste 1'!D11</f>
        <v>1</v>
      </c>
      <c r="E11" s="60">
        <f>'Field data and Waste 1'!E11</f>
        <v>1</v>
      </c>
      <c r="F11" s="60">
        <f>'Field data and Waste 1'!F11</f>
        <v>2</v>
      </c>
      <c r="G11" s="60">
        <f>'Field data and Waste 1'!G11</f>
        <v>1</v>
      </c>
      <c r="H11" s="60">
        <f>'Field data and Waste 1'!H11</f>
        <v>2</v>
      </c>
      <c r="I11" s="60">
        <f>'Field data and Waste 1'!I11</f>
        <v>1</v>
      </c>
      <c r="J11" s="60">
        <f>'Field data and Waste 1'!J11</f>
        <v>1</v>
      </c>
      <c r="K11" s="60">
        <f>'Field data and Waste 1'!K11</f>
        <v>0</v>
      </c>
      <c r="L11" s="60">
        <f>'Field data and Waste 1'!L11</f>
        <v>0</v>
      </c>
      <c r="M11" s="60">
        <f>'Field data and Waste 1'!M11</f>
        <v>1</v>
      </c>
      <c r="N11" s="60">
        <f>'Field data and Waste 1'!N11</f>
        <v>1</v>
      </c>
      <c r="O11" s="60">
        <f>'Field data and Waste 1'!O11</f>
        <v>1</v>
      </c>
      <c r="P11" s="60">
        <f>'Field data and Waste 1'!P11</f>
        <v>3</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9" t="s">
        <v>6</v>
      </c>
      <c r="B12" s="129"/>
      <c r="C12" s="60">
        <f>'Field data and Waste 1'!C12</f>
        <v>2</v>
      </c>
      <c r="D12" s="60">
        <f>'Field data and Waste 1'!D12</f>
        <v>2</v>
      </c>
      <c r="E12" s="60">
        <f>'Field data and Waste 1'!E12</f>
        <v>1</v>
      </c>
      <c r="F12" s="60">
        <f>'Field data and Waste 1'!F12</f>
        <v>1</v>
      </c>
      <c r="G12" s="60">
        <f>'Field data and Waste 1'!G12</f>
        <v>2</v>
      </c>
      <c r="H12" s="60">
        <f>'Field data and Waste 1'!H12</f>
        <v>3</v>
      </c>
      <c r="I12" s="60">
        <f>'Field data and Waste 1'!I12</f>
        <v>3</v>
      </c>
      <c r="J12" s="60">
        <f>'Field data and Waste 1'!J12</f>
        <v>2</v>
      </c>
      <c r="K12" s="60">
        <f>'Field data and Waste 1'!K12</f>
        <v>2</v>
      </c>
      <c r="L12" s="60">
        <f>'Field data and Waste 1'!L12</f>
        <v>1</v>
      </c>
      <c r="M12" s="60">
        <f>'Field data and Waste 1'!M12</f>
        <v>1</v>
      </c>
      <c r="N12" s="60">
        <f>'Field data and Waste 1'!N12</f>
        <v>2</v>
      </c>
      <c r="O12" s="60">
        <f>'Field data and Waste 1'!O12</f>
        <v>2</v>
      </c>
      <c r="P12" s="60">
        <f>'Field data and Waste 1'!P12</f>
        <v>3</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9" t="s">
        <v>7</v>
      </c>
      <c r="B13" s="129"/>
      <c r="C13" s="60">
        <f>'Field data and Waste 1'!C13</f>
        <v>2</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2</v>
      </c>
      <c r="L13" s="60">
        <f>'Field data and Waste 1'!L13</f>
        <v>3</v>
      </c>
      <c r="M13" s="60">
        <f>'Field data and Waste 1'!M13</f>
        <v>2</v>
      </c>
      <c r="N13" s="60">
        <f>'Field data and Waste 1'!N13</f>
        <v>2</v>
      </c>
      <c r="O13" s="60">
        <f>'Field data and Waste 1'!O13</f>
        <v>2</v>
      </c>
      <c r="P13" s="60">
        <f>'Field data and Waste 1'!P13</f>
        <v>3</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8" t="s">
        <v>8</v>
      </c>
      <c r="B14" s="138"/>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Maize- Silage (30% DM)</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Maize- Silage (30% DM)</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7" t="s">
        <v>9</v>
      </c>
      <c r="B15" s="137"/>
      <c r="C15" s="60">
        <f>'Field data and Waste 1'!C15</f>
        <v>38</v>
      </c>
      <c r="D15" s="60">
        <f>'Field data and Waste 1'!D15</f>
        <v>38</v>
      </c>
      <c r="E15" s="60">
        <f>'Field data and Waste 1'!E15</f>
        <v>38</v>
      </c>
      <c r="F15" s="60">
        <f>'Field data and Waste 1'!F15</f>
        <v>40</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40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9" t="s">
        <v>44</v>
      </c>
      <c r="B16" s="139"/>
      <c r="C16" s="103" t="str">
        <f>'Field data and Waste 1'!C16</f>
        <v>Sandy Loam</v>
      </c>
      <c r="D16" s="103" t="str">
        <f>'Field data and Waste 1'!D16</f>
        <v>Sandy Loam</v>
      </c>
      <c r="E16" s="103" t="str">
        <f>'Field data and Waste 1'!E16</f>
        <v>Sandy Loam</v>
      </c>
      <c r="F16" s="103" t="str">
        <f>'Field data and Waste 1'!F16</f>
        <v>Sandy Loam</v>
      </c>
      <c r="G16" s="103" t="str">
        <f>'Field data and Waste 1'!G16</f>
        <v>Sandy Loam</v>
      </c>
      <c r="H16" s="103" t="str">
        <f>'Field data and Waste 1'!H16</f>
        <v>Sandy Loam</v>
      </c>
      <c r="I16" s="103" t="str">
        <f>'Field data and Waste 1'!I16</f>
        <v>Sandy Loam</v>
      </c>
      <c r="J16" s="103" t="str">
        <f>'Field data and Waste 1'!J16</f>
        <v>Sandy Loam</v>
      </c>
      <c r="K16" s="103" t="str">
        <f>'Field data and Waste 1'!K16</f>
        <v>Sandy Loam</v>
      </c>
      <c r="L16" s="103" t="str">
        <f>'Field data and Waste 1'!L16</f>
        <v>Sandy Loam</v>
      </c>
      <c r="M16" s="103" t="str">
        <f>'Field data and Waste 1'!M16</f>
        <v>Sandy Loam</v>
      </c>
      <c r="N16" s="103" t="str">
        <f>'Field data and Waste 1'!N16</f>
        <v>Sandy Loam</v>
      </c>
      <c r="O16" s="103" t="str">
        <f>'Field data and Waste 1'!O16</f>
        <v>Sandy Loam</v>
      </c>
      <c r="P16" s="103" t="str">
        <f>'Field data and Waste 1'!P16</f>
        <v>Sandy Loam</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5" t="s">
        <v>69</v>
      </c>
      <c r="B17" s="136"/>
      <c r="C17" s="28">
        <f>(VLOOKUP(C$14,$AI2:$AK26,2,FALSE))*C$15</f>
        <v>64.599999999999994</v>
      </c>
      <c r="D17" s="28">
        <f t="shared" ref="D17:V17" si="0">(VLOOKUP(D$14,$AI2:$AK26,2,FALSE))*D$15</f>
        <v>64.599999999999994</v>
      </c>
      <c r="E17" s="28">
        <f t="shared" si="0"/>
        <v>64.599999999999994</v>
      </c>
      <c r="F17" s="28">
        <f t="shared" si="0"/>
        <v>56</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56</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3" t="s">
        <v>23</v>
      </c>
      <c r="B18" s="134"/>
      <c r="C18" s="16">
        <f>$D31</f>
        <v>63.967011000000007</v>
      </c>
      <c r="D18" s="16">
        <f>$D32</f>
        <v>63.967011000000007</v>
      </c>
      <c r="E18" s="16">
        <f>$D33</f>
        <v>63.967011000000007</v>
      </c>
      <c r="F18" s="16">
        <f>$D34</f>
        <v>63.967011000000007</v>
      </c>
      <c r="G18" s="16">
        <f>$D35</f>
        <v>63.967011000000007</v>
      </c>
      <c r="H18" s="16">
        <f>$D36</f>
        <v>63.967011000000007</v>
      </c>
      <c r="I18" s="16">
        <f>$D37</f>
        <v>63.967011000000007</v>
      </c>
      <c r="J18" s="16">
        <f>$D38</f>
        <v>63.967011000000007</v>
      </c>
      <c r="K18" s="16">
        <f>$D39</f>
        <v>63.967011000000007</v>
      </c>
      <c r="L18" s="16">
        <f>$D40</f>
        <v>63.967011000000007</v>
      </c>
      <c r="M18" s="16">
        <f>$D41</f>
        <v>63.967011000000007</v>
      </c>
      <c r="N18" s="16">
        <f>$D42</f>
        <v>63.967011000000007</v>
      </c>
      <c r="O18" s="16">
        <f>$D43</f>
        <v>63.967011000000007</v>
      </c>
      <c r="P18" s="16">
        <f>$D44</f>
        <v>63.967011000000007</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3" t="s">
        <v>90</v>
      </c>
      <c r="B19" s="134"/>
      <c r="C19" s="16">
        <f>C18-C17</f>
        <v>-0.63298899999998781</v>
      </c>
      <c r="D19" s="16">
        <f t="shared" ref="D19:V19" si="1">D18-D17</f>
        <v>-0.63298899999998781</v>
      </c>
      <c r="E19" s="16">
        <f t="shared" si="1"/>
        <v>-0.63298899999998781</v>
      </c>
      <c r="F19" s="16">
        <f t="shared" si="1"/>
        <v>7.9670110000000065</v>
      </c>
      <c r="G19" s="16">
        <f t="shared" si="1"/>
        <v>-0.63298899999998781</v>
      </c>
      <c r="H19" s="16">
        <f t="shared" si="1"/>
        <v>-0.63298899999998781</v>
      </c>
      <c r="I19" s="16">
        <f t="shared" si="1"/>
        <v>-0.63298899999998781</v>
      </c>
      <c r="J19" s="16">
        <f t="shared" si="1"/>
        <v>-0.63298899999998781</v>
      </c>
      <c r="K19" s="16">
        <f t="shared" si="1"/>
        <v>-0.63298899999998781</v>
      </c>
      <c r="L19" s="16">
        <f t="shared" si="1"/>
        <v>-0.63298899999998781</v>
      </c>
      <c r="M19" s="16">
        <f t="shared" si="1"/>
        <v>-0.63298899999998781</v>
      </c>
      <c r="N19" s="16">
        <f t="shared" si="1"/>
        <v>-0.63298899999998781</v>
      </c>
      <c r="O19" s="16">
        <f t="shared" si="1"/>
        <v>-0.63298899999998781</v>
      </c>
      <c r="P19" s="16">
        <f t="shared" si="1"/>
        <v>7.9670110000000065</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1" t="s">
        <v>91</v>
      </c>
      <c r="B20" s="132"/>
      <c r="C20" s="26" t="str">
        <f>IF($B31="","",IF(C$19&gt;=0,"INCREASE","DECREASE"))</f>
        <v>DECREASE</v>
      </c>
      <c r="D20" s="26" t="str">
        <f>IF($B32="","",IF(D$19&gt;=0,"INCREASE","DECREASE"))</f>
        <v>DECREASE</v>
      </c>
      <c r="E20" s="26" t="str">
        <f>IF($B33="","",IF(E$19&gt;=0,"INCREASE","DECREASE"))</f>
        <v>DECREASE</v>
      </c>
      <c r="F20" s="26" t="str">
        <f>IF($B34="","",IF(F$19&gt;=0,"INCREASE","DECREASE"))</f>
        <v>INCREASE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INCREASE</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5" t="s">
        <v>88</v>
      </c>
      <c r="B21" s="136"/>
      <c r="C21" s="28">
        <f>(VLOOKUP(C$14,$AI2:$AK26,3,FALSE))*C$15</f>
        <v>228</v>
      </c>
      <c r="D21" s="28">
        <f t="shared" ref="D21:V21" si="2">(VLOOKUP(D$14,$AI2:$AK24,3,FALSE))*D$15</f>
        <v>228</v>
      </c>
      <c r="E21" s="28">
        <f t="shared" si="2"/>
        <v>228</v>
      </c>
      <c r="F21" s="28">
        <f t="shared" si="2"/>
        <v>176</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176</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3" t="s">
        <v>89</v>
      </c>
      <c r="B22" s="134"/>
      <c r="C22" s="16">
        <f>$E31</f>
        <v>13.586375000000002</v>
      </c>
      <c r="D22" s="16">
        <f>$E32</f>
        <v>13.586375000000002</v>
      </c>
      <c r="E22" s="16">
        <f>$E33</f>
        <v>13.586375000000002</v>
      </c>
      <c r="F22" s="16">
        <f>$E34</f>
        <v>13.586375000000002</v>
      </c>
      <c r="G22" s="16">
        <f>$E35</f>
        <v>13.586375000000002</v>
      </c>
      <c r="H22" s="16">
        <f>$E36</f>
        <v>13.586375000000002</v>
      </c>
      <c r="I22" s="16">
        <f>$E37</f>
        <v>13.586375000000002</v>
      </c>
      <c r="J22" s="16">
        <f>$E38</f>
        <v>13.586375000000002</v>
      </c>
      <c r="K22" s="16">
        <f>$E39</f>
        <v>13.586375000000002</v>
      </c>
      <c r="L22" s="16">
        <f>$E40</f>
        <v>13.586375000000002</v>
      </c>
      <c r="M22" s="16">
        <f>$E41</f>
        <v>13.586375000000002</v>
      </c>
      <c r="N22" s="16">
        <f>$E42</f>
        <v>13.586375000000002</v>
      </c>
      <c r="O22" s="16">
        <f>$E43</f>
        <v>13.586375000000002</v>
      </c>
      <c r="P22" s="16">
        <f>$E44</f>
        <v>13.586375000000002</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3" t="s">
        <v>92</v>
      </c>
      <c r="B23" s="134"/>
      <c r="C23" s="16">
        <f>C22-C21</f>
        <v>-214.413625</v>
      </c>
      <c r="D23" s="16">
        <f t="shared" ref="D23:V23" si="3">D22-D21</f>
        <v>-214.413625</v>
      </c>
      <c r="E23" s="16">
        <f t="shared" si="3"/>
        <v>-214.413625</v>
      </c>
      <c r="F23" s="16">
        <f t="shared" si="3"/>
        <v>-162.413625</v>
      </c>
      <c r="G23" s="16">
        <f t="shared" si="3"/>
        <v>-214.413625</v>
      </c>
      <c r="H23" s="16">
        <f t="shared" si="3"/>
        <v>-214.413625</v>
      </c>
      <c r="I23" s="16">
        <f t="shared" si="3"/>
        <v>-214.413625</v>
      </c>
      <c r="J23" s="16">
        <f t="shared" si="3"/>
        <v>-214.413625</v>
      </c>
      <c r="K23" s="16">
        <f t="shared" si="3"/>
        <v>-214.413625</v>
      </c>
      <c r="L23" s="16">
        <f t="shared" si="3"/>
        <v>-214.413625</v>
      </c>
      <c r="M23" s="16">
        <f t="shared" si="3"/>
        <v>-214.413625</v>
      </c>
      <c r="N23" s="16">
        <f t="shared" si="3"/>
        <v>-214.413625</v>
      </c>
      <c r="O23" s="16">
        <f t="shared" si="3"/>
        <v>-214.413625</v>
      </c>
      <c r="P23" s="16">
        <f t="shared" si="3"/>
        <v>-162.413625</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1" t="s">
        <v>93</v>
      </c>
      <c r="B24" s="132"/>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35">
      <c r="A28" s="108"/>
      <c r="B28" s="24">
        <v>5.33</v>
      </c>
      <c r="C28" s="15">
        <v>0.36</v>
      </c>
      <c r="D28" s="15">
        <v>681</v>
      </c>
      <c r="E28" s="15">
        <v>275</v>
      </c>
      <c r="F28" s="15">
        <v>212</v>
      </c>
      <c r="G28" s="15">
        <v>1.48</v>
      </c>
      <c r="H28" s="15">
        <v>11.2</v>
      </c>
      <c r="I28" s="15">
        <v>0.5</v>
      </c>
      <c r="J28" s="15">
        <v>1.6E-2</v>
      </c>
      <c r="K28" s="23">
        <v>0.05</v>
      </c>
      <c r="L28" s="15">
        <v>0.318</v>
      </c>
      <c r="M28" s="15">
        <v>0.53300000000000003</v>
      </c>
      <c r="N28" s="15"/>
      <c r="O28" s="15"/>
      <c r="P28" s="15">
        <v>415</v>
      </c>
      <c r="Q28" s="15">
        <v>711</v>
      </c>
      <c r="R28" s="15"/>
      <c r="S28" s="15"/>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41</v>
      </c>
      <c r="C31" s="77">
        <f>IF(C$27="%w/w SAR",((C$28*10)*$B31),IF(C$27="%w/w DM",(((C$28*10)*($B$28/100))*$B31),IF(C$27="kg/t SAR",(C$28*$B31),IF(C$27="kg/t DM",((C$28*($B$28/100))*$B31),IF(C$27="mg/kg SAR",((C$28*0.001)*$B31),IF(C$27="mg/kg DM",(((C$28*0.001)*($B$28/100))*$B31),0))))))</f>
        <v>147.6</v>
      </c>
      <c r="D31" s="77">
        <f>(IF(D$27="%w/w SAR",((D$28*10)*$B31),IF(D$27="%w/w DM",(((D$28*10)*($B$28/100))*$B31),IF(D$27="kg/t SAR",(D$28*$B31),IF(D$27="kg/t DM",((D$28*($B$28/100))*$B31),IF(D$27="mg/kg SAR",((D$28*0.001)*$B31),IF(D$27="mg/kg DM",(((D$28*0.001)*($B$28/100))*$B31),"0")))))))*2.291</f>
        <v>63.967011000000007</v>
      </c>
      <c r="E31" s="77">
        <f>(IF(E$27="%w/w SAR",((E$28*10)*$B31),IF(E$27="%w/w DM",(((E$28*10)*($B$28/100))*$B31),IF(E$27="kg/t SAR",(E$28*$B31),IF(E$27="kg/t DM",((E$28*($B$28/100))*$B31),IF(E$27="mg/kg SAR",((E$28*0.001)*$B31),IF(E$27="mg/kg DM",(((E$28*0.001)*($B$28/100))*$B31),"0")))))))*1.205</f>
        <v>13.586375000000002</v>
      </c>
      <c r="F31" s="77">
        <f>(IF(F$27="%w/w SAR",((F$28*10)*$B31),IF(F$27="%w/w DM",(((F$28*10)*($B$28/100))*$B31),IF(F$27="kg/t SAR",(F$28*$B31),IF(F$27="kg/t DM",((F$28*($B$28/100))*$B31),IF(F$27="mg/kg SAR",((F$28*0.001)*$B31),IF(F$27="mg/kg DM",(((F$28*0.001)*($B$28/100))*$B31),"0")))))))*1.658</f>
        <v>14.411336</v>
      </c>
      <c r="G31" s="77">
        <f t="shared" ref="G31:P46" si="5">IF(G$27="%w/w SAR",((G$28*10)*$B31),IF(G$27="%w/w DM",(((G$28*10)*($B$28/100))*$B31),IF(G$27="kg/t SAR",(G$28*$B31),IF(G$27="kg/t DM",((G$28*($B$28/100))*$B31),IF(G$27="mg/kg SAR",((G$28*0.001)*$B31),IF(G$27="mg/kg DM",(((G$28*0.001)*($B$28/100))*$B31),0))))))</f>
        <v>6.0679999999999998E-2</v>
      </c>
      <c r="H31" s="77">
        <f t="shared" si="5"/>
        <v>0.4592</v>
      </c>
      <c r="I31" s="77">
        <f t="shared" si="5"/>
        <v>2.0500000000000001E-2</v>
      </c>
      <c r="J31" s="77">
        <f t="shared" si="5"/>
        <v>6.5600000000000001E-4</v>
      </c>
      <c r="K31" s="77">
        <f t="shared" si="5"/>
        <v>2.0500000000000002E-3</v>
      </c>
      <c r="L31" s="77">
        <f t="shared" si="5"/>
        <v>1.3038000000000001E-2</v>
      </c>
      <c r="M31" s="77">
        <f t="shared" si="5"/>
        <v>2.1853000000000001E-2</v>
      </c>
      <c r="N31" s="77">
        <f t="shared" si="5"/>
        <v>0</v>
      </c>
      <c r="O31" s="77">
        <f t="shared" si="5"/>
        <v>0</v>
      </c>
      <c r="P31" s="77">
        <f t="shared" si="5"/>
        <v>17.015000000000001</v>
      </c>
      <c r="Q31" s="77">
        <f>(IF(Q$27="%w/w SAR",((Q$28*10)*$B31),IF(Q$27="%w/w DM",(((Q$28*10)*($B$28/100))*$B31),IF(Q$27="kg/t SAR",(Q$28*$B31),IF(Q$27="kg/t DM",((Q$28*($B$28/100))*$B31),IF(Q$27="mg/kg SAR",((Q$28*0.001)*$B31),IF(Q$27="mg/kg DM",(((Q$28*0.001)*($B$28/100))*$B31),0)))))))*2.5</f>
        <v>72.877499999999998</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41</v>
      </c>
      <c r="C32" s="77">
        <f t="shared" ref="C32:C50" si="6">IF(C$27="%w/w SAR",((C$28*10)*$B32),IF(C$27="%w/w DM",(((C$28*10)*($B$28/100))*$B32),IF(C$27="kg/t SAR",(C$28*$B32),IF(C$27="kg/t DM",((C$28*($B$28/100))*$B32),IF(C$27="mg/kg SAR",((C$28*0.001)*$B32),IF(C$27="mg/kg DM",(((C$28*0.001)*($B$28/100))*$B32),0))))))</f>
        <v>147.6</v>
      </c>
      <c r="D32" s="77">
        <f t="shared" ref="D32:D50" si="7">(IF(D$27="%w/w SAR",((D$28*10)*$B32),IF(D$27="%w/w DM",(((D$28*10)*($B$28/100))*$B32),IF(D$27="kg/t SAR",(D$28*$B32),IF(D$27="kg/t DM",((D$28*($B$28/100))*$B32),IF(D$27="mg/kg SAR",((D$28*0.001)*$B32),IF(D$27="mg/kg DM",(((D$28*0.001)*($B$28/100))*$B32),"0")))))))*2.291</f>
        <v>63.967011000000007</v>
      </c>
      <c r="E32" s="77">
        <f t="shared" ref="E32:E50" si="8">(IF(E$27="%w/w SAR",((E$28*10)*$B32),IF(E$27="%w/w DM",(((E$28*10)*($B$28/100))*$B32),IF(E$27="kg/t SAR",(E$28*$B32),IF(E$27="kg/t DM",((E$28*($B$28/100))*$B32),IF(E$27="mg/kg SAR",((E$28*0.001)*$B32),IF(E$27="mg/kg DM",(((E$28*0.001)*($B$28/100))*$B32),"0")))))))*1.205</f>
        <v>13.586375000000002</v>
      </c>
      <c r="F32" s="77">
        <f t="shared" ref="F32:F50" si="9">(IF(F$27="%w/w SAR",((F$28*10)*$B32),IF(F$27="%w/w DM",(((F$28*10)*($B$28/100))*$B32),IF(F$27="kg/t SAR",(F$28*$B32),IF(F$27="kg/t DM",((F$28*($B$28/100))*$B32),IF(F$27="mg/kg SAR",((F$28*0.001)*$B32),IF(F$27="mg/kg DM",(((F$28*0.001)*($B$28/100))*$B32),"0")))))))*1.658</f>
        <v>14.411336</v>
      </c>
      <c r="G32" s="77">
        <f t="shared" si="5"/>
        <v>6.0679999999999998E-2</v>
      </c>
      <c r="H32" s="77">
        <f t="shared" si="5"/>
        <v>0.4592</v>
      </c>
      <c r="I32" s="77">
        <f t="shared" si="5"/>
        <v>2.0500000000000001E-2</v>
      </c>
      <c r="J32" s="77">
        <f t="shared" si="5"/>
        <v>6.5600000000000001E-4</v>
      </c>
      <c r="K32" s="77">
        <f t="shared" si="5"/>
        <v>2.0500000000000002E-3</v>
      </c>
      <c r="L32" s="77">
        <f t="shared" si="5"/>
        <v>1.3038000000000001E-2</v>
      </c>
      <c r="M32" s="77">
        <f t="shared" si="5"/>
        <v>2.1853000000000001E-2</v>
      </c>
      <c r="N32" s="77">
        <f t="shared" si="5"/>
        <v>0</v>
      </c>
      <c r="O32" s="77">
        <f t="shared" si="5"/>
        <v>0</v>
      </c>
      <c r="P32" s="77">
        <f t="shared" si="5"/>
        <v>17.015000000000001</v>
      </c>
      <c r="Q32" s="77">
        <f t="shared" ref="Q32:Q50" si="10">(IF(Q$27="%w/w SAR",((Q$28*10)*$B32),IF(Q$27="%w/w DM",(((Q$28*10)*($B$28/100))*$B32),IF(Q$27="kg/t SAR",(Q$28*$B32),IF(Q$27="kg/t DM",((Q$28*($B$28/100))*$B32),IF(Q$27="mg/kg SAR",((Q$28*0.001)*$B32),IF(Q$27="mg/kg DM",(((Q$28*0.001)*($B$28/100))*$B32),0)))))))*2.5</f>
        <v>72.877499999999998</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41</v>
      </c>
      <c r="C33" s="77">
        <f t="shared" si="6"/>
        <v>147.6</v>
      </c>
      <c r="D33" s="77">
        <f t="shared" si="7"/>
        <v>63.967011000000007</v>
      </c>
      <c r="E33" s="77">
        <f t="shared" si="8"/>
        <v>13.586375000000002</v>
      </c>
      <c r="F33" s="77">
        <f t="shared" si="9"/>
        <v>14.411336</v>
      </c>
      <c r="G33" s="77">
        <f t="shared" si="5"/>
        <v>6.0679999999999998E-2</v>
      </c>
      <c r="H33" s="77">
        <f t="shared" si="5"/>
        <v>0.4592</v>
      </c>
      <c r="I33" s="77">
        <f t="shared" si="5"/>
        <v>2.0500000000000001E-2</v>
      </c>
      <c r="J33" s="77">
        <f t="shared" si="5"/>
        <v>6.5600000000000001E-4</v>
      </c>
      <c r="K33" s="77">
        <f t="shared" si="5"/>
        <v>2.0500000000000002E-3</v>
      </c>
      <c r="L33" s="77">
        <f t="shared" si="5"/>
        <v>1.3038000000000001E-2</v>
      </c>
      <c r="M33" s="77">
        <f t="shared" si="5"/>
        <v>2.1853000000000001E-2</v>
      </c>
      <c r="N33" s="77">
        <f t="shared" si="5"/>
        <v>0</v>
      </c>
      <c r="O33" s="77">
        <f t="shared" si="5"/>
        <v>0</v>
      </c>
      <c r="P33" s="77">
        <f t="shared" si="5"/>
        <v>17.015000000000001</v>
      </c>
      <c r="Q33" s="77">
        <f t="shared" si="10"/>
        <v>72.877499999999998</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41</v>
      </c>
      <c r="C34" s="77">
        <f t="shared" si="6"/>
        <v>147.6</v>
      </c>
      <c r="D34" s="77">
        <f t="shared" si="7"/>
        <v>63.967011000000007</v>
      </c>
      <c r="E34" s="77">
        <f t="shared" si="8"/>
        <v>13.586375000000002</v>
      </c>
      <c r="F34" s="77">
        <f t="shared" si="9"/>
        <v>14.411336</v>
      </c>
      <c r="G34" s="77">
        <f t="shared" si="5"/>
        <v>6.0679999999999998E-2</v>
      </c>
      <c r="H34" s="77">
        <f t="shared" si="5"/>
        <v>0.4592</v>
      </c>
      <c r="I34" s="77">
        <f t="shared" si="5"/>
        <v>2.0500000000000001E-2</v>
      </c>
      <c r="J34" s="77">
        <f t="shared" si="5"/>
        <v>6.5600000000000001E-4</v>
      </c>
      <c r="K34" s="77">
        <f t="shared" si="5"/>
        <v>2.0500000000000002E-3</v>
      </c>
      <c r="L34" s="77">
        <f t="shared" si="5"/>
        <v>1.3038000000000001E-2</v>
      </c>
      <c r="M34" s="77">
        <f t="shared" si="5"/>
        <v>2.1853000000000001E-2</v>
      </c>
      <c r="N34" s="77">
        <f t="shared" si="5"/>
        <v>0</v>
      </c>
      <c r="O34" s="77">
        <f t="shared" si="5"/>
        <v>0</v>
      </c>
      <c r="P34" s="77">
        <f t="shared" si="5"/>
        <v>17.015000000000001</v>
      </c>
      <c r="Q34" s="77">
        <f t="shared" si="10"/>
        <v>72.877499999999998</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41</v>
      </c>
      <c r="C35" s="77">
        <f t="shared" si="6"/>
        <v>147.6</v>
      </c>
      <c r="D35" s="77">
        <f t="shared" si="7"/>
        <v>63.967011000000007</v>
      </c>
      <c r="E35" s="77">
        <f t="shared" si="8"/>
        <v>13.586375000000002</v>
      </c>
      <c r="F35" s="77">
        <f t="shared" si="9"/>
        <v>14.411336</v>
      </c>
      <c r="G35" s="77">
        <f t="shared" si="5"/>
        <v>6.0679999999999998E-2</v>
      </c>
      <c r="H35" s="77">
        <f t="shared" si="5"/>
        <v>0.4592</v>
      </c>
      <c r="I35" s="77">
        <f t="shared" si="5"/>
        <v>2.0500000000000001E-2</v>
      </c>
      <c r="J35" s="77">
        <f t="shared" si="5"/>
        <v>6.5600000000000001E-4</v>
      </c>
      <c r="K35" s="77">
        <f t="shared" si="5"/>
        <v>2.0500000000000002E-3</v>
      </c>
      <c r="L35" s="77">
        <f t="shared" si="5"/>
        <v>1.3038000000000001E-2</v>
      </c>
      <c r="M35" s="77">
        <f t="shared" si="5"/>
        <v>2.1853000000000001E-2</v>
      </c>
      <c r="N35" s="77">
        <f t="shared" si="5"/>
        <v>0</v>
      </c>
      <c r="O35" s="77">
        <f t="shared" si="5"/>
        <v>0</v>
      </c>
      <c r="P35" s="77">
        <f t="shared" si="5"/>
        <v>17.015000000000001</v>
      </c>
      <c r="Q35" s="77">
        <f t="shared" si="10"/>
        <v>72.877499999999998</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41</v>
      </c>
      <c r="C36" s="77">
        <f t="shared" si="6"/>
        <v>147.6</v>
      </c>
      <c r="D36" s="77">
        <f t="shared" si="7"/>
        <v>63.967011000000007</v>
      </c>
      <c r="E36" s="77">
        <f t="shared" si="8"/>
        <v>13.586375000000002</v>
      </c>
      <c r="F36" s="77">
        <f t="shared" si="9"/>
        <v>14.411336</v>
      </c>
      <c r="G36" s="77">
        <f t="shared" si="5"/>
        <v>6.0679999999999998E-2</v>
      </c>
      <c r="H36" s="77">
        <f t="shared" si="5"/>
        <v>0.4592</v>
      </c>
      <c r="I36" s="77">
        <f t="shared" si="5"/>
        <v>2.0500000000000001E-2</v>
      </c>
      <c r="J36" s="77">
        <f t="shared" si="5"/>
        <v>6.5600000000000001E-4</v>
      </c>
      <c r="K36" s="77">
        <f t="shared" si="5"/>
        <v>2.0500000000000002E-3</v>
      </c>
      <c r="L36" s="77">
        <f t="shared" si="5"/>
        <v>1.3038000000000001E-2</v>
      </c>
      <c r="M36" s="77">
        <f t="shared" si="5"/>
        <v>2.1853000000000001E-2</v>
      </c>
      <c r="N36" s="77">
        <f t="shared" si="5"/>
        <v>0</v>
      </c>
      <c r="O36" s="77">
        <f t="shared" si="5"/>
        <v>0</v>
      </c>
      <c r="P36" s="77">
        <f t="shared" si="5"/>
        <v>17.015000000000001</v>
      </c>
      <c r="Q36" s="77">
        <f t="shared" si="10"/>
        <v>72.877499999999998</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8</v>
      </c>
      <c r="B37" s="15">
        <v>41</v>
      </c>
      <c r="C37" s="77">
        <f t="shared" si="6"/>
        <v>147.6</v>
      </c>
      <c r="D37" s="77">
        <f t="shared" si="7"/>
        <v>63.967011000000007</v>
      </c>
      <c r="E37" s="77">
        <f t="shared" si="8"/>
        <v>13.586375000000002</v>
      </c>
      <c r="F37" s="77">
        <f t="shared" si="9"/>
        <v>14.411336</v>
      </c>
      <c r="G37" s="77">
        <f t="shared" si="5"/>
        <v>6.0679999999999998E-2</v>
      </c>
      <c r="H37" s="77">
        <f t="shared" si="5"/>
        <v>0.4592</v>
      </c>
      <c r="I37" s="77">
        <f t="shared" si="5"/>
        <v>2.0500000000000001E-2</v>
      </c>
      <c r="J37" s="77">
        <f t="shared" si="5"/>
        <v>6.5600000000000001E-4</v>
      </c>
      <c r="K37" s="77">
        <f t="shared" si="5"/>
        <v>2.0500000000000002E-3</v>
      </c>
      <c r="L37" s="77">
        <f t="shared" si="5"/>
        <v>1.3038000000000001E-2</v>
      </c>
      <c r="M37" s="77">
        <f t="shared" si="5"/>
        <v>2.1853000000000001E-2</v>
      </c>
      <c r="N37" s="77">
        <f t="shared" si="5"/>
        <v>0</v>
      </c>
      <c r="O37" s="77">
        <f t="shared" si="5"/>
        <v>0</v>
      </c>
      <c r="P37" s="77">
        <f t="shared" si="5"/>
        <v>17.015000000000001</v>
      </c>
      <c r="Q37" s="77">
        <f t="shared" si="10"/>
        <v>72.877499999999998</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7</v>
      </c>
      <c r="B38" s="15">
        <v>41</v>
      </c>
      <c r="C38" s="77">
        <f t="shared" si="6"/>
        <v>147.6</v>
      </c>
      <c r="D38" s="77">
        <f t="shared" si="7"/>
        <v>63.967011000000007</v>
      </c>
      <c r="E38" s="77">
        <f t="shared" si="8"/>
        <v>13.586375000000002</v>
      </c>
      <c r="F38" s="77">
        <f t="shared" si="9"/>
        <v>14.411336</v>
      </c>
      <c r="G38" s="77">
        <f t="shared" si="5"/>
        <v>6.0679999999999998E-2</v>
      </c>
      <c r="H38" s="77">
        <f t="shared" si="5"/>
        <v>0.4592</v>
      </c>
      <c r="I38" s="77">
        <f t="shared" si="5"/>
        <v>2.0500000000000001E-2</v>
      </c>
      <c r="J38" s="77">
        <f t="shared" si="5"/>
        <v>6.5600000000000001E-4</v>
      </c>
      <c r="K38" s="77">
        <f t="shared" si="5"/>
        <v>2.0500000000000002E-3</v>
      </c>
      <c r="L38" s="77">
        <f t="shared" si="5"/>
        <v>1.3038000000000001E-2</v>
      </c>
      <c r="M38" s="77">
        <f t="shared" si="5"/>
        <v>2.1853000000000001E-2</v>
      </c>
      <c r="N38" s="77">
        <f t="shared" si="5"/>
        <v>0</v>
      </c>
      <c r="O38" s="77">
        <f t="shared" si="5"/>
        <v>0</v>
      </c>
      <c r="P38" s="77">
        <f t="shared" si="5"/>
        <v>17.015000000000001</v>
      </c>
      <c r="Q38" s="77">
        <f t="shared" si="10"/>
        <v>72.877499999999998</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v>41</v>
      </c>
      <c r="C39" s="77">
        <f t="shared" si="6"/>
        <v>147.6</v>
      </c>
      <c r="D39" s="77">
        <f t="shared" si="7"/>
        <v>63.967011000000007</v>
      </c>
      <c r="E39" s="77">
        <f t="shared" si="8"/>
        <v>13.586375000000002</v>
      </c>
      <c r="F39" s="77">
        <f t="shared" si="9"/>
        <v>14.411336</v>
      </c>
      <c r="G39" s="77">
        <f t="shared" si="5"/>
        <v>6.0679999999999998E-2</v>
      </c>
      <c r="H39" s="77">
        <f t="shared" si="5"/>
        <v>0.4592</v>
      </c>
      <c r="I39" s="77">
        <f t="shared" si="5"/>
        <v>2.0500000000000001E-2</v>
      </c>
      <c r="J39" s="77">
        <f t="shared" si="5"/>
        <v>6.5600000000000001E-4</v>
      </c>
      <c r="K39" s="77">
        <f t="shared" si="5"/>
        <v>2.0500000000000002E-3</v>
      </c>
      <c r="L39" s="77">
        <f t="shared" si="5"/>
        <v>1.3038000000000001E-2</v>
      </c>
      <c r="M39" s="77">
        <f t="shared" si="5"/>
        <v>2.1853000000000001E-2</v>
      </c>
      <c r="N39" s="77">
        <f t="shared" si="5"/>
        <v>0</v>
      </c>
      <c r="O39" s="77">
        <f t="shared" si="5"/>
        <v>0</v>
      </c>
      <c r="P39" s="77">
        <f t="shared" si="5"/>
        <v>17.015000000000001</v>
      </c>
      <c r="Q39" s="77">
        <f t="shared" si="10"/>
        <v>72.877499999999998</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v>41</v>
      </c>
      <c r="C40" s="77">
        <f t="shared" si="6"/>
        <v>147.6</v>
      </c>
      <c r="D40" s="77">
        <f t="shared" si="7"/>
        <v>63.967011000000007</v>
      </c>
      <c r="E40" s="77">
        <f t="shared" si="8"/>
        <v>13.586375000000002</v>
      </c>
      <c r="F40" s="77">
        <f t="shared" si="9"/>
        <v>14.411336</v>
      </c>
      <c r="G40" s="77">
        <f t="shared" si="5"/>
        <v>6.0679999999999998E-2</v>
      </c>
      <c r="H40" s="77">
        <f t="shared" si="5"/>
        <v>0.4592</v>
      </c>
      <c r="I40" s="77">
        <f t="shared" si="5"/>
        <v>2.0500000000000001E-2</v>
      </c>
      <c r="J40" s="77">
        <f t="shared" si="5"/>
        <v>6.5600000000000001E-4</v>
      </c>
      <c r="K40" s="77">
        <f t="shared" si="5"/>
        <v>2.0500000000000002E-3</v>
      </c>
      <c r="L40" s="77">
        <f t="shared" si="5"/>
        <v>1.3038000000000001E-2</v>
      </c>
      <c r="M40" s="77">
        <f t="shared" si="5"/>
        <v>2.1853000000000001E-2</v>
      </c>
      <c r="N40" s="77">
        <f t="shared" si="5"/>
        <v>0</v>
      </c>
      <c r="O40" s="77">
        <f t="shared" si="5"/>
        <v>0</v>
      </c>
      <c r="P40" s="77">
        <f t="shared" si="5"/>
        <v>17.015000000000001</v>
      </c>
      <c r="Q40" s="77">
        <f t="shared" si="10"/>
        <v>72.877499999999998</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11</v>
      </c>
      <c r="B41" s="15">
        <v>41</v>
      </c>
      <c r="C41" s="77">
        <f t="shared" si="6"/>
        <v>147.6</v>
      </c>
      <c r="D41" s="77">
        <f t="shared" si="7"/>
        <v>63.967011000000007</v>
      </c>
      <c r="E41" s="77">
        <f t="shared" si="8"/>
        <v>13.586375000000002</v>
      </c>
      <c r="F41" s="77">
        <f t="shared" si="9"/>
        <v>14.411336</v>
      </c>
      <c r="G41" s="77">
        <f t="shared" si="5"/>
        <v>6.0679999999999998E-2</v>
      </c>
      <c r="H41" s="77">
        <f t="shared" si="5"/>
        <v>0.4592</v>
      </c>
      <c r="I41" s="77">
        <f t="shared" si="5"/>
        <v>2.0500000000000001E-2</v>
      </c>
      <c r="J41" s="77">
        <f t="shared" si="5"/>
        <v>6.5600000000000001E-4</v>
      </c>
      <c r="K41" s="77">
        <f t="shared" si="5"/>
        <v>2.0500000000000002E-3</v>
      </c>
      <c r="L41" s="77">
        <f t="shared" si="5"/>
        <v>1.3038000000000001E-2</v>
      </c>
      <c r="M41" s="77">
        <f t="shared" si="5"/>
        <v>2.1853000000000001E-2</v>
      </c>
      <c r="N41" s="77">
        <f t="shared" si="5"/>
        <v>0</v>
      </c>
      <c r="O41" s="77">
        <f t="shared" si="5"/>
        <v>0</v>
      </c>
      <c r="P41" s="77">
        <f t="shared" si="5"/>
        <v>17.015000000000001</v>
      </c>
      <c r="Q41" s="77">
        <f t="shared" si="10"/>
        <v>72.877499999999998</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12</v>
      </c>
      <c r="B42" s="15">
        <v>41</v>
      </c>
      <c r="C42" s="77">
        <f t="shared" si="6"/>
        <v>147.6</v>
      </c>
      <c r="D42" s="77">
        <f t="shared" si="7"/>
        <v>63.967011000000007</v>
      </c>
      <c r="E42" s="77">
        <f t="shared" si="8"/>
        <v>13.586375000000002</v>
      </c>
      <c r="F42" s="77">
        <f t="shared" si="9"/>
        <v>14.411336</v>
      </c>
      <c r="G42" s="77">
        <f t="shared" si="5"/>
        <v>6.0679999999999998E-2</v>
      </c>
      <c r="H42" s="77">
        <f t="shared" si="5"/>
        <v>0.4592</v>
      </c>
      <c r="I42" s="77">
        <f t="shared" si="5"/>
        <v>2.0500000000000001E-2</v>
      </c>
      <c r="J42" s="77">
        <f t="shared" si="5"/>
        <v>6.5600000000000001E-4</v>
      </c>
      <c r="K42" s="77">
        <f t="shared" si="5"/>
        <v>2.0500000000000002E-3</v>
      </c>
      <c r="L42" s="77">
        <f t="shared" si="5"/>
        <v>1.3038000000000001E-2</v>
      </c>
      <c r="M42" s="77">
        <f t="shared" si="5"/>
        <v>2.1853000000000001E-2</v>
      </c>
      <c r="N42" s="77">
        <f t="shared" si="5"/>
        <v>0</v>
      </c>
      <c r="O42" s="77">
        <f t="shared" si="5"/>
        <v>0</v>
      </c>
      <c r="P42" s="77">
        <f t="shared" si="5"/>
        <v>17.015000000000001</v>
      </c>
      <c r="Q42" s="77">
        <f t="shared" si="10"/>
        <v>72.877499999999998</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13</v>
      </c>
      <c r="B43" s="15">
        <v>41</v>
      </c>
      <c r="C43" s="77">
        <f t="shared" si="6"/>
        <v>147.6</v>
      </c>
      <c r="D43" s="77">
        <f t="shared" si="7"/>
        <v>63.967011000000007</v>
      </c>
      <c r="E43" s="77">
        <f t="shared" si="8"/>
        <v>13.586375000000002</v>
      </c>
      <c r="F43" s="77">
        <f t="shared" si="9"/>
        <v>14.411336</v>
      </c>
      <c r="G43" s="77">
        <f t="shared" si="5"/>
        <v>6.0679999999999998E-2</v>
      </c>
      <c r="H43" s="77">
        <f t="shared" si="5"/>
        <v>0.4592</v>
      </c>
      <c r="I43" s="77">
        <f t="shared" si="5"/>
        <v>2.0500000000000001E-2</v>
      </c>
      <c r="J43" s="77">
        <f t="shared" si="5"/>
        <v>6.5600000000000001E-4</v>
      </c>
      <c r="K43" s="77">
        <f t="shared" si="5"/>
        <v>2.0500000000000002E-3</v>
      </c>
      <c r="L43" s="77">
        <f t="shared" si="5"/>
        <v>1.3038000000000001E-2</v>
      </c>
      <c r="M43" s="77">
        <f t="shared" si="5"/>
        <v>2.1853000000000001E-2</v>
      </c>
      <c r="N43" s="77">
        <f t="shared" si="5"/>
        <v>0</v>
      </c>
      <c r="O43" s="77">
        <f t="shared" si="5"/>
        <v>0</v>
      </c>
      <c r="P43" s="77">
        <f t="shared" si="5"/>
        <v>17.015000000000001</v>
      </c>
      <c r="Q43" s="77">
        <f t="shared" si="10"/>
        <v>72.877499999999998</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t="str">
        <f>P8</f>
        <v>7a</v>
      </c>
      <c r="B44" s="15">
        <v>41</v>
      </c>
      <c r="C44" s="77">
        <f t="shared" si="6"/>
        <v>147.6</v>
      </c>
      <c r="D44" s="77">
        <f t="shared" si="7"/>
        <v>63.967011000000007</v>
      </c>
      <c r="E44" s="77">
        <f t="shared" si="8"/>
        <v>13.586375000000002</v>
      </c>
      <c r="F44" s="77">
        <f t="shared" si="9"/>
        <v>14.411336</v>
      </c>
      <c r="G44" s="77">
        <f t="shared" si="5"/>
        <v>6.0679999999999998E-2</v>
      </c>
      <c r="H44" s="77">
        <f t="shared" si="5"/>
        <v>0.4592</v>
      </c>
      <c r="I44" s="77">
        <f t="shared" si="5"/>
        <v>2.0500000000000001E-2</v>
      </c>
      <c r="J44" s="77">
        <f t="shared" si="5"/>
        <v>6.5600000000000001E-4</v>
      </c>
      <c r="K44" s="77">
        <f t="shared" si="5"/>
        <v>2.0500000000000002E-3</v>
      </c>
      <c r="L44" s="77">
        <f t="shared" si="5"/>
        <v>1.3038000000000001E-2</v>
      </c>
      <c r="M44" s="77">
        <f t="shared" si="5"/>
        <v>2.1853000000000001E-2</v>
      </c>
      <c r="N44" s="77">
        <f t="shared" si="5"/>
        <v>0</v>
      </c>
      <c r="O44" s="77">
        <f t="shared" si="5"/>
        <v>0</v>
      </c>
      <c r="P44" s="77">
        <f t="shared" si="5"/>
        <v>17.015000000000001</v>
      </c>
      <c r="Q44" s="77">
        <f t="shared" si="10"/>
        <v>72.877499999999998</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8</v>
      </c>
      <c r="I57" s="8">
        <f t="shared" si="13"/>
        <v>7</v>
      </c>
      <c r="J57" s="8">
        <f t="shared" si="13"/>
        <v>9</v>
      </c>
      <c r="K57" s="8">
        <f t="shared" si="13"/>
        <v>10</v>
      </c>
      <c r="L57" s="8">
        <f t="shared" si="13"/>
        <v>11</v>
      </c>
      <c r="M57" s="8">
        <f t="shared" si="13"/>
        <v>12</v>
      </c>
      <c r="N57" s="8">
        <f t="shared" si="13"/>
        <v>13</v>
      </c>
      <c r="O57" s="8" t="str">
        <f t="shared" si="13"/>
        <v>7a</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"&amp;(VLOOKUP(C14,Table245811[],6,FALSE))</f>
        <v>Sandy Loam I Grass</v>
      </c>
      <c r="C58" s="13" t="str">
        <f>D16&amp;" I "&amp;(VLOOKUP(D14,Table245811[],6,FALSE))</f>
        <v>Sandy Loam I Grass</v>
      </c>
      <c r="D58" s="13" t="str">
        <f>E16&amp;" I "&amp;(VLOOKUP(E14,Table245811[],6,FALSE))</f>
        <v>Sandy Loam I Grass</v>
      </c>
      <c r="E58" s="13" t="str">
        <f>F16&amp;" I "&amp;(VLOOKUP(F14,Table245811[],6,FALSE))</f>
        <v>Sandy Loam I Arable</v>
      </c>
      <c r="F58" s="13" t="str">
        <f>G16&amp;" I "&amp;(VLOOKUP(G14,Table245811[],6,FALSE))</f>
        <v>Sandy Loam I Grass</v>
      </c>
      <c r="G58" s="13" t="str">
        <f>H16&amp;" I "&amp;(VLOOKUP(H14,Table245811[],6,FALSE))</f>
        <v>Sandy Loam I Grass</v>
      </c>
      <c r="H58" s="13" t="str">
        <f>I16&amp;" I "&amp;(VLOOKUP(I14,Table245811[],6,FALSE))</f>
        <v>Sandy Loam I Grass</v>
      </c>
      <c r="I58" s="13" t="str">
        <f>J16&amp;" I "&amp;(VLOOKUP(J14,Table245811[],6,FALSE))</f>
        <v>Sandy Loam I Grass</v>
      </c>
      <c r="J58" s="13" t="str">
        <f>K16&amp;" I "&amp;(VLOOKUP(K14,Table245811[],6,FALSE))</f>
        <v>Sandy Loam I Grass</v>
      </c>
      <c r="K58" s="13" t="str">
        <f>L16&amp;" I "&amp;(VLOOKUP(L14,Table245811[],6,FALSE))</f>
        <v>Sandy Loam I Grass</v>
      </c>
      <c r="L58" s="13" t="str">
        <f>M16&amp;" I "&amp;(VLOOKUP(M14,Table245811[],6,FALSE))</f>
        <v>Sandy Loam I Grass</v>
      </c>
      <c r="M58" s="13" t="str">
        <f>N16&amp;" I "&amp;(VLOOKUP(N14,Table245811[],6,FALSE))</f>
        <v>Sandy Loam I Grass</v>
      </c>
      <c r="N58" s="13" t="str">
        <f>O16&amp;" I "&amp;(VLOOKUP(O14,Table245811[],6,FALSE))</f>
        <v>Sandy Loam I Grass</v>
      </c>
      <c r="O58" s="13" t="str">
        <f>P16&amp;" I "&amp;(VLOOKUP(P14,Table245811[],6,FALSE))</f>
        <v>Sandy Loam I Arable</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6.2</v>
      </c>
      <c r="C59" s="76">
        <f>VLOOKUP(D$14,Table245811[],5,FALSE)</f>
        <v>6.2</v>
      </c>
      <c r="D59" s="76">
        <f>VLOOKUP(E$14,Table245811[],5,FALSE)</f>
        <v>6.2</v>
      </c>
      <c r="E59" s="76">
        <f>VLOOKUP(F$14,Table245811[],5,FALSE)</f>
        <v>6.7</v>
      </c>
      <c r="F59" s="76">
        <f>VLOOKUP(G$14,Table245811[],5,FALSE)</f>
        <v>6.2</v>
      </c>
      <c r="G59" s="76">
        <f>VLOOKUP(H$14,Table245811[],5,FALSE)</f>
        <v>6.2</v>
      </c>
      <c r="H59" s="76">
        <f>VLOOKUP(I$14,Table245811[],5,FALSE)</f>
        <v>6.2</v>
      </c>
      <c r="I59" s="76">
        <f>VLOOKUP(J$14,Table245811[],5,FALSE)</f>
        <v>6.2</v>
      </c>
      <c r="J59" s="76">
        <f>VLOOKUP(K$14,Table245811[],5,FALSE)</f>
        <v>6.2</v>
      </c>
      <c r="K59" s="76">
        <f>VLOOKUP(L$14,Table245811[],5,FALSE)</f>
        <v>6.2</v>
      </c>
      <c r="L59" s="76">
        <f>VLOOKUP(M$14,Table245811[],5,FALSE)</f>
        <v>6.2</v>
      </c>
      <c r="M59" s="76">
        <f>VLOOKUP(N$14,Table245811[],5,FALSE)</f>
        <v>6.2</v>
      </c>
      <c r="N59" s="76">
        <f>VLOOKUP(O$14,Table245811[],5,FALSE)</f>
        <v>6.2</v>
      </c>
      <c r="O59" s="76">
        <f>VLOOKUP(P$14,Table245811[],5,FALSE)</f>
        <v>6.7</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6.2</v>
      </c>
      <c r="C60" s="76">
        <f t="shared" ref="C60:U60" si="14">D10</f>
        <v>6</v>
      </c>
      <c r="D60" s="76">
        <f t="shared" si="14"/>
        <v>7</v>
      </c>
      <c r="E60" s="76">
        <f t="shared" si="14"/>
        <v>6.1</v>
      </c>
      <c r="F60" s="76">
        <f t="shared" si="14"/>
        <v>6.5</v>
      </c>
      <c r="G60" s="76">
        <f t="shared" si="14"/>
        <v>6.5</v>
      </c>
      <c r="H60" s="76">
        <f t="shared" si="14"/>
        <v>6.1</v>
      </c>
      <c r="I60" s="76">
        <f t="shared" si="14"/>
        <v>6.1</v>
      </c>
      <c r="J60" s="76">
        <f t="shared" si="14"/>
        <v>6.6</v>
      </c>
      <c r="K60" s="76">
        <f t="shared" si="14"/>
        <v>6.7</v>
      </c>
      <c r="L60" s="76">
        <f t="shared" si="14"/>
        <v>6.7</v>
      </c>
      <c r="M60" s="76">
        <f t="shared" si="14"/>
        <v>6.5</v>
      </c>
      <c r="N60" s="76">
        <f t="shared" si="14"/>
        <v>6.7</v>
      </c>
      <c r="O60" s="76">
        <f t="shared" si="14"/>
        <v>6.5</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5</v>
      </c>
      <c r="C61" s="76">
        <f t="shared" si="15"/>
        <v>5</v>
      </c>
      <c r="D61" s="76">
        <f t="shared" si="15"/>
        <v>5</v>
      </c>
      <c r="E61" s="76">
        <f t="shared" si="15"/>
        <v>7</v>
      </c>
      <c r="F61" s="76">
        <f t="shared" si="15"/>
        <v>5</v>
      </c>
      <c r="G61" s="76">
        <f t="shared" si="15"/>
        <v>5</v>
      </c>
      <c r="H61" s="76">
        <f t="shared" si="15"/>
        <v>5</v>
      </c>
      <c r="I61" s="76">
        <f t="shared" si="15"/>
        <v>5</v>
      </c>
      <c r="J61" s="76">
        <f t="shared" si="15"/>
        <v>5</v>
      </c>
      <c r="K61" s="76">
        <f t="shared" si="15"/>
        <v>5</v>
      </c>
      <c r="L61" s="76">
        <f t="shared" si="15"/>
        <v>5</v>
      </c>
      <c r="M61" s="76">
        <f t="shared" si="15"/>
        <v>5</v>
      </c>
      <c r="N61" s="76">
        <f t="shared" si="15"/>
        <v>5</v>
      </c>
      <c r="O61" s="76">
        <f t="shared" si="15"/>
        <v>7</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41</v>
      </c>
      <c r="C62" s="77">
        <f>B32</f>
        <v>41</v>
      </c>
      <c r="D62" s="77">
        <f>B33</f>
        <v>41</v>
      </c>
      <c r="E62" s="77">
        <f>B34</f>
        <v>41</v>
      </c>
      <c r="F62" s="77">
        <f>B35</f>
        <v>41</v>
      </c>
      <c r="G62" s="77">
        <f>B36</f>
        <v>41</v>
      </c>
      <c r="H62" s="77">
        <f>B37</f>
        <v>41</v>
      </c>
      <c r="I62" s="77">
        <f>B38</f>
        <v>41</v>
      </c>
      <c r="J62" s="77">
        <f>B39</f>
        <v>41</v>
      </c>
      <c r="K62" s="77">
        <f>B40</f>
        <v>41</v>
      </c>
      <c r="L62" s="77">
        <f>B41</f>
        <v>41</v>
      </c>
      <c r="M62" s="77">
        <f>B42</f>
        <v>41</v>
      </c>
      <c r="N62" s="77">
        <f>B43</f>
        <v>41</v>
      </c>
      <c r="O62" s="77">
        <f>B44</f>
        <v>41</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1.0000000000000009</v>
      </c>
      <c r="D64" s="77">
        <f t="shared" si="17"/>
        <v>-3.9999999999999991</v>
      </c>
      <c r="E64" s="77">
        <f t="shared" si="17"/>
        <v>4.2000000000000037</v>
      </c>
      <c r="F64" s="77">
        <f t="shared" si="17"/>
        <v>-1.4999999999999991</v>
      </c>
      <c r="G64" s="77">
        <f t="shared" si="17"/>
        <v>-1.4999999999999991</v>
      </c>
      <c r="H64" s="77">
        <f t="shared" si="17"/>
        <v>0.50000000000000266</v>
      </c>
      <c r="I64" s="77">
        <f t="shared" si="17"/>
        <v>0.50000000000000266</v>
      </c>
      <c r="J64" s="77">
        <f t="shared" si="17"/>
        <v>-1.9999999999999973</v>
      </c>
      <c r="K64" s="77">
        <f t="shared" si="17"/>
        <v>-2.5</v>
      </c>
      <c r="L64" s="77">
        <f t="shared" si="17"/>
        <v>-2.5</v>
      </c>
      <c r="M64" s="77">
        <f t="shared" si="17"/>
        <v>-1.4999999999999991</v>
      </c>
      <c r="N64" s="77">
        <f t="shared" si="17"/>
        <v>-2.5</v>
      </c>
      <c r="O64" s="77">
        <f t="shared" si="17"/>
        <v>1.4000000000000012</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-1.0000000000000009</v>
      </c>
      <c r="D65" s="77">
        <f t="shared" si="18"/>
        <v>3.9999999999999991</v>
      </c>
      <c r="E65" s="77">
        <f t="shared" si="18"/>
        <v>-4.2000000000000037</v>
      </c>
      <c r="F65" s="77">
        <f t="shared" si="18"/>
        <v>1.4999999999999991</v>
      </c>
      <c r="G65" s="77">
        <f t="shared" si="18"/>
        <v>1.4999999999999991</v>
      </c>
      <c r="H65" s="77">
        <f t="shared" si="18"/>
        <v>-0.50000000000000266</v>
      </c>
      <c r="I65" s="77">
        <f t="shared" si="18"/>
        <v>-0.50000000000000266</v>
      </c>
      <c r="J65" s="77">
        <f t="shared" si="18"/>
        <v>1.9999999999999973</v>
      </c>
      <c r="K65" s="77">
        <f t="shared" si="18"/>
        <v>2.5</v>
      </c>
      <c r="L65" s="77">
        <f t="shared" si="18"/>
        <v>2.5</v>
      </c>
      <c r="M65" s="77">
        <f t="shared" si="18"/>
        <v>1.4999999999999991</v>
      </c>
      <c r="N65" s="77">
        <f t="shared" si="18"/>
        <v>2.5</v>
      </c>
      <c r="O65" s="77">
        <f t="shared" si="18"/>
        <v>-1.4000000000000012</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OVER</v>
      </c>
      <c r="E66" s="78" t="str">
        <f t="shared" si="19"/>
        <v>UNDER</v>
      </c>
      <c r="F66" s="78" t="str">
        <f t="shared" si="19"/>
        <v>OVER</v>
      </c>
      <c r="G66" s="78" t="str">
        <f t="shared" si="19"/>
        <v>OVER</v>
      </c>
      <c r="H66" s="78" t="str">
        <f t="shared" si="19"/>
        <v>UNDER</v>
      </c>
      <c r="I66" s="78" t="str">
        <f t="shared" si="19"/>
        <v>UNDER</v>
      </c>
      <c r="J66" s="78" t="str">
        <f t="shared" si="19"/>
        <v>OVER</v>
      </c>
      <c r="K66" s="78" t="str">
        <f t="shared" si="19"/>
        <v>OVER</v>
      </c>
      <c r="L66" s="78" t="str">
        <f t="shared" si="19"/>
        <v>OVER</v>
      </c>
      <c r="M66" s="78" t="str">
        <f t="shared" si="19"/>
        <v>OVER</v>
      </c>
      <c r="N66" s="78" t="str">
        <f t="shared" si="19"/>
        <v>OVER</v>
      </c>
      <c r="O66" s="78" t="str">
        <f t="shared" si="19"/>
        <v>UNDER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35" priority="39" operator="equal">
      <formula>"DECREASE"</formula>
    </cfRule>
    <cfRule type="cellIs" dxfId="334" priority="40" operator="equal">
      <formula>"INCREASE"</formula>
    </cfRule>
  </conditionalFormatting>
  <conditionalFormatting sqref="B62:U66 B31:B50">
    <cfRule type="cellIs" dxfId="333" priority="38" operator="greaterThan">
      <formula>$B$51</formula>
    </cfRule>
  </conditionalFormatting>
  <conditionalFormatting sqref="C31:C50">
    <cfRule type="cellIs" dxfId="332" priority="37" operator="greaterThan">
      <formula>$C$51</formula>
    </cfRule>
  </conditionalFormatting>
  <conditionalFormatting sqref="C18:V18">
    <cfRule type="cellIs" dxfId="331" priority="36" operator="equal">
      <formula>0</formula>
    </cfRule>
  </conditionalFormatting>
  <conditionalFormatting sqref="C17:V17">
    <cfRule type="cellIs" dxfId="330" priority="35" operator="equal">
      <formula>0</formula>
    </cfRule>
  </conditionalFormatting>
  <conditionalFormatting sqref="C19:V19">
    <cfRule type="cellIs" dxfId="329" priority="34" operator="equal">
      <formula>0</formula>
    </cfRule>
  </conditionalFormatting>
  <conditionalFormatting sqref="G31:G50">
    <cfRule type="cellIs" dxfId="328" priority="33" operator="greaterThan">
      <formula>$G$51</formula>
    </cfRule>
  </conditionalFormatting>
  <conditionalFormatting sqref="H31:H50">
    <cfRule type="cellIs" dxfId="327" priority="32" operator="greaterThan">
      <formula>$H$51</formula>
    </cfRule>
  </conditionalFormatting>
  <conditionalFormatting sqref="I31:I50">
    <cfRule type="cellIs" dxfId="326" priority="31" operator="greaterThan">
      <formula>$I$51</formula>
    </cfRule>
  </conditionalFormatting>
  <conditionalFormatting sqref="K31:K50">
    <cfRule type="cellIs" dxfId="325" priority="30" operator="greaterThan">
      <formula>$K$51</formula>
    </cfRule>
  </conditionalFormatting>
  <conditionalFormatting sqref="L31:L50">
    <cfRule type="cellIs" dxfId="324" priority="29" operator="greaterThan">
      <formula>$L$51</formula>
    </cfRule>
  </conditionalFormatting>
  <conditionalFormatting sqref="M31:M50">
    <cfRule type="cellIs" dxfId="323" priority="28" operator="greaterThan">
      <formula>$M$51</formula>
    </cfRule>
  </conditionalFormatting>
  <conditionalFormatting sqref="P31:P50">
    <cfRule type="cellIs" dxfId="322" priority="27" operator="greaterThan">
      <formula>$P$51</formula>
    </cfRule>
  </conditionalFormatting>
  <conditionalFormatting sqref="R31:R50">
    <cfRule type="cellIs" dxfId="321" priority="26" operator="greaterThan">
      <formula>$R$51</formula>
    </cfRule>
  </conditionalFormatting>
  <conditionalFormatting sqref="S31:S50">
    <cfRule type="cellIs" dxfId="320" priority="25" operator="greaterThan">
      <formula>$S$51</formula>
    </cfRule>
  </conditionalFormatting>
  <conditionalFormatting sqref="T31:T50">
    <cfRule type="cellIs" dxfId="319" priority="24" operator="greaterThan">
      <formula>$T$51</formula>
    </cfRule>
  </conditionalFormatting>
  <conditionalFormatting sqref="U31:U50">
    <cfRule type="cellIs" dxfId="318" priority="23" operator="greaterThan">
      <formula>$U$51</formula>
    </cfRule>
  </conditionalFormatting>
  <conditionalFormatting sqref="C22:V22">
    <cfRule type="cellIs" dxfId="317" priority="22" operator="equal">
      <formula>0</formula>
    </cfRule>
  </conditionalFormatting>
  <conditionalFormatting sqref="C24:V24">
    <cfRule type="cellIs" dxfId="316" priority="20" operator="equal">
      <formula>"DECREASE"</formula>
    </cfRule>
    <cfRule type="cellIs" dxfId="315" priority="21" operator="equal">
      <formula>"INCREASE"</formula>
    </cfRule>
  </conditionalFormatting>
  <conditionalFormatting sqref="C23:V23">
    <cfRule type="cellIs" dxfId="314" priority="19" operator="equal">
      <formula>0</formula>
    </cfRule>
  </conditionalFormatting>
  <conditionalFormatting sqref="C21:V21">
    <cfRule type="cellIs" dxfId="313" priority="15" operator="equal">
      <formula>0</formula>
    </cfRule>
  </conditionalFormatting>
  <conditionalFormatting sqref="B66:U66">
    <cfRule type="cellIs" dxfId="312" priority="13" operator="equal">
      <formula>"UNDER"</formula>
    </cfRule>
    <cfRule type="cellIs" dxfId="311" priority="14" operator="equal">
      <formula>"OVER"</formula>
    </cfRule>
  </conditionalFormatting>
  <conditionalFormatting sqref="J31:J50">
    <cfRule type="cellIs" dxfId="310" priority="10" operator="greaterThan">
      <formula>$J$51</formula>
    </cfRule>
  </conditionalFormatting>
  <conditionalFormatting sqref="L3">
    <cfRule type="cellIs" dxfId="309" priority="6" operator="lessThan">
      <formula>30</formula>
    </cfRule>
    <cfRule type="cellIs" dxfId="308" priority="7" operator="greaterThanOrEqual">
      <formula>30</formula>
    </cfRule>
  </conditionalFormatting>
  <conditionalFormatting sqref="I3">
    <cfRule type="cellIs" dxfId="307" priority="3" operator="greaterThan">
      <formula>40000.01</formula>
    </cfRule>
  </conditionalFormatting>
  <conditionalFormatting sqref="I1">
    <cfRule type="cellIs" dxfId="306" priority="2" operator="between">
      <formula>0.1</formula>
      <formula>5</formula>
    </cfRule>
  </conditionalFormatting>
  <conditionalFormatting sqref="I2">
    <cfRule type="cellIs" dxfId="305" priority="1" operator="greaterThan">
      <formula>5000.1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B32" sqref="B32:B4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9" t="s">
        <v>41</v>
      </c>
      <c r="B1" s="129"/>
      <c r="C1" s="142" t="str">
        <f>'Field data and Waste 1'!C1:D1</f>
        <v>PAN-019532</v>
      </c>
      <c r="D1" s="143"/>
      <c r="E1" s="93" t="s">
        <v>45</v>
      </c>
      <c r="F1" s="39">
        <f>'Field data and Waste 1'!F1</f>
        <v>18.100000000000001</v>
      </c>
      <c r="G1" s="125" t="s">
        <v>43</v>
      </c>
      <c r="H1" s="126"/>
      <c r="I1" s="118">
        <v>7.05</v>
      </c>
      <c r="J1" s="129" t="s">
        <v>153</v>
      </c>
      <c r="K1" s="129"/>
      <c r="L1" s="97">
        <v>931</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9" t="s">
        <v>87</v>
      </c>
      <c r="B2" s="129"/>
      <c r="C2" s="144" t="str">
        <f>'Field data and Waste 1'!C2:D2</f>
        <v>EPR-KP3594VE</v>
      </c>
      <c r="D2" s="145"/>
      <c r="E2" s="93" t="s">
        <v>109</v>
      </c>
      <c r="F2" s="120" t="s">
        <v>165</v>
      </c>
      <c r="G2" s="127" t="s">
        <v>110</v>
      </c>
      <c r="H2" s="128"/>
      <c r="I2" s="118">
        <v>1784</v>
      </c>
      <c r="J2" s="129" t="s">
        <v>158</v>
      </c>
      <c r="K2" s="129"/>
      <c r="L2" s="97">
        <v>0.37</v>
      </c>
      <c r="AB2" s="30" t="s">
        <v>56</v>
      </c>
      <c r="AC2" s="17"/>
      <c r="AD2" s="30" t="s">
        <v>70</v>
      </c>
      <c r="AE2" s="17"/>
      <c r="AF2" s="17"/>
      <c r="AG2" s="44" t="s">
        <v>76</v>
      </c>
      <c r="AH2" s="18"/>
      <c r="AI2" s="45" t="s">
        <v>126</v>
      </c>
      <c r="AJ2" s="46">
        <v>0</v>
      </c>
      <c r="AK2" s="47">
        <v>0</v>
      </c>
      <c r="AL2" s="10">
        <v>0</v>
      </c>
      <c r="AM2" s="11">
        <v>0</v>
      </c>
      <c r="AN2" s="11">
        <v>0</v>
      </c>
    </row>
    <row r="3" spans="1:41" ht="13" x14ac:dyDescent="0.25">
      <c r="A3" s="125" t="s">
        <v>42</v>
      </c>
      <c r="B3" s="126"/>
      <c r="C3" s="144" t="str">
        <f>'Field data and Waste 1'!C3:D3</f>
        <v xml:space="preserve">Trade effluent services </v>
      </c>
      <c r="D3" s="145"/>
      <c r="E3" s="93" t="s">
        <v>108</v>
      </c>
      <c r="F3" s="31" t="s">
        <v>78</v>
      </c>
      <c r="G3" s="129" t="s">
        <v>159</v>
      </c>
      <c r="H3" s="129"/>
      <c r="I3" s="118"/>
      <c r="J3" s="125" t="s">
        <v>154</v>
      </c>
      <c r="K3" s="126"/>
      <c r="L3" s="97">
        <f>(L1/(L2*10000))*100</f>
        <v>25.162162162162161</v>
      </c>
      <c r="AB3" s="30" t="s">
        <v>57</v>
      </c>
      <c r="AC3" s="17"/>
      <c r="AD3" s="30" t="s">
        <v>71</v>
      </c>
      <c r="AE3" s="17"/>
      <c r="AF3" s="17"/>
      <c r="AG3" s="44" t="s">
        <v>77</v>
      </c>
      <c r="AH3" s="18"/>
      <c r="AI3" s="48" t="s">
        <v>113</v>
      </c>
      <c r="AJ3" s="49">
        <v>1.7</v>
      </c>
      <c r="AK3" s="50">
        <v>6</v>
      </c>
      <c r="AL3" s="51">
        <v>1</v>
      </c>
      <c r="AM3" s="11">
        <v>6.2</v>
      </c>
      <c r="AN3" s="11" t="s">
        <v>112</v>
      </c>
    </row>
    <row r="4" spans="1:41" ht="13" x14ac:dyDescent="0.25">
      <c r="A4" s="129" t="s">
        <v>0</v>
      </c>
      <c r="B4" s="129"/>
      <c r="C4" s="142" t="str">
        <f>'Field data and Waste 1'!C4:D4</f>
        <v>Play Yn Llan, Llangynhafal, LL16 4LN</v>
      </c>
      <c r="D4" s="143"/>
      <c r="E4" s="94" t="s">
        <v>1</v>
      </c>
      <c r="F4" s="120" t="s">
        <v>171</v>
      </c>
      <c r="G4" s="125"/>
      <c r="H4" s="126"/>
      <c r="I4" s="39"/>
      <c r="J4" s="125"/>
      <c r="K4" s="126"/>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9" t="s">
        <v>47</v>
      </c>
      <c r="B5" s="129"/>
      <c r="C5" s="142" t="str">
        <f>'Field data and Waste 1'!C5:D5</f>
        <v xml:space="preserve">Ethan Banfield </v>
      </c>
      <c r="D5" s="143"/>
      <c r="E5" s="93"/>
      <c r="F5" s="39"/>
      <c r="G5" s="125"/>
      <c r="H5" s="126"/>
      <c r="I5" s="39"/>
      <c r="J5" s="125"/>
      <c r="K5" s="126"/>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9" t="s">
        <v>2</v>
      </c>
      <c r="B8" s="129"/>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8</v>
      </c>
      <c r="J8" s="60">
        <f>'Field data and Waste 1'!J8</f>
        <v>7</v>
      </c>
      <c r="K8" s="60">
        <f>'Field data and Waste 1'!K8</f>
        <v>9</v>
      </c>
      <c r="L8" s="60">
        <f>'Field data and Waste 1'!L8</f>
        <v>10</v>
      </c>
      <c r="M8" s="60">
        <f>'Field data and Waste 1'!M8</f>
        <v>11</v>
      </c>
      <c r="N8" s="60">
        <f>'Field data and Waste 1'!N8</f>
        <v>12</v>
      </c>
      <c r="O8" s="60">
        <f>'Field data and Waste 1'!O8</f>
        <v>13</v>
      </c>
      <c r="P8" s="60" t="str">
        <f>'Field data and Waste 1'!P8</f>
        <v>7a</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9" t="s">
        <v>3</v>
      </c>
      <c r="B9" s="129"/>
      <c r="C9" s="60" t="str">
        <f>'Field data and Waste 1'!C9</f>
        <v>Moderate</v>
      </c>
      <c r="D9" s="60" t="str">
        <f>'Field data and Waste 1'!D9</f>
        <v>Moderate</v>
      </c>
      <c r="E9" s="60" t="str">
        <f>'Field data and Waste 1'!E9</f>
        <v>moderate</v>
      </c>
      <c r="F9" s="60">
        <f>'Field data and Waste 1'!F9</f>
        <v>1</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f>'Field data and Waste 1'!P9</f>
        <v>1</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9" t="s">
        <v>4</v>
      </c>
      <c r="B10" s="129"/>
      <c r="C10" s="60">
        <f>'Field data and Waste 1'!C10</f>
        <v>6.2</v>
      </c>
      <c r="D10" s="60">
        <f>'Field data and Waste 1'!D10</f>
        <v>6</v>
      </c>
      <c r="E10" s="60">
        <f>'Field data and Waste 1'!E10</f>
        <v>7</v>
      </c>
      <c r="F10" s="60">
        <f>'Field data and Waste 1'!F10</f>
        <v>6.1</v>
      </c>
      <c r="G10" s="60">
        <f>'Field data and Waste 1'!G10</f>
        <v>6.5</v>
      </c>
      <c r="H10" s="60">
        <f>'Field data and Waste 1'!H10</f>
        <v>6.5</v>
      </c>
      <c r="I10" s="60">
        <f>'Field data and Waste 1'!I10</f>
        <v>6.1</v>
      </c>
      <c r="J10" s="60">
        <f>'Field data and Waste 1'!J10</f>
        <v>6.1</v>
      </c>
      <c r="K10" s="60">
        <f>'Field data and Waste 1'!K10</f>
        <v>6.6</v>
      </c>
      <c r="L10" s="60">
        <f>'Field data and Waste 1'!L10</f>
        <v>6.7</v>
      </c>
      <c r="M10" s="60">
        <f>'Field data and Waste 1'!M10</f>
        <v>6.7</v>
      </c>
      <c r="N10" s="60">
        <f>'Field data and Waste 1'!N10</f>
        <v>6.5</v>
      </c>
      <c r="O10" s="60">
        <f>'Field data and Waste 1'!O10</f>
        <v>6.7</v>
      </c>
      <c r="P10" s="60">
        <f>'Field data and Waste 1'!P10</f>
        <v>6.5</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9" t="s">
        <v>5</v>
      </c>
      <c r="B11" s="129"/>
      <c r="C11" s="60">
        <f>'Field data and Waste 1'!C11</f>
        <v>2</v>
      </c>
      <c r="D11" s="60">
        <f>'Field data and Waste 1'!D11</f>
        <v>1</v>
      </c>
      <c r="E11" s="60">
        <f>'Field data and Waste 1'!E11</f>
        <v>1</v>
      </c>
      <c r="F11" s="60">
        <f>'Field data and Waste 1'!F11</f>
        <v>2</v>
      </c>
      <c r="G11" s="60">
        <f>'Field data and Waste 1'!G11</f>
        <v>1</v>
      </c>
      <c r="H11" s="60">
        <f>'Field data and Waste 1'!H11</f>
        <v>2</v>
      </c>
      <c r="I11" s="60">
        <f>'Field data and Waste 1'!I11</f>
        <v>1</v>
      </c>
      <c r="J11" s="60">
        <f>'Field data and Waste 1'!J11</f>
        <v>1</v>
      </c>
      <c r="K11" s="60">
        <f>'Field data and Waste 1'!K11</f>
        <v>0</v>
      </c>
      <c r="L11" s="60">
        <f>'Field data and Waste 1'!L11</f>
        <v>0</v>
      </c>
      <c r="M11" s="60">
        <f>'Field data and Waste 1'!M11</f>
        <v>1</v>
      </c>
      <c r="N11" s="60">
        <f>'Field data and Waste 1'!N11</f>
        <v>1</v>
      </c>
      <c r="O11" s="60">
        <f>'Field data and Waste 1'!O11</f>
        <v>1</v>
      </c>
      <c r="P11" s="60">
        <f>'Field data and Waste 1'!P11</f>
        <v>3</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9" t="s">
        <v>6</v>
      </c>
      <c r="B12" s="129"/>
      <c r="C12" s="60">
        <f>'Field data and Waste 1'!C12</f>
        <v>2</v>
      </c>
      <c r="D12" s="60">
        <f>'Field data and Waste 1'!D12</f>
        <v>2</v>
      </c>
      <c r="E12" s="60">
        <f>'Field data and Waste 1'!E12</f>
        <v>1</v>
      </c>
      <c r="F12" s="60">
        <f>'Field data and Waste 1'!F12</f>
        <v>1</v>
      </c>
      <c r="G12" s="60">
        <f>'Field data and Waste 1'!G12</f>
        <v>2</v>
      </c>
      <c r="H12" s="60">
        <f>'Field data and Waste 1'!H12</f>
        <v>3</v>
      </c>
      <c r="I12" s="60">
        <f>'Field data and Waste 1'!I12</f>
        <v>3</v>
      </c>
      <c r="J12" s="60">
        <f>'Field data and Waste 1'!J12</f>
        <v>2</v>
      </c>
      <c r="K12" s="60">
        <f>'Field data and Waste 1'!K12</f>
        <v>2</v>
      </c>
      <c r="L12" s="60">
        <f>'Field data and Waste 1'!L12</f>
        <v>1</v>
      </c>
      <c r="M12" s="60">
        <f>'Field data and Waste 1'!M12</f>
        <v>1</v>
      </c>
      <c r="N12" s="60">
        <f>'Field data and Waste 1'!N12</f>
        <v>2</v>
      </c>
      <c r="O12" s="60">
        <f>'Field data and Waste 1'!O12</f>
        <v>2</v>
      </c>
      <c r="P12" s="60">
        <f>'Field data and Waste 1'!P12</f>
        <v>3</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9" t="s">
        <v>7</v>
      </c>
      <c r="B13" s="129"/>
      <c r="C13" s="60">
        <f>'Field data and Waste 1'!C13</f>
        <v>2</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2</v>
      </c>
      <c r="L13" s="60">
        <f>'Field data and Waste 1'!L13</f>
        <v>3</v>
      </c>
      <c r="M13" s="60">
        <f>'Field data and Waste 1'!M13</f>
        <v>2</v>
      </c>
      <c r="N13" s="60">
        <f>'Field data and Waste 1'!N13</f>
        <v>2</v>
      </c>
      <c r="O13" s="60">
        <f>'Field data and Waste 1'!O13</f>
        <v>2</v>
      </c>
      <c r="P13" s="60">
        <f>'Field data and Waste 1'!P13</f>
        <v>3</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8" t="s">
        <v>8</v>
      </c>
      <c r="B14" s="138"/>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Maize- Silage (30% DM)</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Maize- Silage (30% DM)</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7" t="s">
        <v>9</v>
      </c>
      <c r="B15" s="137"/>
      <c r="C15" s="60">
        <f>'Field data and Waste 1'!C15</f>
        <v>38</v>
      </c>
      <c r="D15" s="60">
        <f>'Field data and Waste 1'!D15</f>
        <v>38</v>
      </c>
      <c r="E15" s="60">
        <f>'Field data and Waste 1'!E15</f>
        <v>38</v>
      </c>
      <c r="F15" s="60">
        <f>'Field data and Waste 1'!F15</f>
        <v>40</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40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9" t="s">
        <v>44</v>
      </c>
      <c r="B16" s="139"/>
      <c r="C16" s="103" t="str">
        <f>'Field data and Waste 1'!C16</f>
        <v>Sandy Loam</v>
      </c>
      <c r="D16" s="103" t="str">
        <f>'Field data and Waste 1'!D16</f>
        <v>Sandy Loam</v>
      </c>
      <c r="E16" s="103" t="str">
        <f>'Field data and Waste 1'!E16</f>
        <v>Sandy Loam</v>
      </c>
      <c r="F16" s="103" t="str">
        <f>'Field data and Waste 1'!F16</f>
        <v>Sandy Loam</v>
      </c>
      <c r="G16" s="103" t="str">
        <f>'Field data and Waste 1'!G16</f>
        <v>Sandy Loam</v>
      </c>
      <c r="H16" s="103" t="str">
        <f>'Field data and Waste 1'!H16</f>
        <v>Sandy Loam</v>
      </c>
      <c r="I16" s="103" t="str">
        <f>'Field data and Waste 1'!I16</f>
        <v>Sandy Loam</v>
      </c>
      <c r="J16" s="103" t="str">
        <f>'Field data and Waste 1'!J16</f>
        <v>Sandy Loam</v>
      </c>
      <c r="K16" s="103" t="str">
        <f>'Field data and Waste 1'!K16</f>
        <v>Sandy Loam</v>
      </c>
      <c r="L16" s="103" t="str">
        <f>'Field data and Waste 1'!L16</f>
        <v>Sandy Loam</v>
      </c>
      <c r="M16" s="103" t="str">
        <f>'Field data and Waste 1'!M16</f>
        <v>Sandy Loam</v>
      </c>
      <c r="N16" s="103" t="str">
        <f>'Field data and Waste 1'!N16</f>
        <v>Sandy Loam</v>
      </c>
      <c r="O16" s="103" t="str">
        <f>'Field data and Waste 1'!O16</f>
        <v>Sandy Loam</v>
      </c>
      <c r="P16" s="103" t="str">
        <f>'Field data and Waste 1'!P16</f>
        <v>Sandy Loam</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5" t="s">
        <v>69</v>
      </c>
      <c r="B17" s="136"/>
      <c r="C17" s="28">
        <f>(VLOOKUP(C$14,$AI2:$AK26,2,FALSE))*C$15</f>
        <v>64.599999999999994</v>
      </c>
      <c r="D17" s="28">
        <f t="shared" ref="D17:V17" si="0">(VLOOKUP(D$14,$AI2:$AK26,2,FALSE))*D$15</f>
        <v>64.599999999999994</v>
      </c>
      <c r="E17" s="28">
        <f t="shared" si="0"/>
        <v>64.599999999999994</v>
      </c>
      <c r="F17" s="28">
        <f t="shared" si="0"/>
        <v>56</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56</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3" t="s">
        <v>23</v>
      </c>
      <c r="B18" s="134"/>
      <c r="C18" s="16">
        <f>$D31</f>
        <v>64.335862000000006</v>
      </c>
      <c r="D18" s="16">
        <f>$D32</f>
        <v>64.335862000000006</v>
      </c>
      <c r="E18" s="16">
        <f>$D33</f>
        <v>64.335862000000006</v>
      </c>
      <c r="F18" s="16">
        <f>$D34</f>
        <v>64.335862000000006</v>
      </c>
      <c r="G18" s="16">
        <f>$D35</f>
        <v>64.335862000000006</v>
      </c>
      <c r="H18" s="16">
        <f>$D36</f>
        <v>64.335862000000006</v>
      </c>
      <c r="I18" s="16">
        <f>$D37</f>
        <v>64.335862000000006</v>
      </c>
      <c r="J18" s="16">
        <f>$D38</f>
        <v>64.335862000000006</v>
      </c>
      <c r="K18" s="16">
        <f>$D39</f>
        <v>64.335862000000006</v>
      </c>
      <c r="L18" s="16">
        <f>$D40</f>
        <v>64.335862000000006</v>
      </c>
      <c r="M18" s="16">
        <f>$D41</f>
        <v>64.335862000000006</v>
      </c>
      <c r="N18" s="16">
        <f>$D42</f>
        <v>64.335862000000006</v>
      </c>
      <c r="O18" s="16">
        <f>$D43</f>
        <v>64.335862000000006</v>
      </c>
      <c r="P18" s="16">
        <f>$D44</f>
        <v>64.335862000000006</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3" t="s">
        <v>90</v>
      </c>
      <c r="B19" s="134"/>
      <c r="C19" s="16">
        <f>C18-C17</f>
        <v>-0.26413799999998844</v>
      </c>
      <c r="D19" s="16">
        <f t="shared" ref="D19:V19" si="1">D18-D17</f>
        <v>-0.26413799999998844</v>
      </c>
      <c r="E19" s="16">
        <f t="shared" si="1"/>
        <v>-0.26413799999998844</v>
      </c>
      <c r="F19" s="16">
        <f t="shared" si="1"/>
        <v>8.3358620000000059</v>
      </c>
      <c r="G19" s="16">
        <f t="shared" si="1"/>
        <v>-0.26413799999998844</v>
      </c>
      <c r="H19" s="16">
        <f t="shared" si="1"/>
        <v>-0.26413799999998844</v>
      </c>
      <c r="I19" s="16">
        <f t="shared" si="1"/>
        <v>-0.26413799999998844</v>
      </c>
      <c r="J19" s="16">
        <f t="shared" si="1"/>
        <v>-0.26413799999998844</v>
      </c>
      <c r="K19" s="16">
        <f t="shared" si="1"/>
        <v>-0.26413799999998844</v>
      </c>
      <c r="L19" s="16">
        <f t="shared" si="1"/>
        <v>-0.26413799999998844</v>
      </c>
      <c r="M19" s="16">
        <f t="shared" si="1"/>
        <v>-0.26413799999998844</v>
      </c>
      <c r="N19" s="16">
        <f t="shared" si="1"/>
        <v>-0.26413799999998844</v>
      </c>
      <c r="O19" s="16">
        <f t="shared" si="1"/>
        <v>-0.26413799999998844</v>
      </c>
      <c r="P19" s="16">
        <f t="shared" si="1"/>
        <v>8.3358620000000059</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1" t="s">
        <v>91</v>
      </c>
      <c r="B20" s="132"/>
      <c r="C20" s="26" t="str">
        <f>IF($B31="","",IF(C$19&gt;=0,"INCREASE","DECREASE"))</f>
        <v>DECREASE</v>
      </c>
      <c r="D20" s="26" t="str">
        <f>IF($B32="","",IF(D$19&gt;=0,"INCREASE","DECREASE"))</f>
        <v>DECREASE</v>
      </c>
      <c r="E20" s="26" t="str">
        <f>IF($B33="","",IF(E$19&gt;=0,"INCREASE","DECREASE"))</f>
        <v>DECREASE</v>
      </c>
      <c r="F20" s="26" t="str">
        <f>IF($B34="","",IF(F$19&gt;=0,"INCREASE","DECREASE"))</f>
        <v>INCREASE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INCREASE</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5" t="s">
        <v>88</v>
      </c>
      <c r="B21" s="136"/>
      <c r="C21" s="28">
        <f>(VLOOKUP(C$14,$AI2:$AK26,3,FALSE))*C$15</f>
        <v>228</v>
      </c>
      <c r="D21" s="28">
        <f t="shared" ref="D21:V21" si="2">(VLOOKUP(D$14,$AI2:$AK26,3,FALSE))*D$15</f>
        <v>228</v>
      </c>
      <c r="E21" s="28">
        <f t="shared" si="2"/>
        <v>228</v>
      </c>
      <c r="F21" s="28">
        <f t="shared" si="2"/>
        <v>176</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176</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3" t="s">
        <v>89</v>
      </c>
      <c r="B22" s="134"/>
      <c r="C22" s="16">
        <f>$E31</f>
        <v>7.9216700000000015</v>
      </c>
      <c r="D22" s="16">
        <f>$E32</f>
        <v>7.9216700000000015</v>
      </c>
      <c r="E22" s="16">
        <f>$E33</f>
        <v>7.9216700000000015</v>
      </c>
      <c r="F22" s="16">
        <f>$E34</f>
        <v>7.9216700000000015</v>
      </c>
      <c r="G22" s="16">
        <f>$E35</f>
        <v>7.9216700000000015</v>
      </c>
      <c r="H22" s="16">
        <f>$E36</f>
        <v>7.9216700000000015</v>
      </c>
      <c r="I22" s="16">
        <f>$E37</f>
        <v>7.9216700000000015</v>
      </c>
      <c r="J22" s="16">
        <f>$E38</f>
        <v>7.9216700000000015</v>
      </c>
      <c r="K22" s="16">
        <f>$E39</f>
        <v>7.9216700000000015</v>
      </c>
      <c r="L22" s="16">
        <f>$E40</f>
        <v>7.9216700000000015</v>
      </c>
      <c r="M22" s="16">
        <f>$E41</f>
        <v>7.9216700000000015</v>
      </c>
      <c r="N22" s="16">
        <f>$E42</f>
        <v>7.9216700000000015</v>
      </c>
      <c r="O22" s="16">
        <f>$E43</f>
        <v>7.9216700000000015</v>
      </c>
      <c r="P22" s="16">
        <f>$E44</f>
        <v>7.9216700000000015</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3" t="s">
        <v>92</v>
      </c>
      <c r="B23" s="134"/>
      <c r="C23" s="16">
        <f>C22-C21</f>
        <v>-220.07832999999999</v>
      </c>
      <c r="D23" s="16">
        <f t="shared" ref="D23:V23" si="3">D22-D21</f>
        <v>-220.07832999999999</v>
      </c>
      <c r="E23" s="16">
        <f t="shared" si="3"/>
        <v>-220.07832999999999</v>
      </c>
      <c r="F23" s="16">
        <f t="shared" si="3"/>
        <v>-168.07832999999999</v>
      </c>
      <c r="G23" s="16">
        <f t="shared" si="3"/>
        <v>-220.07832999999999</v>
      </c>
      <c r="H23" s="16">
        <f t="shared" si="3"/>
        <v>-220.07832999999999</v>
      </c>
      <c r="I23" s="16">
        <f t="shared" si="3"/>
        <v>-220.07832999999999</v>
      </c>
      <c r="J23" s="16">
        <f t="shared" si="3"/>
        <v>-220.07832999999999</v>
      </c>
      <c r="K23" s="16">
        <f t="shared" si="3"/>
        <v>-220.07832999999999</v>
      </c>
      <c r="L23" s="16">
        <f t="shared" si="3"/>
        <v>-220.07832999999999</v>
      </c>
      <c r="M23" s="16">
        <f t="shared" si="3"/>
        <v>-220.07832999999999</v>
      </c>
      <c r="N23" s="16">
        <f t="shared" si="3"/>
        <v>-220.07832999999999</v>
      </c>
      <c r="O23" s="16">
        <f t="shared" si="3"/>
        <v>-220.07832999999999</v>
      </c>
      <c r="P23" s="16">
        <f t="shared" si="3"/>
        <v>-168.07832999999999</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1" t="s">
        <v>93</v>
      </c>
      <c r="B24" s="132"/>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35">
      <c r="A28" s="108"/>
      <c r="B28" s="24">
        <v>4.2699999999999996</v>
      </c>
      <c r="C28" s="15">
        <v>0.37</v>
      </c>
      <c r="D28" s="15">
        <v>739</v>
      </c>
      <c r="E28" s="15">
        <v>173</v>
      </c>
      <c r="F28" s="15">
        <v>230</v>
      </c>
      <c r="G28" s="15">
        <v>3.24</v>
      </c>
      <c r="H28" s="15">
        <v>16.3</v>
      </c>
      <c r="I28" s="15">
        <v>0.5</v>
      </c>
      <c r="J28" s="15">
        <v>0.01</v>
      </c>
      <c r="K28" s="23">
        <v>0.05</v>
      </c>
      <c r="L28" s="15">
        <v>0.879</v>
      </c>
      <c r="M28" s="15">
        <v>0.92700000000000005</v>
      </c>
      <c r="N28" s="15"/>
      <c r="O28" s="15"/>
      <c r="P28" s="15">
        <v>735</v>
      </c>
      <c r="Q28" s="15">
        <v>582</v>
      </c>
      <c r="R28" s="15"/>
      <c r="S28" s="15"/>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38</v>
      </c>
      <c r="C31" s="77">
        <f>IF(C$27="%w/w SAR",((C$28*10)*$B31),IF(C$27="%w/w DM",(((C$28*10)*($B$28/100))*$B31),IF(C$27="kg/t SAR",(C$28*$B31),IF(C$27="kg/t DM",((C$28*($B$28/100))*$B31),IF(C$27="mg/kg SAR",((C$28*0.001)*$B31),IF(C$27="mg/kg DM",(((C$28*0.001)*($B$28/100))*$B31),0))))))</f>
        <v>140.6</v>
      </c>
      <c r="D31" s="77">
        <f>(IF(D$27="%w/w SAR",((D$28*10)*$B31),IF(D$27="%w/w DM",(((D$28*10)*($B$28/100))*$B31),IF(D$27="kg/t SAR",(D$28*$B31),IF(D$27="kg/t DM",((D$28*($B$28/100))*$B31),IF(D$27="mg/kg SAR",((D$28*0.001)*$B31),IF(D$27="mg/kg DM",(((D$28*0.001)*($B$28/100))*$B31),"0")))))))*2.291</f>
        <v>64.335862000000006</v>
      </c>
      <c r="E31" s="77">
        <f>(IF(E$27="%w/w SAR",((E$28*10)*$B31),IF(E$27="%w/w DM",(((E$28*10)*($B$28/100))*$B31),IF(E$27="kg/t SAR",(E$28*$B31),IF(E$27="kg/t DM",((E$28*($B$28/100))*$B31),IF(E$27="mg/kg SAR",((E$28*0.001)*$B31),IF(E$27="mg/kg DM",(((E$28*0.001)*($B$28/100))*$B31),"0")))))))*1.205</f>
        <v>7.9216700000000015</v>
      </c>
      <c r="F31" s="77">
        <f>(IF(F$27="%w/w SAR",((F$28*10)*$B31),IF(F$27="%w/w DM",(((F$28*10)*($B$28/100))*$B31),IF(F$27="kg/t SAR",(F$28*$B31),IF(F$27="kg/t DM",((F$28*($B$28/100))*$B31),IF(F$27="mg/kg SAR",((F$28*0.001)*$B31),IF(F$27="mg/kg DM",(((F$28*0.001)*($B$28/100))*$B31),"0")))))))*1.658</f>
        <v>14.490919999999999</v>
      </c>
      <c r="G31" s="77">
        <f t="shared" ref="G31:P46" si="5">IF(G$27="%w/w SAR",((G$28*10)*$B31),IF(G$27="%w/w DM",(((G$28*10)*($B$28/100))*$B31),IF(G$27="kg/t SAR",(G$28*$B31),IF(G$27="kg/t DM",((G$28*($B$28/100))*$B31),IF(G$27="mg/kg SAR",((G$28*0.001)*$B31),IF(G$27="mg/kg DM",(((G$28*0.001)*($B$28/100))*$B31),0))))))</f>
        <v>0.12312000000000001</v>
      </c>
      <c r="H31" s="77">
        <f t="shared" si="5"/>
        <v>0.61940000000000006</v>
      </c>
      <c r="I31" s="77">
        <f t="shared" si="5"/>
        <v>1.9E-2</v>
      </c>
      <c r="J31" s="77">
        <f t="shared" si="5"/>
        <v>3.8000000000000002E-4</v>
      </c>
      <c r="K31" s="77">
        <f t="shared" si="5"/>
        <v>1.9E-3</v>
      </c>
      <c r="L31" s="77">
        <f t="shared" si="5"/>
        <v>3.3402000000000001E-2</v>
      </c>
      <c r="M31" s="77">
        <f t="shared" si="5"/>
        <v>3.5226E-2</v>
      </c>
      <c r="N31" s="77">
        <f t="shared" si="5"/>
        <v>0</v>
      </c>
      <c r="O31" s="77">
        <f t="shared" si="5"/>
        <v>0</v>
      </c>
      <c r="P31" s="77">
        <f t="shared" si="5"/>
        <v>27.93</v>
      </c>
      <c r="Q31" s="77">
        <f>(IF(Q$27="%w/w SAR",((Q$28*10)*$B31),IF(Q$27="%w/w DM",(((Q$28*10)*($B$28/100))*$B31),IF(Q$27="kg/t SAR",(Q$28*$B31),IF(Q$27="kg/t DM",((Q$28*($B$28/100))*$B31),IF(Q$27="mg/kg SAR",((Q$28*0.001)*$B31),IF(Q$27="mg/kg DM",(((Q$28*0.001)*($B$28/100))*$B31),0)))))))*2.5</f>
        <v>55.29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38</v>
      </c>
      <c r="C32" s="77">
        <f t="shared" ref="C32:C50" si="6">IF(C$27="%w/w SAR",((C$28*10)*$B32),IF(C$27="%w/w DM",(((C$28*10)*($B$28/100))*$B32),IF(C$27="kg/t SAR",(C$28*$B32),IF(C$27="kg/t DM",((C$28*($B$28/100))*$B32),IF(C$27="mg/kg SAR",((C$28*0.001)*$B32),IF(C$27="mg/kg DM",(((C$28*0.001)*($B$28/100))*$B32),0))))))</f>
        <v>140.6</v>
      </c>
      <c r="D32" s="77">
        <f t="shared" ref="D32:D50" si="7">(IF(D$27="%w/w SAR",((D$28*10)*$B32),IF(D$27="%w/w DM",(((D$28*10)*($B$28/100))*$B32),IF(D$27="kg/t SAR",(D$28*$B32),IF(D$27="kg/t DM",((D$28*($B$28/100))*$B32),IF(D$27="mg/kg SAR",((D$28*0.001)*$B32),IF(D$27="mg/kg DM",(((D$28*0.001)*($B$28/100))*$B32),"0")))))))*2.291</f>
        <v>64.335862000000006</v>
      </c>
      <c r="E32" s="77">
        <f t="shared" ref="E32:E50" si="8">(IF(E$27="%w/w SAR",((E$28*10)*$B32),IF(E$27="%w/w DM",(((E$28*10)*($B$28/100))*$B32),IF(E$27="kg/t SAR",(E$28*$B32),IF(E$27="kg/t DM",((E$28*($B$28/100))*$B32),IF(E$27="mg/kg SAR",((E$28*0.001)*$B32),IF(E$27="mg/kg DM",(((E$28*0.001)*($B$28/100))*$B32),"0")))))))*1.205</f>
        <v>7.9216700000000015</v>
      </c>
      <c r="F32" s="77">
        <f t="shared" ref="F32:F50" si="9">(IF(F$27="%w/w SAR",((F$28*10)*$B32),IF(F$27="%w/w DM",(((F$28*10)*($B$28/100))*$B32),IF(F$27="kg/t SAR",(F$28*$B32),IF(F$27="kg/t DM",((F$28*($B$28/100))*$B32),IF(F$27="mg/kg SAR",((F$28*0.001)*$B32),IF(F$27="mg/kg DM",(((F$28*0.001)*($B$28/100))*$B32),"0")))))))*1.658</f>
        <v>14.490919999999999</v>
      </c>
      <c r="G32" s="77">
        <f t="shared" si="5"/>
        <v>0.12312000000000001</v>
      </c>
      <c r="H32" s="77">
        <f t="shared" si="5"/>
        <v>0.61940000000000006</v>
      </c>
      <c r="I32" s="77">
        <f t="shared" si="5"/>
        <v>1.9E-2</v>
      </c>
      <c r="J32" s="77">
        <f t="shared" si="5"/>
        <v>3.8000000000000002E-4</v>
      </c>
      <c r="K32" s="77">
        <f t="shared" si="5"/>
        <v>1.9E-3</v>
      </c>
      <c r="L32" s="77">
        <f t="shared" si="5"/>
        <v>3.3402000000000001E-2</v>
      </c>
      <c r="M32" s="77">
        <f t="shared" si="5"/>
        <v>3.5226E-2</v>
      </c>
      <c r="N32" s="77">
        <f t="shared" si="5"/>
        <v>0</v>
      </c>
      <c r="O32" s="77">
        <f t="shared" si="5"/>
        <v>0</v>
      </c>
      <c r="P32" s="77">
        <f t="shared" si="5"/>
        <v>27.93</v>
      </c>
      <c r="Q32" s="77">
        <f t="shared" ref="Q32:Q50" si="10">(IF(Q$27="%w/w SAR",((Q$28*10)*$B32),IF(Q$27="%w/w DM",(((Q$28*10)*($B$28/100))*$B32),IF(Q$27="kg/t SAR",(Q$28*$B32),IF(Q$27="kg/t DM",((Q$28*($B$28/100))*$B32),IF(Q$27="mg/kg SAR",((Q$28*0.001)*$B32),IF(Q$27="mg/kg DM",(((Q$28*0.001)*($B$28/100))*$B32),0)))))))*2.5</f>
        <v>55.29</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38</v>
      </c>
      <c r="C33" s="77">
        <f t="shared" si="6"/>
        <v>140.6</v>
      </c>
      <c r="D33" s="77">
        <f t="shared" si="7"/>
        <v>64.335862000000006</v>
      </c>
      <c r="E33" s="77">
        <f t="shared" si="8"/>
        <v>7.9216700000000015</v>
      </c>
      <c r="F33" s="77">
        <f t="shared" si="9"/>
        <v>14.490919999999999</v>
      </c>
      <c r="G33" s="77">
        <f t="shared" si="5"/>
        <v>0.12312000000000001</v>
      </c>
      <c r="H33" s="77">
        <f t="shared" si="5"/>
        <v>0.61940000000000006</v>
      </c>
      <c r="I33" s="77">
        <f t="shared" si="5"/>
        <v>1.9E-2</v>
      </c>
      <c r="J33" s="77">
        <f t="shared" si="5"/>
        <v>3.8000000000000002E-4</v>
      </c>
      <c r="K33" s="77">
        <f t="shared" si="5"/>
        <v>1.9E-3</v>
      </c>
      <c r="L33" s="77">
        <f t="shared" si="5"/>
        <v>3.3402000000000001E-2</v>
      </c>
      <c r="M33" s="77">
        <f t="shared" si="5"/>
        <v>3.5226E-2</v>
      </c>
      <c r="N33" s="77">
        <f t="shared" si="5"/>
        <v>0</v>
      </c>
      <c r="O33" s="77">
        <f t="shared" si="5"/>
        <v>0</v>
      </c>
      <c r="P33" s="77">
        <f t="shared" si="5"/>
        <v>27.93</v>
      </c>
      <c r="Q33" s="77">
        <f t="shared" si="10"/>
        <v>55.29</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38</v>
      </c>
      <c r="C34" s="77">
        <f t="shared" si="6"/>
        <v>140.6</v>
      </c>
      <c r="D34" s="77">
        <f t="shared" si="7"/>
        <v>64.335862000000006</v>
      </c>
      <c r="E34" s="77">
        <f t="shared" si="8"/>
        <v>7.9216700000000015</v>
      </c>
      <c r="F34" s="77">
        <f t="shared" si="9"/>
        <v>14.490919999999999</v>
      </c>
      <c r="G34" s="77">
        <f t="shared" si="5"/>
        <v>0.12312000000000001</v>
      </c>
      <c r="H34" s="77">
        <f t="shared" si="5"/>
        <v>0.61940000000000006</v>
      </c>
      <c r="I34" s="77">
        <f t="shared" si="5"/>
        <v>1.9E-2</v>
      </c>
      <c r="J34" s="77">
        <f t="shared" si="5"/>
        <v>3.8000000000000002E-4</v>
      </c>
      <c r="K34" s="77">
        <f t="shared" si="5"/>
        <v>1.9E-3</v>
      </c>
      <c r="L34" s="77">
        <f t="shared" si="5"/>
        <v>3.3402000000000001E-2</v>
      </c>
      <c r="M34" s="77">
        <f t="shared" si="5"/>
        <v>3.5226E-2</v>
      </c>
      <c r="N34" s="77">
        <f t="shared" si="5"/>
        <v>0</v>
      </c>
      <c r="O34" s="77">
        <f t="shared" si="5"/>
        <v>0</v>
      </c>
      <c r="P34" s="77">
        <f t="shared" si="5"/>
        <v>27.93</v>
      </c>
      <c r="Q34" s="77">
        <f t="shared" si="10"/>
        <v>55.29</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38</v>
      </c>
      <c r="C35" s="77">
        <f t="shared" si="6"/>
        <v>140.6</v>
      </c>
      <c r="D35" s="77">
        <f t="shared" si="7"/>
        <v>64.335862000000006</v>
      </c>
      <c r="E35" s="77">
        <f t="shared" si="8"/>
        <v>7.9216700000000015</v>
      </c>
      <c r="F35" s="77">
        <f t="shared" si="9"/>
        <v>14.490919999999999</v>
      </c>
      <c r="G35" s="77">
        <f t="shared" si="5"/>
        <v>0.12312000000000001</v>
      </c>
      <c r="H35" s="77">
        <f t="shared" si="5"/>
        <v>0.61940000000000006</v>
      </c>
      <c r="I35" s="77">
        <f t="shared" si="5"/>
        <v>1.9E-2</v>
      </c>
      <c r="J35" s="77">
        <f t="shared" si="5"/>
        <v>3.8000000000000002E-4</v>
      </c>
      <c r="K35" s="77">
        <f t="shared" si="5"/>
        <v>1.9E-3</v>
      </c>
      <c r="L35" s="77">
        <f t="shared" si="5"/>
        <v>3.3402000000000001E-2</v>
      </c>
      <c r="M35" s="77">
        <f t="shared" si="5"/>
        <v>3.5226E-2</v>
      </c>
      <c r="N35" s="77">
        <f t="shared" si="5"/>
        <v>0</v>
      </c>
      <c r="O35" s="77">
        <f t="shared" si="5"/>
        <v>0</v>
      </c>
      <c r="P35" s="77">
        <f t="shared" si="5"/>
        <v>27.93</v>
      </c>
      <c r="Q35" s="77">
        <f t="shared" si="10"/>
        <v>55.29</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38</v>
      </c>
      <c r="C36" s="77">
        <f t="shared" si="6"/>
        <v>140.6</v>
      </c>
      <c r="D36" s="77">
        <f t="shared" si="7"/>
        <v>64.335862000000006</v>
      </c>
      <c r="E36" s="77">
        <f t="shared" si="8"/>
        <v>7.9216700000000015</v>
      </c>
      <c r="F36" s="77">
        <f t="shared" si="9"/>
        <v>14.490919999999999</v>
      </c>
      <c r="G36" s="77">
        <f t="shared" si="5"/>
        <v>0.12312000000000001</v>
      </c>
      <c r="H36" s="77">
        <f t="shared" si="5"/>
        <v>0.61940000000000006</v>
      </c>
      <c r="I36" s="77">
        <f t="shared" si="5"/>
        <v>1.9E-2</v>
      </c>
      <c r="J36" s="77">
        <f t="shared" si="5"/>
        <v>3.8000000000000002E-4</v>
      </c>
      <c r="K36" s="77">
        <f t="shared" si="5"/>
        <v>1.9E-3</v>
      </c>
      <c r="L36" s="77">
        <f t="shared" si="5"/>
        <v>3.3402000000000001E-2</v>
      </c>
      <c r="M36" s="77">
        <f t="shared" si="5"/>
        <v>3.5226E-2</v>
      </c>
      <c r="N36" s="77">
        <f t="shared" si="5"/>
        <v>0</v>
      </c>
      <c r="O36" s="77">
        <f t="shared" si="5"/>
        <v>0</v>
      </c>
      <c r="P36" s="77">
        <f t="shared" si="5"/>
        <v>27.93</v>
      </c>
      <c r="Q36" s="77">
        <f t="shared" si="10"/>
        <v>55.29</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8</v>
      </c>
      <c r="B37" s="15">
        <v>38</v>
      </c>
      <c r="C37" s="77">
        <f t="shared" si="6"/>
        <v>140.6</v>
      </c>
      <c r="D37" s="77">
        <f t="shared" si="7"/>
        <v>64.335862000000006</v>
      </c>
      <c r="E37" s="77">
        <f t="shared" si="8"/>
        <v>7.9216700000000015</v>
      </c>
      <c r="F37" s="77">
        <f t="shared" si="9"/>
        <v>14.490919999999999</v>
      </c>
      <c r="G37" s="77">
        <f t="shared" si="5"/>
        <v>0.12312000000000001</v>
      </c>
      <c r="H37" s="77">
        <f t="shared" si="5"/>
        <v>0.61940000000000006</v>
      </c>
      <c r="I37" s="77">
        <f t="shared" si="5"/>
        <v>1.9E-2</v>
      </c>
      <c r="J37" s="77">
        <f t="shared" si="5"/>
        <v>3.8000000000000002E-4</v>
      </c>
      <c r="K37" s="77">
        <f t="shared" si="5"/>
        <v>1.9E-3</v>
      </c>
      <c r="L37" s="77">
        <f t="shared" si="5"/>
        <v>3.3402000000000001E-2</v>
      </c>
      <c r="M37" s="77">
        <f t="shared" si="5"/>
        <v>3.5226E-2</v>
      </c>
      <c r="N37" s="77">
        <f t="shared" si="5"/>
        <v>0</v>
      </c>
      <c r="O37" s="77">
        <f t="shared" si="5"/>
        <v>0</v>
      </c>
      <c r="P37" s="77">
        <f t="shared" si="5"/>
        <v>27.93</v>
      </c>
      <c r="Q37" s="77">
        <f t="shared" si="10"/>
        <v>55.29</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7</v>
      </c>
      <c r="B38" s="15">
        <v>38</v>
      </c>
      <c r="C38" s="77">
        <f t="shared" si="6"/>
        <v>140.6</v>
      </c>
      <c r="D38" s="77">
        <f t="shared" si="7"/>
        <v>64.335862000000006</v>
      </c>
      <c r="E38" s="77">
        <f t="shared" si="8"/>
        <v>7.9216700000000015</v>
      </c>
      <c r="F38" s="77">
        <f t="shared" si="9"/>
        <v>14.490919999999999</v>
      </c>
      <c r="G38" s="77">
        <f t="shared" si="5"/>
        <v>0.12312000000000001</v>
      </c>
      <c r="H38" s="77">
        <f t="shared" si="5"/>
        <v>0.61940000000000006</v>
      </c>
      <c r="I38" s="77">
        <f t="shared" si="5"/>
        <v>1.9E-2</v>
      </c>
      <c r="J38" s="77">
        <f t="shared" si="5"/>
        <v>3.8000000000000002E-4</v>
      </c>
      <c r="K38" s="77">
        <f t="shared" si="5"/>
        <v>1.9E-3</v>
      </c>
      <c r="L38" s="77">
        <f t="shared" si="5"/>
        <v>3.3402000000000001E-2</v>
      </c>
      <c r="M38" s="77">
        <f t="shared" si="5"/>
        <v>3.5226E-2</v>
      </c>
      <c r="N38" s="77">
        <f t="shared" si="5"/>
        <v>0</v>
      </c>
      <c r="O38" s="77">
        <f t="shared" si="5"/>
        <v>0</v>
      </c>
      <c r="P38" s="77">
        <f t="shared" si="5"/>
        <v>27.93</v>
      </c>
      <c r="Q38" s="77">
        <f t="shared" si="10"/>
        <v>55.29</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v>38</v>
      </c>
      <c r="C39" s="77">
        <f t="shared" si="6"/>
        <v>140.6</v>
      </c>
      <c r="D39" s="77">
        <f t="shared" si="7"/>
        <v>64.335862000000006</v>
      </c>
      <c r="E39" s="77">
        <f t="shared" si="8"/>
        <v>7.9216700000000015</v>
      </c>
      <c r="F39" s="77">
        <f t="shared" si="9"/>
        <v>14.490919999999999</v>
      </c>
      <c r="G39" s="77">
        <f t="shared" si="5"/>
        <v>0.12312000000000001</v>
      </c>
      <c r="H39" s="77">
        <f t="shared" si="5"/>
        <v>0.61940000000000006</v>
      </c>
      <c r="I39" s="77">
        <f t="shared" si="5"/>
        <v>1.9E-2</v>
      </c>
      <c r="J39" s="77">
        <f t="shared" si="5"/>
        <v>3.8000000000000002E-4</v>
      </c>
      <c r="K39" s="77">
        <f t="shared" si="5"/>
        <v>1.9E-3</v>
      </c>
      <c r="L39" s="77">
        <f t="shared" si="5"/>
        <v>3.3402000000000001E-2</v>
      </c>
      <c r="M39" s="77">
        <f t="shared" si="5"/>
        <v>3.5226E-2</v>
      </c>
      <c r="N39" s="77">
        <f t="shared" si="5"/>
        <v>0</v>
      </c>
      <c r="O39" s="77">
        <f t="shared" si="5"/>
        <v>0</v>
      </c>
      <c r="P39" s="77">
        <f t="shared" si="5"/>
        <v>27.93</v>
      </c>
      <c r="Q39" s="77">
        <f t="shared" si="10"/>
        <v>55.29</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v>38</v>
      </c>
      <c r="C40" s="77">
        <f t="shared" si="6"/>
        <v>140.6</v>
      </c>
      <c r="D40" s="77">
        <f t="shared" si="7"/>
        <v>64.335862000000006</v>
      </c>
      <c r="E40" s="77">
        <f t="shared" si="8"/>
        <v>7.9216700000000015</v>
      </c>
      <c r="F40" s="77">
        <f t="shared" si="9"/>
        <v>14.490919999999999</v>
      </c>
      <c r="G40" s="77">
        <f t="shared" si="5"/>
        <v>0.12312000000000001</v>
      </c>
      <c r="H40" s="77">
        <f t="shared" si="5"/>
        <v>0.61940000000000006</v>
      </c>
      <c r="I40" s="77">
        <f t="shared" si="5"/>
        <v>1.9E-2</v>
      </c>
      <c r="J40" s="77">
        <f t="shared" si="5"/>
        <v>3.8000000000000002E-4</v>
      </c>
      <c r="K40" s="77">
        <f t="shared" si="5"/>
        <v>1.9E-3</v>
      </c>
      <c r="L40" s="77">
        <f t="shared" si="5"/>
        <v>3.3402000000000001E-2</v>
      </c>
      <c r="M40" s="77">
        <f t="shared" si="5"/>
        <v>3.5226E-2</v>
      </c>
      <c r="N40" s="77">
        <f t="shared" si="5"/>
        <v>0</v>
      </c>
      <c r="O40" s="77">
        <f t="shared" si="5"/>
        <v>0</v>
      </c>
      <c r="P40" s="77">
        <f t="shared" si="5"/>
        <v>27.93</v>
      </c>
      <c r="Q40" s="77">
        <f t="shared" si="10"/>
        <v>55.29</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11</v>
      </c>
      <c r="B41" s="15">
        <v>38</v>
      </c>
      <c r="C41" s="77">
        <f t="shared" si="6"/>
        <v>140.6</v>
      </c>
      <c r="D41" s="77">
        <f t="shared" si="7"/>
        <v>64.335862000000006</v>
      </c>
      <c r="E41" s="77">
        <f t="shared" si="8"/>
        <v>7.9216700000000015</v>
      </c>
      <c r="F41" s="77">
        <f t="shared" si="9"/>
        <v>14.490919999999999</v>
      </c>
      <c r="G41" s="77">
        <f t="shared" si="5"/>
        <v>0.12312000000000001</v>
      </c>
      <c r="H41" s="77">
        <f t="shared" si="5"/>
        <v>0.61940000000000006</v>
      </c>
      <c r="I41" s="77">
        <f t="shared" si="5"/>
        <v>1.9E-2</v>
      </c>
      <c r="J41" s="77">
        <f t="shared" si="5"/>
        <v>3.8000000000000002E-4</v>
      </c>
      <c r="K41" s="77">
        <f t="shared" si="5"/>
        <v>1.9E-3</v>
      </c>
      <c r="L41" s="77">
        <f t="shared" si="5"/>
        <v>3.3402000000000001E-2</v>
      </c>
      <c r="M41" s="77">
        <f t="shared" si="5"/>
        <v>3.5226E-2</v>
      </c>
      <c r="N41" s="77">
        <f t="shared" si="5"/>
        <v>0</v>
      </c>
      <c r="O41" s="77">
        <f t="shared" si="5"/>
        <v>0</v>
      </c>
      <c r="P41" s="77">
        <f t="shared" si="5"/>
        <v>27.93</v>
      </c>
      <c r="Q41" s="77">
        <f t="shared" si="10"/>
        <v>55.29</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12</v>
      </c>
      <c r="B42" s="15">
        <v>38</v>
      </c>
      <c r="C42" s="77">
        <f t="shared" si="6"/>
        <v>140.6</v>
      </c>
      <c r="D42" s="77">
        <f t="shared" si="7"/>
        <v>64.335862000000006</v>
      </c>
      <c r="E42" s="77">
        <f t="shared" si="8"/>
        <v>7.9216700000000015</v>
      </c>
      <c r="F42" s="77">
        <f t="shared" si="9"/>
        <v>14.490919999999999</v>
      </c>
      <c r="G42" s="77">
        <f t="shared" si="5"/>
        <v>0.12312000000000001</v>
      </c>
      <c r="H42" s="77">
        <f t="shared" si="5"/>
        <v>0.61940000000000006</v>
      </c>
      <c r="I42" s="77">
        <f t="shared" si="5"/>
        <v>1.9E-2</v>
      </c>
      <c r="J42" s="77">
        <f t="shared" si="5"/>
        <v>3.8000000000000002E-4</v>
      </c>
      <c r="K42" s="77">
        <f t="shared" si="5"/>
        <v>1.9E-3</v>
      </c>
      <c r="L42" s="77">
        <f t="shared" si="5"/>
        <v>3.3402000000000001E-2</v>
      </c>
      <c r="M42" s="77">
        <f t="shared" si="5"/>
        <v>3.5226E-2</v>
      </c>
      <c r="N42" s="77">
        <f t="shared" si="5"/>
        <v>0</v>
      </c>
      <c r="O42" s="77">
        <f t="shared" si="5"/>
        <v>0</v>
      </c>
      <c r="P42" s="77">
        <f t="shared" si="5"/>
        <v>27.93</v>
      </c>
      <c r="Q42" s="77">
        <f t="shared" si="10"/>
        <v>55.29</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13</v>
      </c>
      <c r="B43" s="15">
        <v>38</v>
      </c>
      <c r="C43" s="77">
        <f t="shared" si="6"/>
        <v>140.6</v>
      </c>
      <c r="D43" s="77">
        <f t="shared" si="7"/>
        <v>64.335862000000006</v>
      </c>
      <c r="E43" s="77">
        <f t="shared" si="8"/>
        <v>7.9216700000000015</v>
      </c>
      <c r="F43" s="77">
        <f t="shared" si="9"/>
        <v>14.490919999999999</v>
      </c>
      <c r="G43" s="77">
        <f t="shared" si="5"/>
        <v>0.12312000000000001</v>
      </c>
      <c r="H43" s="77">
        <f t="shared" si="5"/>
        <v>0.61940000000000006</v>
      </c>
      <c r="I43" s="77">
        <f t="shared" si="5"/>
        <v>1.9E-2</v>
      </c>
      <c r="J43" s="77">
        <f t="shared" si="5"/>
        <v>3.8000000000000002E-4</v>
      </c>
      <c r="K43" s="77">
        <f t="shared" si="5"/>
        <v>1.9E-3</v>
      </c>
      <c r="L43" s="77">
        <f t="shared" si="5"/>
        <v>3.3402000000000001E-2</v>
      </c>
      <c r="M43" s="77">
        <f t="shared" si="5"/>
        <v>3.5226E-2</v>
      </c>
      <c r="N43" s="77">
        <f t="shared" si="5"/>
        <v>0</v>
      </c>
      <c r="O43" s="77">
        <f t="shared" si="5"/>
        <v>0</v>
      </c>
      <c r="P43" s="77">
        <f t="shared" si="5"/>
        <v>27.93</v>
      </c>
      <c r="Q43" s="77">
        <f t="shared" si="10"/>
        <v>55.29</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t="str">
        <f>P8</f>
        <v>7a</v>
      </c>
      <c r="B44" s="15">
        <v>38</v>
      </c>
      <c r="C44" s="77">
        <f t="shared" si="6"/>
        <v>140.6</v>
      </c>
      <c r="D44" s="77">
        <f t="shared" si="7"/>
        <v>64.335862000000006</v>
      </c>
      <c r="E44" s="77">
        <f t="shared" si="8"/>
        <v>7.9216700000000015</v>
      </c>
      <c r="F44" s="77">
        <f t="shared" si="9"/>
        <v>14.490919999999999</v>
      </c>
      <c r="G44" s="77">
        <f t="shared" si="5"/>
        <v>0.12312000000000001</v>
      </c>
      <c r="H44" s="77">
        <f t="shared" si="5"/>
        <v>0.61940000000000006</v>
      </c>
      <c r="I44" s="77">
        <f t="shared" si="5"/>
        <v>1.9E-2</v>
      </c>
      <c r="J44" s="77">
        <f t="shared" si="5"/>
        <v>3.8000000000000002E-4</v>
      </c>
      <c r="K44" s="77">
        <f t="shared" si="5"/>
        <v>1.9E-3</v>
      </c>
      <c r="L44" s="77">
        <f t="shared" si="5"/>
        <v>3.3402000000000001E-2</v>
      </c>
      <c r="M44" s="77">
        <f t="shared" si="5"/>
        <v>3.5226E-2</v>
      </c>
      <c r="N44" s="77">
        <f t="shared" si="5"/>
        <v>0</v>
      </c>
      <c r="O44" s="77">
        <f t="shared" si="5"/>
        <v>0</v>
      </c>
      <c r="P44" s="77">
        <f t="shared" si="5"/>
        <v>27.93</v>
      </c>
      <c r="Q44" s="77">
        <f t="shared" si="10"/>
        <v>55.29</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8</v>
      </c>
      <c r="I57" s="8">
        <f t="shared" si="13"/>
        <v>7</v>
      </c>
      <c r="J57" s="8">
        <f t="shared" si="13"/>
        <v>9</v>
      </c>
      <c r="K57" s="8">
        <f t="shared" si="13"/>
        <v>10</v>
      </c>
      <c r="L57" s="8">
        <f t="shared" si="13"/>
        <v>11</v>
      </c>
      <c r="M57" s="8">
        <f t="shared" si="13"/>
        <v>12</v>
      </c>
      <c r="N57" s="8">
        <f t="shared" si="13"/>
        <v>13</v>
      </c>
      <c r="O57" s="8" t="str">
        <f t="shared" si="13"/>
        <v>7a</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"&amp;(VLOOKUP(C14,Table24581112[],6,FALSE))</f>
        <v>Sandy Loam I Grass</v>
      </c>
      <c r="C58" s="13" t="str">
        <f>D16&amp;" I "&amp;(VLOOKUP(D14,Table24581112[],6,FALSE))</f>
        <v>Sandy Loam I Grass</v>
      </c>
      <c r="D58" s="13" t="str">
        <f>E16&amp;" I "&amp;(VLOOKUP(E14,Table24581112[],6,FALSE))</f>
        <v>Sandy Loam I Grass</v>
      </c>
      <c r="E58" s="13" t="str">
        <f>F16&amp;" I "&amp;(VLOOKUP(F14,Table24581112[],6,FALSE))</f>
        <v>Sandy Loam I Arable</v>
      </c>
      <c r="F58" s="13" t="str">
        <f>G16&amp;" I "&amp;(VLOOKUP(G14,Table24581112[],6,FALSE))</f>
        <v>Sandy Loam I Grass</v>
      </c>
      <c r="G58" s="13" t="str">
        <f>H16&amp;" I "&amp;(VLOOKUP(H14,Table24581112[],6,FALSE))</f>
        <v>Sandy Loam I Grass</v>
      </c>
      <c r="H58" s="13" t="str">
        <f>I16&amp;" I "&amp;(VLOOKUP(I14,Table24581112[],6,FALSE))</f>
        <v>Sandy Loam I Grass</v>
      </c>
      <c r="I58" s="13" t="str">
        <f>J16&amp;" I "&amp;(VLOOKUP(J14,Table24581112[],6,FALSE))</f>
        <v>Sandy Loam I Grass</v>
      </c>
      <c r="J58" s="13" t="str">
        <f>K16&amp;" I "&amp;(VLOOKUP(K14,Table24581112[],6,FALSE))</f>
        <v>Sandy Loam I Grass</v>
      </c>
      <c r="K58" s="13" t="str">
        <f>L16&amp;" I "&amp;(VLOOKUP(L14,Table24581112[],6,FALSE))</f>
        <v>Sandy Loam I Grass</v>
      </c>
      <c r="L58" s="13" t="str">
        <f>M16&amp;" I "&amp;(VLOOKUP(M14,Table24581112[],6,FALSE))</f>
        <v>Sandy Loam I Grass</v>
      </c>
      <c r="M58" s="13" t="str">
        <f>N16&amp;" I "&amp;(VLOOKUP(N14,Table24581112[],6,FALSE))</f>
        <v>Sandy Loam I Grass</v>
      </c>
      <c r="N58" s="13" t="str">
        <f>O16&amp;" I "&amp;(VLOOKUP(O14,Table24581112[],6,FALSE))</f>
        <v>Sandy Loam I Grass</v>
      </c>
      <c r="O58" s="13" t="str">
        <f>P16&amp;" I "&amp;(VLOOKUP(P14,Table24581112[],6,FALSE))</f>
        <v>Sandy Loam I Arable</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6.2</v>
      </c>
      <c r="C59" s="76">
        <f>VLOOKUP(D$14,Table24581112[],5,FALSE)</f>
        <v>6.2</v>
      </c>
      <c r="D59" s="76">
        <f>VLOOKUP(E$14,Table24581112[],5,FALSE)</f>
        <v>6.2</v>
      </c>
      <c r="E59" s="76">
        <f>VLOOKUP(F$14,Table24581112[],5,FALSE)</f>
        <v>6.7</v>
      </c>
      <c r="F59" s="76">
        <f>VLOOKUP(G$14,Table24581112[],5,FALSE)</f>
        <v>6.2</v>
      </c>
      <c r="G59" s="76">
        <f>VLOOKUP(H$14,Table24581112[],5,FALSE)</f>
        <v>6.2</v>
      </c>
      <c r="H59" s="76">
        <f>VLOOKUP(I$14,Table24581112[],5,FALSE)</f>
        <v>6.2</v>
      </c>
      <c r="I59" s="76">
        <f>VLOOKUP(J$14,Table24581112[],5,FALSE)</f>
        <v>6.2</v>
      </c>
      <c r="J59" s="76">
        <f>VLOOKUP(K$14,Table24581112[],5,FALSE)</f>
        <v>6.2</v>
      </c>
      <c r="K59" s="76">
        <f>VLOOKUP(L$14,Table24581112[],5,FALSE)</f>
        <v>6.2</v>
      </c>
      <c r="L59" s="76">
        <f>VLOOKUP(M$14,Table24581112[],5,FALSE)</f>
        <v>6.2</v>
      </c>
      <c r="M59" s="76">
        <f>VLOOKUP(N$14,Table24581112[],5,FALSE)</f>
        <v>6.2</v>
      </c>
      <c r="N59" s="76">
        <f>VLOOKUP(O$14,Table24581112[],5,FALSE)</f>
        <v>6.2</v>
      </c>
      <c r="O59" s="76">
        <f>VLOOKUP(P$14,Table24581112[],5,FALSE)</f>
        <v>6.7</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6.2</v>
      </c>
      <c r="C60" s="76">
        <f t="shared" ref="C60:U60" si="14">D10</f>
        <v>6</v>
      </c>
      <c r="D60" s="76">
        <f t="shared" si="14"/>
        <v>7</v>
      </c>
      <c r="E60" s="76">
        <f t="shared" si="14"/>
        <v>6.1</v>
      </c>
      <c r="F60" s="76">
        <f t="shared" si="14"/>
        <v>6.5</v>
      </c>
      <c r="G60" s="76">
        <f t="shared" si="14"/>
        <v>6.5</v>
      </c>
      <c r="H60" s="76">
        <f t="shared" si="14"/>
        <v>6.1</v>
      </c>
      <c r="I60" s="76">
        <f t="shared" si="14"/>
        <v>6.1</v>
      </c>
      <c r="J60" s="76">
        <f t="shared" si="14"/>
        <v>6.6</v>
      </c>
      <c r="K60" s="76">
        <f t="shared" si="14"/>
        <v>6.7</v>
      </c>
      <c r="L60" s="76">
        <f t="shared" si="14"/>
        <v>6.7</v>
      </c>
      <c r="M60" s="76">
        <f t="shared" si="14"/>
        <v>6.5</v>
      </c>
      <c r="N60" s="76">
        <f t="shared" si="14"/>
        <v>6.7</v>
      </c>
      <c r="O60" s="76">
        <f t="shared" si="14"/>
        <v>6.5</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5</v>
      </c>
      <c r="C61" s="76">
        <f t="shared" si="15"/>
        <v>5</v>
      </c>
      <c r="D61" s="76">
        <f t="shared" si="15"/>
        <v>5</v>
      </c>
      <c r="E61" s="76">
        <f t="shared" si="15"/>
        <v>7</v>
      </c>
      <c r="F61" s="76">
        <f t="shared" si="15"/>
        <v>5</v>
      </c>
      <c r="G61" s="76">
        <f t="shared" si="15"/>
        <v>5</v>
      </c>
      <c r="H61" s="76">
        <f t="shared" si="15"/>
        <v>5</v>
      </c>
      <c r="I61" s="76">
        <f t="shared" si="15"/>
        <v>5</v>
      </c>
      <c r="J61" s="76">
        <f t="shared" si="15"/>
        <v>5</v>
      </c>
      <c r="K61" s="76">
        <f t="shared" si="15"/>
        <v>5</v>
      </c>
      <c r="L61" s="76">
        <f t="shared" si="15"/>
        <v>5</v>
      </c>
      <c r="M61" s="76">
        <f t="shared" si="15"/>
        <v>5</v>
      </c>
      <c r="N61" s="76">
        <f t="shared" si="15"/>
        <v>5</v>
      </c>
      <c r="O61" s="76">
        <f t="shared" si="15"/>
        <v>7</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38</v>
      </c>
      <c r="C62" s="77">
        <f>B32</f>
        <v>38</v>
      </c>
      <c r="D62" s="77">
        <f>B33</f>
        <v>38</v>
      </c>
      <c r="E62" s="77">
        <f>B34</f>
        <v>38</v>
      </c>
      <c r="F62" s="77">
        <f>B35</f>
        <v>38</v>
      </c>
      <c r="G62" s="77">
        <f>B36</f>
        <v>38</v>
      </c>
      <c r="H62" s="77">
        <f>B37</f>
        <v>38</v>
      </c>
      <c r="I62" s="77">
        <f>B38</f>
        <v>38</v>
      </c>
      <c r="J62" s="77">
        <f>B39</f>
        <v>38</v>
      </c>
      <c r="K62" s="77">
        <f>B40</f>
        <v>38</v>
      </c>
      <c r="L62" s="77">
        <f>B41</f>
        <v>38</v>
      </c>
      <c r="M62" s="77">
        <f>B42</f>
        <v>38</v>
      </c>
      <c r="N62" s="77">
        <f>B43</f>
        <v>38</v>
      </c>
      <c r="O62" s="77">
        <f>B44</f>
        <v>38</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1.0000000000000009</v>
      </c>
      <c r="D64" s="77">
        <f t="shared" si="17"/>
        <v>-3.9999999999999991</v>
      </c>
      <c r="E64" s="77">
        <f t="shared" si="17"/>
        <v>4.2000000000000037</v>
      </c>
      <c r="F64" s="77">
        <f t="shared" si="17"/>
        <v>-1.4999999999999991</v>
      </c>
      <c r="G64" s="77">
        <f t="shared" si="17"/>
        <v>-1.4999999999999991</v>
      </c>
      <c r="H64" s="77">
        <f t="shared" si="17"/>
        <v>0.50000000000000266</v>
      </c>
      <c r="I64" s="77">
        <f t="shared" si="17"/>
        <v>0.50000000000000266</v>
      </c>
      <c r="J64" s="77">
        <f t="shared" si="17"/>
        <v>-1.9999999999999973</v>
      </c>
      <c r="K64" s="77">
        <f t="shared" si="17"/>
        <v>-2.5</v>
      </c>
      <c r="L64" s="77">
        <f t="shared" si="17"/>
        <v>-2.5</v>
      </c>
      <c r="M64" s="77">
        <f t="shared" si="17"/>
        <v>-1.4999999999999991</v>
      </c>
      <c r="N64" s="77">
        <f t="shared" si="17"/>
        <v>-2.5</v>
      </c>
      <c r="O64" s="77">
        <f t="shared" si="17"/>
        <v>1.4000000000000012</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-1.0000000000000009</v>
      </c>
      <c r="D65" s="77">
        <f t="shared" si="18"/>
        <v>3.9999999999999991</v>
      </c>
      <c r="E65" s="77">
        <f t="shared" si="18"/>
        <v>-4.2000000000000037</v>
      </c>
      <c r="F65" s="77">
        <f t="shared" si="18"/>
        <v>1.4999999999999991</v>
      </c>
      <c r="G65" s="77">
        <f t="shared" si="18"/>
        <v>1.4999999999999991</v>
      </c>
      <c r="H65" s="77">
        <f t="shared" si="18"/>
        <v>-0.50000000000000266</v>
      </c>
      <c r="I65" s="77">
        <f t="shared" si="18"/>
        <v>-0.50000000000000266</v>
      </c>
      <c r="J65" s="77">
        <f t="shared" si="18"/>
        <v>1.9999999999999973</v>
      </c>
      <c r="K65" s="77">
        <f t="shared" si="18"/>
        <v>2.5</v>
      </c>
      <c r="L65" s="77">
        <f t="shared" si="18"/>
        <v>2.5</v>
      </c>
      <c r="M65" s="77">
        <f t="shared" si="18"/>
        <v>1.4999999999999991</v>
      </c>
      <c r="N65" s="77">
        <f t="shared" si="18"/>
        <v>2.5</v>
      </c>
      <c r="O65" s="77">
        <f t="shared" si="18"/>
        <v>-1.4000000000000012</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OVER</v>
      </c>
      <c r="E66" s="78" t="str">
        <f t="shared" si="19"/>
        <v>UNDER</v>
      </c>
      <c r="F66" s="78" t="str">
        <f t="shared" si="19"/>
        <v>OVER</v>
      </c>
      <c r="G66" s="78" t="str">
        <f t="shared" si="19"/>
        <v>OVER</v>
      </c>
      <c r="H66" s="78" t="str">
        <f t="shared" si="19"/>
        <v>UNDER</v>
      </c>
      <c r="I66" s="78" t="str">
        <f t="shared" si="19"/>
        <v>UNDER</v>
      </c>
      <c r="J66" s="78" t="str">
        <f t="shared" si="19"/>
        <v>OVER</v>
      </c>
      <c r="K66" s="78" t="str">
        <f t="shared" si="19"/>
        <v>OVER</v>
      </c>
      <c r="L66" s="78" t="str">
        <f t="shared" si="19"/>
        <v>OVER</v>
      </c>
      <c r="M66" s="78" t="str">
        <f t="shared" si="19"/>
        <v>OVER</v>
      </c>
      <c r="N66" s="78" t="str">
        <f t="shared" si="19"/>
        <v>OVER</v>
      </c>
      <c r="O66" s="78" t="str">
        <f t="shared" si="19"/>
        <v>UNDER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7" operator="equal">
      <formula>"DECREASE"</formula>
    </cfRule>
    <cfRule type="cellIs" dxfId="292" priority="38" operator="equal">
      <formula>"INCREASE"</formula>
    </cfRule>
  </conditionalFormatting>
  <conditionalFormatting sqref="B62:U66 B31:B50">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B32" sqref="B32:B4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29" t="s">
        <v>41</v>
      </c>
      <c r="B1" s="129"/>
      <c r="C1" s="142" t="str">
        <f>'Field data and Waste 1'!C1:D1</f>
        <v>PAN-019532</v>
      </c>
      <c r="D1" s="143"/>
      <c r="E1" s="93" t="s">
        <v>45</v>
      </c>
      <c r="F1" s="39">
        <f>'Field data and Waste 1'!F1</f>
        <v>18.100000000000001</v>
      </c>
      <c r="G1" s="125" t="s">
        <v>43</v>
      </c>
      <c r="H1" s="126"/>
      <c r="I1" s="118">
        <v>6.84</v>
      </c>
      <c r="J1" s="129" t="s">
        <v>153</v>
      </c>
      <c r="K1" s="129"/>
      <c r="L1" s="120">
        <v>6581</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9" t="s">
        <v>87</v>
      </c>
      <c r="B2" s="129"/>
      <c r="C2" s="144" t="str">
        <f>'Field data and Waste 1'!C2:D2</f>
        <v>EPR-KP3594VE</v>
      </c>
      <c r="D2" s="145"/>
      <c r="E2" s="93" t="s">
        <v>109</v>
      </c>
      <c r="F2" s="120" t="s">
        <v>172</v>
      </c>
      <c r="G2" s="127" t="s">
        <v>110</v>
      </c>
      <c r="H2" s="128"/>
      <c r="I2" s="118">
        <v>466</v>
      </c>
      <c r="J2" s="129" t="s">
        <v>158</v>
      </c>
      <c r="K2" s="129"/>
      <c r="L2" s="120">
        <v>8.11</v>
      </c>
      <c r="AB2" s="30" t="s">
        <v>56</v>
      </c>
      <c r="AC2" s="17"/>
      <c r="AD2" s="30" t="s">
        <v>70</v>
      </c>
      <c r="AE2" s="17"/>
      <c r="AF2" s="17"/>
      <c r="AG2" s="44" t="s">
        <v>76</v>
      </c>
      <c r="AH2" s="18"/>
      <c r="AI2" s="45" t="s">
        <v>126</v>
      </c>
      <c r="AJ2" s="46">
        <v>0</v>
      </c>
      <c r="AK2" s="47">
        <v>0</v>
      </c>
      <c r="AL2" s="10">
        <v>0</v>
      </c>
      <c r="AM2" s="11">
        <v>0</v>
      </c>
      <c r="AN2" s="11">
        <v>0</v>
      </c>
    </row>
    <row r="3" spans="1:41" ht="13" x14ac:dyDescent="0.25">
      <c r="A3" s="125" t="s">
        <v>42</v>
      </c>
      <c r="B3" s="126"/>
      <c r="C3" s="144" t="str">
        <f>'Field data and Waste 1'!C3:D3</f>
        <v xml:space="preserve">Trade effluent services </v>
      </c>
      <c r="D3" s="145"/>
      <c r="E3" s="93" t="s">
        <v>108</v>
      </c>
      <c r="F3" s="31" t="s">
        <v>78</v>
      </c>
      <c r="G3" s="129" t="s">
        <v>159</v>
      </c>
      <c r="H3" s="129"/>
      <c r="I3" s="118"/>
      <c r="J3" s="125" t="s">
        <v>154</v>
      </c>
      <c r="K3" s="126"/>
      <c r="L3" s="97">
        <f>(L1/(L2*10000))*100</f>
        <v>8.1146732429099888</v>
      </c>
      <c r="AB3" s="30" t="s">
        <v>57</v>
      </c>
      <c r="AC3" s="17"/>
      <c r="AD3" s="30" t="s">
        <v>71</v>
      </c>
      <c r="AE3" s="17"/>
      <c r="AF3" s="17"/>
      <c r="AG3" s="44" t="s">
        <v>77</v>
      </c>
      <c r="AH3" s="18"/>
      <c r="AI3" s="48" t="s">
        <v>113</v>
      </c>
      <c r="AJ3" s="49">
        <v>1.7</v>
      </c>
      <c r="AK3" s="50">
        <v>6</v>
      </c>
      <c r="AL3" s="51">
        <v>1</v>
      </c>
      <c r="AM3" s="11">
        <v>6.2</v>
      </c>
      <c r="AN3" s="11" t="s">
        <v>112</v>
      </c>
    </row>
    <row r="4" spans="1:41" ht="13" x14ac:dyDescent="0.25">
      <c r="A4" s="129" t="s">
        <v>0</v>
      </c>
      <c r="B4" s="129"/>
      <c r="C4" s="142" t="str">
        <f>'Field data and Waste 1'!C4:D4</f>
        <v>Play Yn Llan, Llangynhafal, LL16 4LN</v>
      </c>
      <c r="D4" s="143"/>
      <c r="E4" s="94" t="s">
        <v>1</v>
      </c>
      <c r="F4" s="120" t="s">
        <v>173</v>
      </c>
      <c r="G4" s="125"/>
      <c r="H4" s="126"/>
      <c r="I4" s="39"/>
      <c r="J4" s="125"/>
      <c r="K4" s="126"/>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9" t="s">
        <v>47</v>
      </c>
      <c r="B5" s="129"/>
      <c r="C5" s="142" t="str">
        <f>'Field data and Waste 1'!C5:D5</f>
        <v xml:space="preserve">Ethan Banfield </v>
      </c>
      <c r="D5" s="143"/>
      <c r="E5" s="93"/>
      <c r="F5" s="39"/>
      <c r="G5" s="125"/>
      <c r="H5" s="126"/>
      <c r="I5" s="39"/>
      <c r="J5" s="125"/>
      <c r="K5" s="126"/>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9" t="s">
        <v>2</v>
      </c>
      <c r="B8" s="129"/>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8</v>
      </c>
      <c r="J8" s="60">
        <f>'Field data and Waste 1'!J8</f>
        <v>7</v>
      </c>
      <c r="K8" s="60">
        <f>'Field data and Waste 1'!K8</f>
        <v>9</v>
      </c>
      <c r="L8" s="60">
        <f>'Field data and Waste 1'!L8</f>
        <v>10</v>
      </c>
      <c r="M8" s="60">
        <f>'Field data and Waste 1'!M8</f>
        <v>11</v>
      </c>
      <c r="N8" s="60">
        <f>'Field data and Waste 1'!N8</f>
        <v>12</v>
      </c>
      <c r="O8" s="60">
        <f>'Field data and Waste 1'!O8</f>
        <v>13</v>
      </c>
      <c r="P8" s="60" t="str">
        <f>'Field data and Waste 1'!P8</f>
        <v>7a</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9" t="s">
        <v>3</v>
      </c>
      <c r="B9" s="129"/>
      <c r="C9" s="60" t="str">
        <f>'Field data and Waste 1'!C9</f>
        <v>Moderate</v>
      </c>
      <c r="D9" s="60" t="str">
        <f>'Field data and Waste 1'!D9</f>
        <v>Moderate</v>
      </c>
      <c r="E9" s="60" t="str">
        <f>'Field data and Waste 1'!E9</f>
        <v>moderate</v>
      </c>
      <c r="F9" s="60">
        <f>'Field data and Waste 1'!F9</f>
        <v>1</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f>'Field data and Waste 1'!P9</f>
        <v>1</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9" t="s">
        <v>4</v>
      </c>
      <c r="B10" s="129"/>
      <c r="C10" s="60">
        <f>'Field data and Waste 1'!C10</f>
        <v>6.2</v>
      </c>
      <c r="D10" s="60">
        <f>'Field data and Waste 1'!D10</f>
        <v>6</v>
      </c>
      <c r="E10" s="60">
        <f>'Field data and Waste 1'!E10</f>
        <v>7</v>
      </c>
      <c r="F10" s="60">
        <f>'Field data and Waste 1'!F10</f>
        <v>6.1</v>
      </c>
      <c r="G10" s="60">
        <f>'Field data and Waste 1'!G10</f>
        <v>6.5</v>
      </c>
      <c r="H10" s="60">
        <f>'Field data and Waste 1'!H10</f>
        <v>6.5</v>
      </c>
      <c r="I10" s="60">
        <f>'Field data and Waste 1'!I10</f>
        <v>6.1</v>
      </c>
      <c r="J10" s="60">
        <f>'Field data and Waste 1'!J10</f>
        <v>6.1</v>
      </c>
      <c r="K10" s="60">
        <f>'Field data and Waste 1'!K10</f>
        <v>6.6</v>
      </c>
      <c r="L10" s="60">
        <f>'Field data and Waste 1'!L10</f>
        <v>6.7</v>
      </c>
      <c r="M10" s="60">
        <f>'Field data and Waste 1'!M10</f>
        <v>6.7</v>
      </c>
      <c r="N10" s="60">
        <f>'Field data and Waste 1'!N10</f>
        <v>6.5</v>
      </c>
      <c r="O10" s="60">
        <f>'Field data and Waste 1'!O10</f>
        <v>6.7</v>
      </c>
      <c r="P10" s="60">
        <f>'Field data and Waste 1'!P10</f>
        <v>6.5</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9" t="s">
        <v>5</v>
      </c>
      <c r="B11" s="129"/>
      <c r="C11" s="60">
        <f>'Field data and Waste 1'!C11</f>
        <v>2</v>
      </c>
      <c r="D11" s="60">
        <f>'Field data and Waste 1'!D11</f>
        <v>1</v>
      </c>
      <c r="E11" s="60">
        <f>'Field data and Waste 1'!E11</f>
        <v>1</v>
      </c>
      <c r="F11" s="60">
        <f>'Field data and Waste 1'!F11</f>
        <v>2</v>
      </c>
      <c r="G11" s="60">
        <f>'Field data and Waste 1'!G11</f>
        <v>1</v>
      </c>
      <c r="H11" s="60">
        <f>'Field data and Waste 1'!H11</f>
        <v>2</v>
      </c>
      <c r="I11" s="60">
        <f>'Field data and Waste 1'!I11</f>
        <v>1</v>
      </c>
      <c r="J11" s="60">
        <f>'Field data and Waste 1'!J11</f>
        <v>1</v>
      </c>
      <c r="K11" s="60">
        <f>'Field data and Waste 1'!K11</f>
        <v>0</v>
      </c>
      <c r="L11" s="60">
        <f>'Field data and Waste 1'!L11</f>
        <v>0</v>
      </c>
      <c r="M11" s="60">
        <f>'Field data and Waste 1'!M11</f>
        <v>1</v>
      </c>
      <c r="N11" s="60">
        <f>'Field data and Waste 1'!N11</f>
        <v>1</v>
      </c>
      <c r="O11" s="60">
        <f>'Field data and Waste 1'!O11</f>
        <v>1</v>
      </c>
      <c r="P11" s="60">
        <f>'Field data and Waste 1'!P11</f>
        <v>3</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9" t="s">
        <v>6</v>
      </c>
      <c r="B12" s="129"/>
      <c r="C12" s="60">
        <f>'Field data and Waste 1'!C12</f>
        <v>2</v>
      </c>
      <c r="D12" s="60">
        <f>'Field data and Waste 1'!D12</f>
        <v>2</v>
      </c>
      <c r="E12" s="60">
        <f>'Field data and Waste 1'!E12</f>
        <v>1</v>
      </c>
      <c r="F12" s="60">
        <f>'Field data and Waste 1'!F12</f>
        <v>1</v>
      </c>
      <c r="G12" s="60">
        <f>'Field data and Waste 1'!G12</f>
        <v>2</v>
      </c>
      <c r="H12" s="60">
        <f>'Field data and Waste 1'!H12</f>
        <v>3</v>
      </c>
      <c r="I12" s="60">
        <f>'Field data and Waste 1'!I12</f>
        <v>3</v>
      </c>
      <c r="J12" s="60">
        <f>'Field data and Waste 1'!J12</f>
        <v>2</v>
      </c>
      <c r="K12" s="60">
        <f>'Field data and Waste 1'!K12</f>
        <v>2</v>
      </c>
      <c r="L12" s="60">
        <f>'Field data and Waste 1'!L12</f>
        <v>1</v>
      </c>
      <c r="M12" s="60">
        <f>'Field data and Waste 1'!M12</f>
        <v>1</v>
      </c>
      <c r="N12" s="60">
        <f>'Field data and Waste 1'!N12</f>
        <v>2</v>
      </c>
      <c r="O12" s="60">
        <f>'Field data and Waste 1'!O12</f>
        <v>2</v>
      </c>
      <c r="P12" s="60">
        <f>'Field data and Waste 1'!P12</f>
        <v>3</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9" t="s">
        <v>7</v>
      </c>
      <c r="B13" s="129"/>
      <c r="C13" s="60">
        <f>'Field data and Waste 1'!C13</f>
        <v>2</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2</v>
      </c>
      <c r="L13" s="60">
        <f>'Field data and Waste 1'!L13</f>
        <v>3</v>
      </c>
      <c r="M13" s="60">
        <f>'Field data and Waste 1'!M13</f>
        <v>2</v>
      </c>
      <c r="N13" s="60">
        <f>'Field data and Waste 1'!N13</f>
        <v>2</v>
      </c>
      <c r="O13" s="60">
        <f>'Field data and Waste 1'!O13</f>
        <v>2</v>
      </c>
      <c r="P13" s="60">
        <f>'Field data and Waste 1'!P13</f>
        <v>3</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8" t="s">
        <v>8</v>
      </c>
      <c r="B14" s="138"/>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Maize- Silage (30% DM)</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Maize- Silage (30% DM)</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7" t="s">
        <v>9</v>
      </c>
      <c r="B15" s="137"/>
      <c r="C15" s="60">
        <f>'Field data and Waste 1'!C15</f>
        <v>38</v>
      </c>
      <c r="D15" s="60">
        <f>'Field data and Waste 1'!D15</f>
        <v>38</v>
      </c>
      <c r="E15" s="60">
        <f>'Field data and Waste 1'!E15</f>
        <v>38</v>
      </c>
      <c r="F15" s="60">
        <f>'Field data and Waste 1'!F15</f>
        <v>40</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40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9" t="s">
        <v>44</v>
      </c>
      <c r="B16" s="139"/>
      <c r="C16" s="103" t="str">
        <f>'Field data and Waste 1'!C16</f>
        <v>Sandy Loam</v>
      </c>
      <c r="D16" s="103" t="str">
        <f>'Field data and Waste 1'!D16</f>
        <v>Sandy Loam</v>
      </c>
      <c r="E16" s="103" t="str">
        <f>'Field data and Waste 1'!E16</f>
        <v>Sandy Loam</v>
      </c>
      <c r="F16" s="103" t="str">
        <f>'Field data and Waste 1'!F16</f>
        <v>Sandy Loam</v>
      </c>
      <c r="G16" s="103" t="str">
        <f>'Field data and Waste 1'!G16</f>
        <v>Sandy Loam</v>
      </c>
      <c r="H16" s="103" t="str">
        <f>'Field data and Waste 1'!H16</f>
        <v>Sandy Loam</v>
      </c>
      <c r="I16" s="103" t="str">
        <f>'Field data and Waste 1'!I16</f>
        <v>Sandy Loam</v>
      </c>
      <c r="J16" s="103" t="str">
        <f>'Field data and Waste 1'!J16</f>
        <v>Sandy Loam</v>
      </c>
      <c r="K16" s="103" t="str">
        <f>'Field data and Waste 1'!K16</f>
        <v>Sandy Loam</v>
      </c>
      <c r="L16" s="103" t="str">
        <f>'Field data and Waste 1'!L16</f>
        <v>Sandy Loam</v>
      </c>
      <c r="M16" s="103" t="str">
        <f>'Field data and Waste 1'!M16</f>
        <v>Sandy Loam</v>
      </c>
      <c r="N16" s="103" t="str">
        <f>'Field data and Waste 1'!N16</f>
        <v>Sandy Loam</v>
      </c>
      <c r="O16" s="103" t="str">
        <f>'Field data and Waste 1'!O16</f>
        <v>Sandy Loam</v>
      </c>
      <c r="P16" s="103" t="str">
        <f>'Field data and Waste 1'!P16</f>
        <v>Sandy Loam</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5" t="s">
        <v>69</v>
      </c>
      <c r="B17" s="136"/>
      <c r="C17" s="28">
        <f>(VLOOKUP(C$14,$AI2:$AK26,2,FALSE))*C$15</f>
        <v>64.599999999999994</v>
      </c>
      <c r="D17" s="28">
        <f t="shared" ref="D17:V17" si="0">(VLOOKUP(D$14,$AI2:$AK26,2,FALSE))*D$15</f>
        <v>64.599999999999994</v>
      </c>
      <c r="E17" s="28">
        <f t="shared" si="0"/>
        <v>64.599999999999994</v>
      </c>
      <c r="F17" s="28">
        <f t="shared" si="0"/>
        <v>56</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56</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3" t="s">
        <v>23</v>
      </c>
      <c r="B18" s="134"/>
      <c r="C18" s="16">
        <f>$D31</f>
        <v>63.477767950000008</v>
      </c>
      <c r="D18" s="16">
        <f>$D32</f>
        <v>63.477767950000008</v>
      </c>
      <c r="E18" s="16">
        <f>$D33</f>
        <v>63.477767950000008</v>
      </c>
      <c r="F18" s="16">
        <f>$D34</f>
        <v>63.477767950000008</v>
      </c>
      <c r="G18" s="16">
        <f>$D35</f>
        <v>63.477767950000008</v>
      </c>
      <c r="H18" s="16">
        <f>$D36</f>
        <v>63.477767950000008</v>
      </c>
      <c r="I18" s="16">
        <f>$D37</f>
        <v>63.477767950000008</v>
      </c>
      <c r="J18" s="16">
        <f>$D38</f>
        <v>63.477767950000008</v>
      </c>
      <c r="K18" s="16">
        <f>$D39</f>
        <v>63.477767950000008</v>
      </c>
      <c r="L18" s="16">
        <f>$D40</f>
        <v>63.477767950000008</v>
      </c>
      <c r="M18" s="16">
        <f>$D41</f>
        <v>63.477767950000008</v>
      </c>
      <c r="N18" s="16">
        <f>$D42</f>
        <v>63.477767950000008</v>
      </c>
      <c r="O18" s="16">
        <f>$D43</f>
        <v>63.477767950000008</v>
      </c>
      <c r="P18" s="16">
        <f>$D44</f>
        <v>63.477767950000008</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3" t="s">
        <v>90</v>
      </c>
      <c r="B19" s="134"/>
      <c r="C19" s="16">
        <f>C18-C17</f>
        <v>-1.1222320499999867</v>
      </c>
      <c r="D19" s="16">
        <f t="shared" ref="D19:V19" si="1">D18-D17</f>
        <v>-1.1222320499999867</v>
      </c>
      <c r="E19" s="16">
        <f t="shared" si="1"/>
        <v>-1.1222320499999867</v>
      </c>
      <c r="F19" s="16">
        <f t="shared" si="1"/>
        <v>7.4777679500000076</v>
      </c>
      <c r="G19" s="16">
        <f t="shared" si="1"/>
        <v>-1.1222320499999867</v>
      </c>
      <c r="H19" s="16">
        <f t="shared" si="1"/>
        <v>-1.1222320499999867</v>
      </c>
      <c r="I19" s="16">
        <f t="shared" si="1"/>
        <v>-1.1222320499999867</v>
      </c>
      <c r="J19" s="16">
        <f t="shared" si="1"/>
        <v>-1.1222320499999867</v>
      </c>
      <c r="K19" s="16">
        <f t="shared" si="1"/>
        <v>-1.1222320499999867</v>
      </c>
      <c r="L19" s="16">
        <f t="shared" si="1"/>
        <v>-1.1222320499999867</v>
      </c>
      <c r="M19" s="16">
        <f t="shared" si="1"/>
        <v>-1.1222320499999867</v>
      </c>
      <c r="N19" s="16">
        <f t="shared" si="1"/>
        <v>-1.1222320499999867</v>
      </c>
      <c r="O19" s="16">
        <f t="shared" si="1"/>
        <v>-1.1222320499999867</v>
      </c>
      <c r="P19" s="16">
        <f t="shared" si="1"/>
        <v>7.4777679500000076</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1" t="s">
        <v>91</v>
      </c>
      <c r="B20" s="132"/>
      <c r="C20" s="26" t="str">
        <f>IF($B31="","",IF(C$19&gt;=0,"INCREASE","DECREASE"))</f>
        <v>DECREASE</v>
      </c>
      <c r="D20" s="26" t="str">
        <f>IF($B32="","",IF(D$19&gt;=0,"INCREASE","DECREASE"))</f>
        <v>DECREASE</v>
      </c>
      <c r="E20" s="26" t="str">
        <f>IF($B33="","",IF(E$19&gt;=0,"INCREASE","DECREASE"))</f>
        <v>DECREASE</v>
      </c>
      <c r="F20" s="26" t="str">
        <f>IF($B34="","",IF(F$19&gt;=0,"INCREASE","DECREASE"))</f>
        <v>INCREASE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INCREASE</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5" t="s">
        <v>88</v>
      </c>
      <c r="B21" s="136"/>
      <c r="C21" s="28">
        <f>(VLOOKUP(C$14,$AI2:$AK26,3,FALSE))*C$15</f>
        <v>228</v>
      </c>
      <c r="D21" s="28">
        <f t="shared" ref="D21:V21" si="2">(VLOOKUP(D$14,$AI2:$AK26,3,FALSE))*D$15</f>
        <v>228</v>
      </c>
      <c r="E21" s="28">
        <f t="shared" si="2"/>
        <v>228</v>
      </c>
      <c r="F21" s="28">
        <f t="shared" si="2"/>
        <v>176</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176</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3" t="s">
        <v>89</v>
      </c>
      <c r="B22" s="134"/>
      <c r="C22" s="16">
        <f>$E31</f>
        <v>13.084281625000004</v>
      </c>
      <c r="D22" s="16">
        <f>$E32</f>
        <v>13.084281625000004</v>
      </c>
      <c r="E22" s="16">
        <f>$E33</f>
        <v>13.084281625000004</v>
      </c>
      <c r="F22" s="16">
        <f>$E34</f>
        <v>13.084281625000004</v>
      </c>
      <c r="G22" s="16">
        <f>$E35</f>
        <v>13.084281625000004</v>
      </c>
      <c r="H22" s="16">
        <f>$E36</f>
        <v>13.084281625000004</v>
      </c>
      <c r="I22" s="16">
        <f>$E37</f>
        <v>13.084281625000004</v>
      </c>
      <c r="J22" s="16">
        <f>$E38</f>
        <v>13.084281625000004</v>
      </c>
      <c r="K22" s="16">
        <f>$E39</f>
        <v>13.084281625000004</v>
      </c>
      <c r="L22" s="16">
        <f>$E40</f>
        <v>13.084281625000004</v>
      </c>
      <c r="M22" s="16">
        <f>$E41</f>
        <v>13.084281625000004</v>
      </c>
      <c r="N22" s="16">
        <f>$E42</f>
        <v>13.084281625000004</v>
      </c>
      <c r="O22" s="16">
        <f>$E43</f>
        <v>13.084281625000004</v>
      </c>
      <c r="P22" s="16">
        <f>$E44</f>
        <v>13.084281625000004</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3" t="s">
        <v>92</v>
      </c>
      <c r="B23" s="134"/>
      <c r="C23" s="16">
        <f>C22-C21</f>
        <v>-214.91571837499998</v>
      </c>
      <c r="D23" s="16">
        <f t="shared" ref="D23:V23" si="3">D22-D21</f>
        <v>-214.91571837499998</v>
      </c>
      <c r="E23" s="16">
        <f t="shared" si="3"/>
        <v>-214.91571837499998</v>
      </c>
      <c r="F23" s="16">
        <f t="shared" si="3"/>
        <v>-162.91571837499998</v>
      </c>
      <c r="G23" s="16">
        <f t="shared" si="3"/>
        <v>-214.91571837499998</v>
      </c>
      <c r="H23" s="16">
        <f t="shared" si="3"/>
        <v>-214.91571837499998</v>
      </c>
      <c r="I23" s="16">
        <f t="shared" si="3"/>
        <v>-214.91571837499998</v>
      </c>
      <c r="J23" s="16">
        <f t="shared" si="3"/>
        <v>-214.91571837499998</v>
      </c>
      <c r="K23" s="16">
        <f t="shared" si="3"/>
        <v>-214.91571837499998</v>
      </c>
      <c r="L23" s="16">
        <f t="shared" si="3"/>
        <v>-214.91571837499998</v>
      </c>
      <c r="M23" s="16">
        <f t="shared" si="3"/>
        <v>-214.91571837499998</v>
      </c>
      <c r="N23" s="16">
        <f t="shared" si="3"/>
        <v>-214.91571837499998</v>
      </c>
      <c r="O23" s="16">
        <f t="shared" si="3"/>
        <v>-214.91571837499998</v>
      </c>
      <c r="P23" s="16">
        <f t="shared" si="3"/>
        <v>-162.91571837499998</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1" t="s">
        <v>93</v>
      </c>
      <c r="B24" s="132"/>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57</v>
      </c>
      <c r="G27" s="107" t="s">
        <v>55</v>
      </c>
      <c r="H27" s="107" t="s">
        <v>55</v>
      </c>
      <c r="I27" s="107" t="s">
        <v>55</v>
      </c>
      <c r="J27" s="107" t="s">
        <v>55</v>
      </c>
      <c r="K27" s="107" t="s">
        <v>55</v>
      </c>
      <c r="L27" s="107" t="s">
        <v>55</v>
      </c>
      <c r="M27" s="107" t="s">
        <v>55</v>
      </c>
      <c r="N27" s="107"/>
      <c r="O27" s="107"/>
      <c r="P27" s="107" t="s">
        <v>57</v>
      </c>
      <c r="Q27" s="107" t="s">
        <v>57</v>
      </c>
      <c r="R27" s="107"/>
      <c r="S27" s="107"/>
      <c r="T27" s="107"/>
      <c r="U27" s="107"/>
    </row>
    <row r="28" spans="1:40" s="57" customFormat="1" x14ac:dyDescent="0.35">
      <c r="A28" s="108"/>
      <c r="B28" s="24">
        <v>8.81</v>
      </c>
      <c r="C28" s="15">
        <v>8.11</v>
      </c>
      <c r="D28" s="15">
        <v>1.85</v>
      </c>
      <c r="E28" s="15">
        <v>0.72499999999999998</v>
      </c>
      <c r="F28" s="15">
        <v>0.25900000000000001</v>
      </c>
      <c r="G28" s="15">
        <v>29.7</v>
      </c>
      <c r="H28" s="15">
        <v>337</v>
      </c>
      <c r="I28" s="15">
        <v>4.2300000000000004</v>
      </c>
      <c r="J28" s="15">
        <v>0.1</v>
      </c>
      <c r="K28" s="23">
        <v>0.1</v>
      </c>
      <c r="L28" s="15">
        <v>21.1</v>
      </c>
      <c r="M28" s="15">
        <v>65.599999999999994</v>
      </c>
      <c r="N28" s="15"/>
      <c r="O28" s="15"/>
      <c r="P28" s="15">
        <v>1.04</v>
      </c>
      <c r="Q28" s="15">
        <v>1.69</v>
      </c>
      <c r="R28" s="15"/>
      <c r="S28" s="15"/>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17</v>
      </c>
      <c r="C31" s="77">
        <f>IF(C$27="%w/w SAR",((C$28*10)*$B31),IF(C$27="%w/w DM",(((C$28*10)*($B$28/100))*$B31),IF(C$27="kg/t SAR",(C$28*$B31),IF(C$27="kg/t DM",((C$28*($B$28/100))*$B31),IF(C$27="mg/kg SAR",((C$28*0.001)*$B31),IF(C$27="mg/kg DM",(((C$28*0.001)*($B$28/100))*$B31),0))))))</f>
        <v>121.46347</v>
      </c>
      <c r="D31" s="77">
        <f>(IF(D$27="%w/w SAR",((D$28*10)*$B31),IF(D$27="%w/w DM",(((D$28*10)*($B$28/100))*$B31),IF(D$27="kg/t SAR",(D$28*$B31),IF(D$27="kg/t DM",((D$28*($B$28/100))*$B31),IF(D$27="mg/kg SAR",((D$28*0.001)*$B31),IF(D$27="mg/kg DM",(((D$28*0.001)*($B$28/100))*$B31),"0")))))))*2.291</f>
        <v>63.477767950000008</v>
      </c>
      <c r="E31" s="77">
        <f>(IF(E$27="%w/w SAR",((E$28*10)*$B31),IF(E$27="%w/w DM",(((E$28*10)*($B$28/100))*$B31),IF(E$27="kg/t SAR",(E$28*$B31),IF(E$27="kg/t DM",((E$28*($B$28/100))*$B31),IF(E$27="mg/kg SAR",((E$28*0.001)*$B31),IF(E$27="mg/kg DM",(((E$28*0.001)*($B$28/100))*$B31),"0")))))))*1.205</f>
        <v>13.084281625000004</v>
      </c>
      <c r="F31" s="77">
        <f>(IF(F$27="%w/w SAR",((F$28*10)*$B31),IF(F$27="%w/w DM",(((F$28*10)*($B$28/100))*$B31),IF(F$27="kg/t SAR",(F$28*$B31),IF(F$27="kg/t DM",((F$28*($B$28/100))*$B31),IF(F$27="mg/kg SAR",((F$28*0.001)*$B31),IF(F$27="mg/kg DM",(((F$28*0.001)*($B$28/100))*$B31),"0")))))))*1.658</f>
        <v>6.4314532939999998</v>
      </c>
      <c r="G31" s="77">
        <f t="shared" ref="G31:P46" si="5">IF(G$27="%w/w SAR",((G$28*10)*$B31),IF(G$27="%w/w DM",(((G$28*10)*($B$28/100))*$B31),IF(G$27="kg/t SAR",(G$28*$B31),IF(G$27="kg/t DM",((G$28*($B$28/100))*$B31),IF(G$27="mg/kg SAR",((G$28*0.001)*$B31),IF(G$27="mg/kg DM",(((G$28*0.001)*($B$28/100))*$B31),0))))))</f>
        <v>4.4481690000000004E-2</v>
      </c>
      <c r="H31" s="77">
        <f t="shared" si="5"/>
        <v>0.50472490000000014</v>
      </c>
      <c r="I31" s="77">
        <f t="shared" si="5"/>
        <v>6.3352710000000017E-3</v>
      </c>
      <c r="J31" s="77">
        <f t="shared" si="5"/>
        <v>1.4977000000000002E-4</v>
      </c>
      <c r="K31" s="77">
        <f t="shared" si="5"/>
        <v>1.4977000000000002E-4</v>
      </c>
      <c r="L31" s="77">
        <f t="shared" si="5"/>
        <v>3.1601470000000006E-2</v>
      </c>
      <c r="M31" s="77">
        <f t="shared" si="5"/>
        <v>9.8249119999999995E-2</v>
      </c>
      <c r="N31" s="77">
        <f t="shared" si="5"/>
        <v>0</v>
      </c>
      <c r="O31" s="77">
        <f t="shared" si="5"/>
        <v>0</v>
      </c>
      <c r="P31" s="77">
        <f t="shared" si="5"/>
        <v>15.576080000000003</v>
      </c>
      <c r="Q31" s="77">
        <f>(IF(Q$27="%w/w SAR",((Q$28*10)*$B31),IF(Q$27="%w/w DM",(((Q$28*10)*($B$28/100))*$B31),IF(Q$27="kg/t SAR",(Q$28*$B31),IF(Q$27="kg/t DM",((Q$28*($B$28/100))*$B31),IF(Q$27="mg/kg SAR",((Q$28*0.001)*$B31),IF(Q$27="mg/kg DM",(((Q$28*0.001)*($B$28/100))*$B31),0)))))))*2.5</f>
        <v>63.277825000000007</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17</v>
      </c>
      <c r="C32" s="77">
        <f t="shared" ref="C32:C50" si="6">IF(C$27="%w/w SAR",((C$28*10)*$B32),IF(C$27="%w/w DM",(((C$28*10)*($B$28/100))*$B32),IF(C$27="kg/t SAR",(C$28*$B32),IF(C$27="kg/t DM",((C$28*($B$28/100))*$B32),IF(C$27="mg/kg SAR",((C$28*0.001)*$B32),IF(C$27="mg/kg DM",(((C$28*0.001)*($B$28/100))*$B32),0))))))</f>
        <v>121.46347</v>
      </c>
      <c r="D32" s="77">
        <f t="shared" ref="D32:D50" si="7">(IF(D$27="%w/w SAR",((D$28*10)*$B32),IF(D$27="%w/w DM",(((D$28*10)*($B$28/100))*$B32),IF(D$27="kg/t SAR",(D$28*$B32),IF(D$27="kg/t DM",((D$28*($B$28/100))*$B32),IF(D$27="mg/kg SAR",((D$28*0.001)*$B32),IF(D$27="mg/kg DM",(((D$28*0.001)*($B$28/100))*$B32),"0")))))))*2.291</f>
        <v>63.477767950000008</v>
      </c>
      <c r="E32" s="77">
        <f t="shared" ref="E32:E50" si="8">(IF(E$27="%w/w SAR",((E$28*10)*$B32),IF(E$27="%w/w DM",(((E$28*10)*($B$28/100))*$B32),IF(E$27="kg/t SAR",(E$28*$B32),IF(E$27="kg/t DM",((E$28*($B$28/100))*$B32),IF(E$27="mg/kg SAR",((E$28*0.001)*$B32),IF(E$27="mg/kg DM",(((E$28*0.001)*($B$28/100))*$B32),"0")))))))*1.205</f>
        <v>13.084281625000004</v>
      </c>
      <c r="F32" s="77">
        <f t="shared" ref="F32:F50" si="9">(IF(F$27="%w/w SAR",((F$28*10)*$B32),IF(F$27="%w/w DM",(((F$28*10)*($B$28/100))*$B32),IF(F$27="kg/t SAR",(F$28*$B32),IF(F$27="kg/t DM",((F$28*($B$28/100))*$B32),IF(F$27="mg/kg SAR",((F$28*0.001)*$B32),IF(F$27="mg/kg DM",(((F$28*0.001)*($B$28/100))*$B32),"0")))))))*1.658</f>
        <v>6.4314532939999998</v>
      </c>
      <c r="G32" s="77">
        <f t="shared" si="5"/>
        <v>4.4481690000000004E-2</v>
      </c>
      <c r="H32" s="77">
        <f t="shared" si="5"/>
        <v>0.50472490000000014</v>
      </c>
      <c r="I32" s="77">
        <f t="shared" si="5"/>
        <v>6.3352710000000017E-3</v>
      </c>
      <c r="J32" s="77">
        <f t="shared" si="5"/>
        <v>1.4977000000000002E-4</v>
      </c>
      <c r="K32" s="77">
        <f t="shared" si="5"/>
        <v>1.4977000000000002E-4</v>
      </c>
      <c r="L32" s="77">
        <f t="shared" si="5"/>
        <v>3.1601470000000006E-2</v>
      </c>
      <c r="M32" s="77">
        <f t="shared" si="5"/>
        <v>9.8249119999999995E-2</v>
      </c>
      <c r="N32" s="77">
        <f t="shared" si="5"/>
        <v>0</v>
      </c>
      <c r="O32" s="77">
        <f t="shared" si="5"/>
        <v>0</v>
      </c>
      <c r="P32" s="77">
        <f t="shared" si="5"/>
        <v>15.576080000000003</v>
      </c>
      <c r="Q32" s="77">
        <f t="shared" ref="Q32:Q50" si="10">(IF(Q$27="%w/w SAR",((Q$28*10)*$B32),IF(Q$27="%w/w DM",(((Q$28*10)*($B$28/100))*$B32),IF(Q$27="kg/t SAR",(Q$28*$B32),IF(Q$27="kg/t DM",((Q$28*($B$28/100))*$B32),IF(Q$27="mg/kg SAR",((Q$28*0.001)*$B32),IF(Q$27="mg/kg DM",(((Q$28*0.001)*($B$28/100))*$B32),0)))))))*2.5</f>
        <v>63.277825000000007</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17</v>
      </c>
      <c r="C33" s="77">
        <f t="shared" si="6"/>
        <v>121.46347</v>
      </c>
      <c r="D33" s="77">
        <f t="shared" si="7"/>
        <v>63.477767950000008</v>
      </c>
      <c r="E33" s="77">
        <f t="shared" si="8"/>
        <v>13.084281625000004</v>
      </c>
      <c r="F33" s="77">
        <f t="shared" si="9"/>
        <v>6.4314532939999998</v>
      </c>
      <c r="G33" s="77">
        <f t="shared" si="5"/>
        <v>4.4481690000000004E-2</v>
      </c>
      <c r="H33" s="77">
        <f t="shared" si="5"/>
        <v>0.50472490000000014</v>
      </c>
      <c r="I33" s="77">
        <f t="shared" si="5"/>
        <v>6.3352710000000017E-3</v>
      </c>
      <c r="J33" s="77">
        <f t="shared" si="5"/>
        <v>1.4977000000000002E-4</v>
      </c>
      <c r="K33" s="77">
        <f t="shared" si="5"/>
        <v>1.4977000000000002E-4</v>
      </c>
      <c r="L33" s="77">
        <f t="shared" si="5"/>
        <v>3.1601470000000006E-2</v>
      </c>
      <c r="M33" s="77">
        <f t="shared" si="5"/>
        <v>9.8249119999999995E-2</v>
      </c>
      <c r="N33" s="77">
        <f t="shared" si="5"/>
        <v>0</v>
      </c>
      <c r="O33" s="77">
        <f t="shared" si="5"/>
        <v>0</v>
      </c>
      <c r="P33" s="77">
        <f t="shared" si="5"/>
        <v>15.576080000000003</v>
      </c>
      <c r="Q33" s="77">
        <f t="shared" si="10"/>
        <v>63.277825000000007</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17</v>
      </c>
      <c r="C34" s="77">
        <f t="shared" si="6"/>
        <v>121.46347</v>
      </c>
      <c r="D34" s="77">
        <f t="shared" si="7"/>
        <v>63.477767950000008</v>
      </c>
      <c r="E34" s="77">
        <f t="shared" si="8"/>
        <v>13.084281625000004</v>
      </c>
      <c r="F34" s="77">
        <f t="shared" si="9"/>
        <v>6.4314532939999998</v>
      </c>
      <c r="G34" s="77">
        <f t="shared" si="5"/>
        <v>4.4481690000000004E-2</v>
      </c>
      <c r="H34" s="77">
        <f t="shared" si="5"/>
        <v>0.50472490000000014</v>
      </c>
      <c r="I34" s="77">
        <f t="shared" si="5"/>
        <v>6.3352710000000017E-3</v>
      </c>
      <c r="J34" s="77">
        <f t="shared" si="5"/>
        <v>1.4977000000000002E-4</v>
      </c>
      <c r="K34" s="77">
        <f t="shared" si="5"/>
        <v>1.4977000000000002E-4</v>
      </c>
      <c r="L34" s="77">
        <f t="shared" si="5"/>
        <v>3.1601470000000006E-2</v>
      </c>
      <c r="M34" s="77">
        <f t="shared" si="5"/>
        <v>9.8249119999999995E-2</v>
      </c>
      <c r="N34" s="77">
        <f t="shared" si="5"/>
        <v>0</v>
      </c>
      <c r="O34" s="77">
        <f t="shared" si="5"/>
        <v>0</v>
      </c>
      <c r="P34" s="77">
        <f t="shared" si="5"/>
        <v>15.576080000000003</v>
      </c>
      <c r="Q34" s="77">
        <f t="shared" si="10"/>
        <v>63.277825000000007</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17</v>
      </c>
      <c r="C35" s="77">
        <f t="shared" si="6"/>
        <v>121.46347</v>
      </c>
      <c r="D35" s="77">
        <f t="shared" si="7"/>
        <v>63.477767950000008</v>
      </c>
      <c r="E35" s="77">
        <f t="shared" si="8"/>
        <v>13.084281625000004</v>
      </c>
      <c r="F35" s="77">
        <f t="shared" si="9"/>
        <v>6.4314532939999998</v>
      </c>
      <c r="G35" s="77">
        <f t="shared" si="5"/>
        <v>4.4481690000000004E-2</v>
      </c>
      <c r="H35" s="77">
        <f t="shared" si="5"/>
        <v>0.50472490000000014</v>
      </c>
      <c r="I35" s="77">
        <f t="shared" si="5"/>
        <v>6.3352710000000017E-3</v>
      </c>
      <c r="J35" s="77">
        <f t="shared" si="5"/>
        <v>1.4977000000000002E-4</v>
      </c>
      <c r="K35" s="77">
        <f t="shared" si="5"/>
        <v>1.4977000000000002E-4</v>
      </c>
      <c r="L35" s="77">
        <f t="shared" si="5"/>
        <v>3.1601470000000006E-2</v>
      </c>
      <c r="M35" s="77">
        <f t="shared" si="5"/>
        <v>9.8249119999999995E-2</v>
      </c>
      <c r="N35" s="77">
        <f t="shared" si="5"/>
        <v>0</v>
      </c>
      <c r="O35" s="77">
        <f t="shared" si="5"/>
        <v>0</v>
      </c>
      <c r="P35" s="77">
        <f t="shared" si="5"/>
        <v>15.576080000000003</v>
      </c>
      <c r="Q35" s="77">
        <f t="shared" si="10"/>
        <v>63.277825000000007</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17</v>
      </c>
      <c r="C36" s="77">
        <f t="shared" si="6"/>
        <v>121.46347</v>
      </c>
      <c r="D36" s="77">
        <f t="shared" si="7"/>
        <v>63.477767950000008</v>
      </c>
      <c r="E36" s="77">
        <f t="shared" si="8"/>
        <v>13.084281625000004</v>
      </c>
      <c r="F36" s="77">
        <f t="shared" si="9"/>
        <v>6.4314532939999998</v>
      </c>
      <c r="G36" s="77">
        <f t="shared" si="5"/>
        <v>4.4481690000000004E-2</v>
      </c>
      <c r="H36" s="77">
        <f t="shared" si="5"/>
        <v>0.50472490000000014</v>
      </c>
      <c r="I36" s="77">
        <f t="shared" si="5"/>
        <v>6.3352710000000017E-3</v>
      </c>
      <c r="J36" s="77">
        <f t="shared" si="5"/>
        <v>1.4977000000000002E-4</v>
      </c>
      <c r="K36" s="77">
        <f t="shared" si="5"/>
        <v>1.4977000000000002E-4</v>
      </c>
      <c r="L36" s="77">
        <f t="shared" si="5"/>
        <v>3.1601470000000006E-2</v>
      </c>
      <c r="M36" s="77">
        <f t="shared" si="5"/>
        <v>9.8249119999999995E-2</v>
      </c>
      <c r="N36" s="77">
        <f t="shared" si="5"/>
        <v>0</v>
      </c>
      <c r="O36" s="77">
        <f t="shared" si="5"/>
        <v>0</v>
      </c>
      <c r="P36" s="77">
        <f t="shared" si="5"/>
        <v>15.576080000000003</v>
      </c>
      <c r="Q36" s="77">
        <f t="shared" si="10"/>
        <v>63.277825000000007</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8</v>
      </c>
      <c r="B37" s="15">
        <v>17</v>
      </c>
      <c r="C37" s="77">
        <f t="shared" si="6"/>
        <v>121.46347</v>
      </c>
      <c r="D37" s="77">
        <f t="shared" si="7"/>
        <v>63.477767950000008</v>
      </c>
      <c r="E37" s="77">
        <f t="shared" si="8"/>
        <v>13.084281625000004</v>
      </c>
      <c r="F37" s="77">
        <f t="shared" si="9"/>
        <v>6.4314532939999998</v>
      </c>
      <c r="G37" s="77">
        <f t="shared" si="5"/>
        <v>4.4481690000000004E-2</v>
      </c>
      <c r="H37" s="77">
        <f t="shared" si="5"/>
        <v>0.50472490000000014</v>
      </c>
      <c r="I37" s="77">
        <f t="shared" si="5"/>
        <v>6.3352710000000017E-3</v>
      </c>
      <c r="J37" s="77">
        <f t="shared" si="5"/>
        <v>1.4977000000000002E-4</v>
      </c>
      <c r="K37" s="77">
        <f t="shared" si="5"/>
        <v>1.4977000000000002E-4</v>
      </c>
      <c r="L37" s="77">
        <f t="shared" si="5"/>
        <v>3.1601470000000006E-2</v>
      </c>
      <c r="M37" s="77">
        <f t="shared" si="5"/>
        <v>9.8249119999999995E-2</v>
      </c>
      <c r="N37" s="77">
        <f t="shared" si="5"/>
        <v>0</v>
      </c>
      <c r="O37" s="77">
        <f t="shared" si="5"/>
        <v>0</v>
      </c>
      <c r="P37" s="77">
        <f t="shared" si="5"/>
        <v>15.576080000000003</v>
      </c>
      <c r="Q37" s="77">
        <f t="shared" si="10"/>
        <v>63.277825000000007</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7</v>
      </c>
      <c r="B38" s="15">
        <v>17</v>
      </c>
      <c r="C38" s="77">
        <f t="shared" si="6"/>
        <v>121.46347</v>
      </c>
      <c r="D38" s="77">
        <f t="shared" si="7"/>
        <v>63.477767950000008</v>
      </c>
      <c r="E38" s="77">
        <f t="shared" si="8"/>
        <v>13.084281625000004</v>
      </c>
      <c r="F38" s="77">
        <f t="shared" si="9"/>
        <v>6.4314532939999998</v>
      </c>
      <c r="G38" s="77">
        <f t="shared" si="5"/>
        <v>4.4481690000000004E-2</v>
      </c>
      <c r="H38" s="77">
        <f t="shared" si="5"/>
        <v>0.50472490000000014</v>
      </c>
      <c r="I38" s="77">
        <f t="shared" si="5"/>
        <v>6.3352710000000017E-3</v>
      </c>
      <c r="J38" s="77">
        <f t="shared" si="5"/>
        <v>1.4977000000000002E-4</v>
      </c>
      <c r="K38" s="77">
        <f t="shared" si="5"/>
        <v>1.4977000000000002E-4</v>
      </c>
      <c r="L38" s="77">
        <f t="shared" si="5"/>
        <v>3.1601470000000006E-2</v>
      </c>
      <c r="M38" s="77">
        <f t="shared" si="5"/>
        <v>9.8249119999999995E-2</v>
      </c>
      <c r="N38" s="77">
        <f t="shared" si="5"/>
        <v>0</v>
      </c>
      <c r="O38" s="77">
        <f t="shared" si="5"/>
        <v>0</v>
      </c>
      <c r="P38" s="77">
        <f t="shared" si="5"/>
        <v>15.576080000000003</v>
      </c>
      <c r="Q38" s="77">
        <f t="shared" si="10"/>
        <v>63.277825000000007</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v>17</v>
      </c>
      <c r="C39" s="77">
        <f t="shared" si="6"/>
        <v>121.46347</v>
      </c>
      <c r="D39" s="77">
        <f t="shared" si="7"/>
        <v>63.477767950000008</v>
      </c>
      <c r="E39" s="77">
        <f t="shared" si="8"/>
        <v>13.084281625000004</v>
      </c>
      <c r="F39" s="77">
        <f t="shared" si="9"/>
        <v>6.4314532939999998</v>
      </c>
      <c r="G39" s="77">
        <f t="shared" si="5"/>
        <v>4.4481690000000004E-2</v>
      </c>
      <c r="H39" s="77">
        <f t="shared" si="5"/>
        <v>0.50472490000000014</v>
      </c>
      <c r="I39" s="77">
        <f t="shared" si="5"/>
        <v>6.3352710000000017E-3</v>
      </c>
      <c r="J39" s="77">
        <f t="shared" si="5"/>
        <v>1.4977000000000002E-4</v>
      </c>
      <c r="K39" s="77">
        <f t="shared" si="5"/>
        <v>1.4977000000000002E-4</v>
      </c>
      <c r="L39" s="77">
        <f t="shared" si="5"/>
        <v>3.1601470000000006E-2</v>
      </c>
      <c r="M39" s="77">
        <f t="shared" si="5"/>
        <v>9.8249119999999995E-2</v>
      </c>
      <c r="N39" s="77">
        <f t="shared" si="5"/>
        <v>0</v>
      </c>
      <c r="O39" s="77">
        <f t="shared" si="5"/>
        <v>0</v>
      </c>
      <c r="P39" s="77">
        <f t="shared" si="5"/>
        <v>15.576080000000003</v>
      </c>
      <c r="Q39" s="77">
        <f t="shared" si="10"/>
        <v>63.277825000000007</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v>17</v>
      </c>
      <c r="C40" s="77">
        <f t="shared" si="6"/>
        <v>121.46347</v>
      </c>
      <c r="D40" s="77">
        <f t="shared" si="7"/>
        <v>63.477767950000008</v>
      </c>
      <c r="E40" s="77">
        <f t="shared" si="8"/>
        <v>13.084281625000004</v>
      </c>
      <c r="F40" s="77">
        <f t="shared" si="9"/>
        <v>6.4314532939999998</v>
      </c>
      <c r="G40" s="77">
        <f t="shared" si="5"/>
        <v>4.4481690000000004E-2</v>
      </c>
      <c r="H40" s="77">
        <f t="shared" si="5"/>
        <v>0.50472490000000014</v>
      </c>
      <c r="I40" s="77">
        <f t="shared" si="5"/>
        <v>6.3352710000000017E-3</v>
      </c>
      <c r="J40" s="77">
        <f t="shared" si="5"/>
        <v>1.4977000000000002E-4</v>
      </c>
      <c r="K40" s="77">
        <f t="shared" si="5"/>
        <v>1.4977000000000002E-4</v>
      </c>
      <c r="L40" s="77">
        <f t="shared" si="5"/>
        <v>3.1601470000000006E-2</v>
      </c>
      <c r="M40" s="77">
        <f t="shared" si="5"/>
        <v>9.8249119999999995E-2</v>
      </c>
      <c r="N40" s="77">
        <f t="shared" si="5"/>
        <v>0</v>
      </c>
      <c r="O40" s="77">
        <f t="shared" si="5"/>
        <v>0</v>
      </c>
      <c r="P40" s="77">
        <f t="shared" si="5"/>
        <v>15.576080000000003</v>
      </c>
      <c r="Q40" s="77">
        <f t="shared" si="10"/>
        <v>63.277825000000007</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11</v>
      </c>
      <c r="B41" s="15">
        <v>17</v>
      </c>
      <c r="C41" s="77">
        <f t="shared" si="6"/>
        <v>121.46347</v>
      </c>
      <c r="D41" s="77">
        <f t="shared" si="7"/>
        <v>63.477767950000008</v>
      </c>
      <c r="E41" s="77">
        <f t="shared" si="8"/>
        <v>13.084281625000004</v>
      </c>
      <c r="F41" s="77">
        <f t="shared" si="9"/>
        <v>6.4314532939999998</v>
      </c>
      <c r="G41" s="77">
        <f t="shared" si="5"/>
        <v>4.4481690000000004E-2</v>
      </c>
      <c r="H41" s="77">
        <f t="shared" si="5"/>
        <v>0.50472490000000014</v>
      </c>
      <c r="I41" s="77">
        <f t="shared" si="5"/>
        <v>6.3352710000000017E-3</v>
      </c>
      <c r="J41" s="77">
        <f t="shared" si="5"/>
        <v>1.4977000000000002E-4</v>
      </c>
      <c r="K41" s="77">
        <f t="shared" si="5"/>
        <v>1.4977000000000002E-4</v>
      </c>
      <c r="L41" s="77">
        <f t="shared" si="5"/>
        <v>3.1601470000000006E-2</v>
      </c>
      <c r="M41" s="77">
        <f t="shared" si="5"/>
        <v>9.8249119999999995E-2</v>
      </c>
      <c r="N41" s="77">
        <f t="shared" si="5"/>
        <v>0</v>
      </c>
      <c r="O41" s="77">
        <f t="shared" si="5"/>
        <v>0</v>
      </c>
      <c r="P41" s="77">
        <f t="shared" si="5"/>
        <v>15.576080000000003</v>
      </c>
      <c r="Q41" s="77">
        <f t="shared" si="10"/>
        <v>63.277825000000007</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12</v>
      </c>
      <c r="B42" s="15">
        <v>17</v>
      </c>
      <c r="C42" s="77">
        <f t="shared" si="6"/>
        <v>121.46347</v>
      </c>
      <c r="D42" s="77">
        <f t="shared" si="7"/>
        <v>63.477767950000008</v>
      </c>
      <c r="E42" s="77">
        <f t="shared" si="8"/>
        <v>13.084281625000004</v>
      </c>
      <c r="F42" s="77">
        <f t="shared" si="9"/>
        <v>6.4314532939999998</v>
      </c>
      <c r="G42" s="77">
        <f t="shared" si="5"/>
        <v>4.4481690000000004E-2</v>
      </c>
      <c r="H42" s="77">
        <f t="shared" si="5"/>
        <v>0.50472490000000014</v>
      </c>
      <c r="I42" s="77">
        <f t="shared" si="5"/>
        <v>6.3352710000000017E-3</v>
      </c>
      <c r="J42" s="77">
        <f t="shared" si="5"/>
        <v>1.4977000000000002E-4</v>
      </c>
      <c r="K42" s="77">
        <f t="shared" si="5"/>
        <v>1.4977000000000002E-4</v>
      </c>
      <c r="L42" s="77">
        <f t="shared" si="5"/>
        <v>3.1601470000000006E-2</v>
      </c>
      <c r="M42" s="77">
        <f t="shared" si="5"/>
        <v>9.8249119999999995E-2</v>
      </c>
      <c r="N42" s="77">
        <f t="shared" si="5"/>
        <v>0</v>
      </c>
      <c r="O42" s="77">
        <f t="shared" si="5"/>
        <v>0</v>
      </c>
      <c r="P42" s="77">
        <f t="shared" si="5"/>
        <v>15.576080000000003</v>
      </c>
      <c r="Q42" s="77">
        <f t="shared" si="10"/>
        <v>63.277825000000007</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13</v>
      </c>
      <c r="B43" s="15">
        <v>17</v>
      </c>
      <c r="C43" s="77">
        <f t="shared" si="6"/>
        <v>121.46347</v>
      </c>
      <c r="D43" s="77">
        <f t="shared" si="7"/>
        <v>63.477767950000008</v>
      </c>
      <c r="E43" s="77">
        <f t="shared" si="8"/>
        <v>13.084281625000004</v>
      </c>
      <c r="F43" s="77">
        <f t="shared" si="9"/>
        <v>6.4314532939999998</v>
      </c>
      <c r="G43" s="77">
        <f t="shared" si="5"/>
        <v>4.4481690000000004E-2</v>
      </c>
      <c r="H43" s="77">
        <f t="shared" si="5"/>
        <v>0.50472490000000014</v>
      </c>
      <c r="I43" s="77">
        <f t="shared" si="5"/>
        <v>6.3352710000000017E-3</v>
      </c>
      <c r="J43" s="77">
        <f t="shared" si="5"/>
        <v>1.4977000000000002E-4</v>
      </c>
      <c r="K43" s="77">
        <f t="shared" si="5"/>
        <v>1.4977000000000002E-4</v>
      </c>
      <c r="L43" s="77">
        <f t="shared" si="5"/>
        <v>3.1601470000000006E-2</v>
      </c>
      <c r="M43" s="77">
        <f t="shared" si="5"/>
        <v>9.8249119999999995E-2</v>
      </c>
      <c r="N43" s="77">
        <f t="shared" si="5"/>
        <v>0</v>
      </c>
      <c r="O43" s="77">
        <f t="shared" si="5"/>
        <v>0</v>
      </c>
      <c r="P43" s="77">
        <f t="shared" si="5"/>
        <v>15.576080000000003</v>
      </c>
      <c r="Q43" s="77">
        <f t="shared" si="10"/>
        <v>63.277825000000007</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t="str">
        <f>P8</f>
        <v>7a</v>
      </c>
      <c r="B44" s="15">
        <v>17</v>
      </c>
      <c r="C44" s="77">
        <f t="shared" si="6"/>
        <v>121.46347</v>
      </c>
      <c r="D44" s="77">
        <f t="shared" si="7"/>
        <v>63.477767950000008</v>
      </c>
      <c r="E44" s="77">
        <f t="shared" si="8"/>
        <v>13.084281625000004</v>
      </c>
      <c r="F44" s="77">
        <f t="shared" si="9"/>
        <v>6.4314532939999998</v>
      </c>
      <c r="G44" s="77">
        <f t="shared" si="5"/>
        <v>4.4481690000000004E-2</v>
      </c>
      <c r="H44" s="77">
        <f t="shared" si="5"/>
        <v>0.50472490000000014</v>
      </c>
      <c r="I44" s="77">
        <f t="shared" si="5"/>
        <v>6.3352710000000017E-3</v>
      </c>
      <c r="J44" s="77">
        <f t="shared" si="5"/>
        <v>1.4977000000000002E-4</v>
      </c>
      <c r="K44" s="77">
        <f t="shared" si="5"/>
        <v>1.4977000000000002E-4</v>
      </c>
      <c r="L44" s="77">
        <f t="shared" si="5"/>
        <v>3.1601470000000006E-2</v>
      </c>
      <c r="M44" s="77">
        <f t="shared" si="5"/>
        <v>9.8249119999999995E-2</v>
      </c>
      <c r="N44" s="77">
        <f t="shared" si="5"/>
        <v>0</v>
      </c>
      <c r="O44" s="77">
        <f t="shared" si="5"/>
        <v>0</v>
      </c>
      <c r="P44" s="77">
        <f t="shared" si="5"/>
        <v>15.576080000000003</v>
      </c>
      <c r="Q44" s="77">
        <f t="shared" si="10"/>
        <v>63.277825000000007</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8</v>
      </c>
      <c r="I57" s="8">
        <f t="shared" si="13"/>
        <v>7</v>
      </c>
      <c r="J57" s="8">
        <f t="shared" si="13"/>
        <v>9</v>
      </c>
      <c r="K57" s="8">
        <f t="shared" si="13"/>
        <v>10</v>
      </c>
      <c r="L57" s="8">
        <f t="shared" si="13"/>
        <v>11</v>
      </c>
      <c r="M57" s="8">
        <f t="shared" si="13"/>
        <v>12</v>
      </c>
      <c r="N57" s="8">
        <f t="shared" si="13"/>
        <v>13</v>
      </c>
      <c r="O57" s="8" t="str">
        <f t="shared" si="13"/>
        <v>7a</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"&amp;(VLOOKUP(C14,Table24581114[],6,FALSE))</f>
        <v>Sandy Loam I Grass</v>
      </c>
      <c r="C58" s="13" t="str">
        <f>D16&amp;" I "&amp;(VLOOKUP(D14,Table24581114[],6,FALSE))</f>
        <v>Sandy Loam I Grass</v>
      </c>
      <c r="D58" s="13" t="str">
        <f>E16&amp;" I "&amp;(VLOOKUP(E14,Table24581114[],6,FALSE))</f>
        <v>Sandy Loam I Grass</v>
      </c>
      <c r="E58" s="13" t="str">
        <f>F16&amp;" I "&amp;(VLOOKUP(F14,Table24581114[],6,FALSE))</f>
        <v>Sandy Loam I Arable</v>
      </c>
      <c r="F58" s="13" t="str">
        <f>G16&amp;" I "&amp;(VLOOKUP(G14,Table24581114[],6,FALSE))</f>
        <v>Sandy Loam I Grass</v>
      </c>
      <c r="G58" s="13" t="str">
        <f>H16&amp;" I "&amp;(VLOOKUP(H14,Table24581114[],6,FALSE))</f>
        <v>Sandy Loam I Grass</v>
      </c>
      <c r="H58" s="13" t="str">
        <f>I16&amp;" I "&amp;(VLOOKUP(I14,Table24581114[],6,FALSE))</f>
        <v>Sandy Loam I Grass</v>
      </c>
      <c r="I58" s="13" t="str">
        <f>J16&amp;" I "&amp;(VLOOKUP(J14,Table24581114[],6,FALSE))</f>
        <v>Sandy Loam I Grass</v>
      </c>
      <c r="J58" s="13" t="str">
        <f>K16&amp;" I "&amp;(VLOOKUP(K14,Table24581114[],6,FALSE))</f>
        <v>Sandy Loam I Grass</v>
      </c>
      <c r="K58" s="13" t="str">
        <f>L16&amp;" I "&amp;(VLOOKUP(L14,Table24581114[],6,FALSE))</f>
        <v>Sandy Loam I Grass</v>
      </c>
      <c r="L58" s="13" t="str">
        <f>M16&amp;" I "&amp;(VLOOKUP(M14,Table24581114[],6,FALSE))</f>
        <v>Sandy Loam I Grass</v>
      </c>
      <c r="M58" s="13" t="str">
        <f>N16&amp;" I "&amp;(VLOOKUP(N14,Table24581114[],6,FALSE))</f>
        <v>Sandy Loam I Grass</v>
      </c>
      <c r="N58" s="13" t="str">
        <f>O16&amp;" I "&amp;(VLOOKUP(O14,Table24581114[],6,FALSE))</f>
        <v>Sandy Loam I Grass</v>
      </c>
      <c r="O58" s="13" t="str">
        <f>P16&amp;" I "&amp;(VLOOKUP(P14,Table24581114[],6,FALSE))</f>
        <v>Sandy Loam I Arable</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6.2</v>
      </c>
      <c r="C59" s="76">
        <f>VLOOKUP(D$14,Table24581114[],5,FALSE)</f>
        <v>6.2</v>
      </c>
      <c r="D59" s="76">
        <f>VLOOKUP(E$14,Table24581114[],5,FALSE)</f>
        <v>6.2</v>
      </c>
      <c r="E59" s="76">
        <f>VLOOKUP(F$14,Table24581114[],5,FALSE)</f>
        <v>6.7</v>
      </c>
      <c r="F59" s="76">
        <f>VLOOKUP(G$14,Table24581114[],5,FALSE)</f>
        <v>6.2</v>
      </c>
      <c r="G59" s="76">
        <f>VLOOKUP(H$14,Table24581114[],5,FALSE)</f>
        <v>6.2</v>
      </c>
      <c r="H59" s="76">
        <f>VLOOKUP(I$14,Table24581114[],5,FALSE)</f>
        <v>6.2</v>
      </c>
      <c r="I59" s="76">
        <f>VLOOKUP(J$14,Table24581114[],5,FALSE)</f>
        <v>6.2</v>
      </c>
      <c r="J59" s="76">
        <f>VLOOKUP(K$14,Table24581114[],5,FALSE)</f>
        <v>6.2</v>
      </c>
      <c r="K59" s="76">
        <f>VLOOKUP(L$14,Table24581114[],5,FALSE)</f>
        <v>6.2</v>
      </c>
      <c r="L59" s="76">
        <f>VLOOKUP(M$14,Table24581114[],5,FALSE)</f>
        <v>6.2</v>
      </c>
      <c r="M59" s="76">
        <f>VLOOKUP(N$14,Table24581114[],5,FALSE)</f>
        <v>6.2</v>
      </c>
      <c r="N59" s="76">
        <f>VLOOKUP(O$14,Table24581114[],5,FALSE)</f>
        <v>6.2</v>
      </c>
      <c r="O59" s="76">
        <f>VLOOKUP(P$14,Table24581114[],5,FALSE)</f>
        <v>6.7</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6.2</v>
      </c>
      <c r="C60" s="76">
        <f t="shared" ref="C60:U60" si="14">D10</f>
        <v>6</v>
      </c>
      <c r="D60" s="76">
        <f t="shared" si="14"/>
        <v>7</v>
      </c>
      <c r="E60" s="76">
        <f t="shared" si="14"/>
        <v>6.1</v>
      </c>
      <c r="F60" s="76">
        <f t="shared" si="14"/>
        <v>6.5</v>
      </c>
      <c r="G60" s="76">
        <f t="shared" si="14"/>
        <v>6.5</v>
      </c>
      <c r="H60" s="76">
        <f t="shared" si="14"/>
        <v>6.1</v>
      </c>
      <c r="I60" s="76">
        <f t="shared" si="14"/>
        <v>6.1</v>
      </c>
      <c r="J60" s="76">
        <f t="shared" si="14"/>
        <v>6.6</v>
      </c>
      <c r="K60" s="76">
        <f t="shared" si="14"/>
        <v>6.7</v>
      </c>
      <c r="L60" s="76">
        <f t="shared" si="14"/>
        <v>6.7</v>
      </c>
      <c r="M60" s="76">
        <f t="shared" si="14"/>
        <v>6.5</v>
      </c>
      <c r="N60" s="76">
        <f t="shared" si="14"/>
        <v>6.7</v>
      </c>
      <c r="O60" s="76">
        <f t="shared" si="14"/>
        <v>6.5</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5</v>
      </c>
      <c r="C61" s="76">
        <f t="shared" si="15"/>
        <v>5</v>
      </c>
      <c r="D61" s="76">
        <f t="shared" si="15"/>
        <v>5</v>
      </c>
      <c r="E61" s="76">
        <f t="shared" si="15"/>
        <v>7</v>
      </c>
      <c r="F61" s="76">
        <f t="shared" si="15"/>
        <v>5</v>
      </c>
      <c r="G61" s="76">
        <f t="shared" si="15"/>
        <v>5</v>
      </c>
      <c r="H61" s="76">
        <f t="shared" si="15"/>
        <v>5</v>
      </c>
      <c r="I61" s="76">
        <f t="shared" si="15"/>
        <v>5</v>
      </c>
      <c r="J61" s="76">
        <f t="shared" si="15"/>
        <v>5</v>
      </c>
      <c r="K61" s="76">
        <f t="shared" si="15"/>
        <v>5</v>
      </c>
      <c r="L61" s="76">
        <f t="shared" si="15"/>
        <v>5</v>
      </c>
      <c r="M61" s="76">
        <f t="shared" si="15"/>
        <v>5</v>
      </c>
      <c r="N61" s="76">
        <f t="shared" si="15"/>
        <v>5</v>
      </c>
      <c r="O61" s="76">
        <f t="shared" si="15"/>
        <v>7</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17</v>
      </c>
      <c r="C62" s="77">
        <f>B32</f>
        <v>17</v>
      </c>
      <c r="D62" s="77">
        <f>B33</f>
        <v>17</v>
      </c>
      <c r="E62" s="77">
        <f>B34</f>
        <v>17</v>
      </c>
      <c r="F62" s="77">
        <f>B35</f>
        <v>17</v>
      </c>
      <c r="G62" s="77">
        <f>B36</f>
        <v>17</v>
      </c>
      <c r="H62" s="77">
        <f>B37</f>
        <v>17</v>
      </c>
      <c r="I62" s="77">
        <f>B38</f>
        <v>17</v>
      </c>
      <c r="J62" s="77">
        <f>B39</f>
        <v>17</v>
      </c>
      <c r="K62" s="77">
        <f>B40</f>
        <v>17</v>
      </c>
      <c r="L62" s="77">
        <f>B41</f>
        <v>17</v>
      </c>
      <c r="M62" s="77">
        <f>B42</f>
        <v>17</v>
      </c>
      <c r="N62" s="77">
        <f>B43</f>
        <v>17</v>
      </c>
      <c r="O62" s="77">
        <f>B44</f>
        <v>17</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1.0000000000000009</v>
      </c>
      <c r="D64" s="77">
        <f t="shared" si="17"/>
        <v>-3.9999999999999991</v>
      </c>
      <c r="E64" s="77">
        <f t="shared" si="17"/>
        <v>4.2000000000000037</v>
      </c>
      <c r="F64" s="77">
        <f t="shared" si="17"/>
        <v>-1.4999999999999991</v>
      </c>
      <c r="G64" s="77">
        <f t="shared" si="17"/>
        <v>-1.4999999999999991</v>
      </c>
      <c r="H64" s="77">
        <f t="shared" si="17"/>
        <v>0.50000000000000266</v>
      </c>
      <c r="I64" s="77">
        <f t="shared" si="17"/>
        <v>0.50000000000000266</v>
      </c>
      <c r="J64" s="77">
        <f t="shared" si="17"/>
        <v>-1.9999999999999973</v>
      </c>
      <c r="K64" s="77">
        <f t="shared" si="17"/>
        <v>-2.5</v>
      </c>
      <c r="L64" s="77">
        <f t="shared" si="17"/>
        <v>-2.5</v>
      </c>
      <c r="M64" s="77">
        <f t="shared" si="17"/>
        <v>-1.4999999999999991</v>
      </c>
      <c r="N64" s="77">
        <f t="shared" si="17"/>
        <v>-2.5</v>
      </c>
      <c r="O64" s="77">
        <f t="shared" si="17"/>
        <v>1.4000000000000012</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-1.0000000000000009</v>
      </c>
      <c r="D65" s="77">
        <f t="shared" si="18"/>
        <v>3.9999999999999991</v>
      </c>
      <c r="E65" s="77">
        <f t="shared" si="18"/>
        <v>-4.2000000000000037</v>
      </c>
      <c r="F65" s="77">
        <f t="shared" si="18"/>
        <v>1.4999999999999991</v>
      </c>
      <c r="G65" s="77">
        <f t="shared" si="18"/>
        <v>1.4999999999999991</v>
      </c>
      <c r="H65" s="77">
        <f t="shared" si="18"/>
        <v>-0.50000000000000266</v>
      </c>
      <c r="I65" s="77">
        <f t="shared" si="18"/>
        <v>-0.50000000000000266</v>
      </c>
      <c r="J65" s="77">
        <f t="shared" si="18"/>
        <v>1.9999999999999973</v>
      </c>
      <c r="K65" s="77">
        <f t="shared" si="18"/>
        <v>2.5</v>
      </c>
      <c r="L65" s="77">
        <f t="shared" si="18"/>
        <v>2.5</v>
      </c>
      <c r="M65" s="77">
        <f t="shared" si="18"/>
        <v>1.4999999999999991</v>
      </c>
      <c r="N65" s="77">
        <f t="shared" si="18"/>
        <v>2.5</v>
      </c>
      <c r="O65" s="77">
        <f t="shared" si="18"/>
        <v>-1.4000000000000012</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OVER</v>
      </c>
      <c r="E66" s="78" t="str">
        <f t="shared" si="19"/>
        <v>UNDER</v>
      </c>
      <c r="F66" s="78" t="str">
        <f t="shared" si="19"/>
        <v>OVER</v>
      </c>
      <c r="G66" s="78" t="str">
        <f t="shared" si="19"/>
        <v>OVER</v>
      </c>
      <c r="H66" s="78" t="str">
        <f t="shared" si="19"/>
        <v>UNDER</v>
      </c>
      <c r="I66" s="78" t="str">
        <f t="shared" si="19"/>
        <v>UNDER</v>
      </c>
      <c r="J66" s="78" t="str">
        <f t="shared" si="19"/>
        <v>OVER</v>
      </c>
      <c r="K66" s="78" t="str">
        <f t="shared" si="19"/>
        <v>OVER</v>
      </c>
      <c r="L66" s="78" t="str">
        <f t="shared" si="19"/>
        <v>OVER</v>
      </c>
      <c r="M66" s="78" t="str">
        <f t="shared" si="19"/>
        <v>OVER</v>
      </c>
      <c r="N66" s="78" t="str">
        <f t="shared" si="19"/>
        <v>OVER</v>
      </c>
      <c r="O66" s="78" t="str">
        <f t="shared" si="19"/>
        <v>UNDER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7" operator="equal">
      <formula>"DECREASE"</formula>
    </cfRule>
    <cfRule type="cellIs" dxfId="250" priority="38" operator="equal">
      <formula>"INCREASE"</formula>
    </cfRule>
  </conditionalFormatting>
  <conditionalFormatting sqref="B62:U66 B31:B50">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B32" sqref="B32:B4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9" t="s">
        <v>41</v>
      </c>
      <c r="B1" s="129"/>
      <c r="C1" s="142" t="str">
        <f>'Field data and Waste 1'!C1:D1</f>
        <v>PAN-019532</v>
      </c>
      <c r="D1" s="143"/>
      <c r="E1" s="93" t="s">
        <v>45</v>
      </c>
      <c r="F1" s="39">
        <f>'Field data and Waste 1'!F1</f>
        <v>18.100000000000001</v>
      </c>
      <c r="G1" s="125" t="s">
        <v>43</v>
      </c>
      <c r="H1" s="126"/>
      <c r="I1" s="120">
        <v>3.76</v>
      </c>
      <c r="J1" s="129" t="s">
        <v>153</v>
      </c>
      <c r="K1" s="129"/>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9" t="s">
        <v>87</v>
      </c>
      <c r="B2" s="129"/>
      <c r="C2" s="144" t="str">
        <f>'Field data and Waste 1'!C2:D2</f>
        <v>EPR-KP3594VE</v>
      </c>
      <c r="D2" s="145"/>
      <c r="E2" s="93" t="s">
        <v>109</v>
      </c>
      <c r="F2" s="120" t="s">
        <v>174</v>
      </c>
      <c r="G2" s="127" t="s">
        <v>110</v>
      </c>
      <c r="H2" s="128"/>
      <c r="I2" s="120">
        <v>516</v>
      </c>
      <c r="J2" s="129" t="s">
        <v>158</v>
      </c>
      <c r="K2" s="129"/>
      <c r="L2" s="97">
        <v>0.06</v>
      </c>
      <c r="AB2" s="30" t="s">
        <v>56</v>
      </c>
      <c r="AC2" s="17"/>
      <c r="AD2" s="30" t="s">
        <v>70</v>
      </c>
      <c r="AE2" s="17"/>
      <c r="AF2" s="17"/>
      <c r="AG2" s="44" t="s">
        <v>76</v>
      </c>
      <c r="AH2" s="18"/>
      <c r="AI2" s="45" t="s">
        <v>126</v>
      </c>
      <c r="AJ2" s="46">
        <v>0</v>
      </c>
      <c r="AK2" s="47">
        <v>0</v>
      </c>
      <c r="AL2" s="10">
        <v>0</v>
      </c>
      <c r="AM2" s="11">
        <v>0</v>
      </c>
      <c r="AN2" s="11">
        <v>0</v>
      </c>
    </row>
    <row r="3" spans="1:41" ht="13" x14ac:dyDescent="0.25">
      <c r="A3" s="125" t="s">
        <v>42</v>
      </c>
      <c r="B3" s="126"/>
      <c r="C3" s="144" t="str">
        <f>'Field data and Waste 1'!C3:D3</f>
        <v xml:space="preserve">Trade effluent services </v>
      </c>
      <c r="D3" s="145"/>
      <c r="E3" s="93" t="s">
        <v>108</v>
      </c>
      <c r="F3" s="31" t="s">
        <v>78</v>
      </c>
      <c r="G3" s="129" t="s">
        <v>159</v>
      </c>
      <c r="H3" s="129"/>
      <c r="I3" s="118"/>
      <c r="J3" s="125" t="s">
        <v>154</v>
      </c>
      <c r="K3" s="126"/>
      <c r="L3" s="97">
        <f>(L1/(L2*10000))*100</f>
        <v>4.1666666666666661</v>
      </c>
      <c r="AB3" s="30" t="s">
        <v>57</v>
      </c>
      <c r="AC3" s="17"/>
      <c r="AD3" s="30" t="s">
        <v>71</v>
      </c>
      <c r="AE3" s="17"/>
      <c r="AF3" s="17"/>
      <c r="AG3" s="44" t="s">
        <v>77</v>
      </c>
      <c r="AH3" s="18"/>
      <c r="AI3" s="48" t="s">
        <v>113</v>
      </c>
      <c r="AJ3" s="49">
        <v>1.7</v>
      </c>
      <c r="AK3" s="50">
        <v>6</v>
      </c>
      <c r="AL3" s="51">
        <v>1</v>
      </c>
      <c r="AM3" s="11">
        <v>6.2</v>
      </c>
      <c r="AN3" s="11" t="s">
        <v>112</v>
      </c>
    </row>
    <row r="4" spans="1:41" ht="13" x14ac:dyDescent="0.25">
      <c r="A4" s="129" t="s">
        <v>0</v>
      </c>
      <c r="B4" s="129"/>
      <c r="C4" s="142" t="str">
        <f>'Field data and Waste 1'!C4:D4</f>
        <v>Play Yn Llan, Llangynhafal, LL16 4LN</v>
      </c>
      <c r="D4" s="143"/>
      <c r="E4" s="94" t="s">
        <v>1</v>
      </c>
      <c r="F4" s="120" t="s">
        <v>175</v>
      </c>
      <c r="G4" s="125"/>
      <c r="H4" s="126"/>
      <c r="I4" s="39"/>
      <c r="J4" s="125"/>
      <c r="K4" s="126"/>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9" t="s">
        <v>47</v>
      </c>
      <c r="B5" s="129"/>
      <c r="C5" s="142" t="str">
        <f>'Field data and Waste 1'!C5:D5</f>
        <v xml:space="preserve">Ethan Banfield </v>
      </c>
      <c r="D5" s="143"/>
      <c r="E5" s="93"/>
      <c r="F5" s="39"/>
      <c r="G5" s="125"/>
      <c r="H5" s="126"/>
      <c r="I5" s="39"/>
      <c r="J5" s="125"/>
      <c r="K5" s="126"/>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9" t="s">
        <v>2</v>
      </c>
      <c r="B8" s="129"/>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8</v>
      </c>
      <c r="J8" s="60">
        <f>'Field data and Waste 1'!J8</f>
        <v>7</v>
      </c>
      <c r="K8" s="60">
        <f>'Field data and Waste 1'!K8</f>
        <v>9</v>
      </c>
      <c r="L8" s="60">
        <f>'Field data and Waste 1'!L8</f>
        <v>10</v>
      </c>
      <c r="M8" s="60">
        <f>'Field data and Waste 1'!M8</f>
        <v>11</v>
      </c>
      <c r="N8" s="60">
        <f>'Field data and Waste 1'!N8</f>
        <v>12</v>
      </c>
      <c r="O8" s="60">
        <f>'Field data and Waste 1'!O8</f>
        <v>13</v>
      </c>
      <c r="P8" s="60" t="str">
        <f>'Field data and Waste 1'!P8</f>
        <v>7a</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9" t="s">
        <v>3</v>
      </c>
      <c r="B9" s="129"/>
      <c r="C9" s="60" t="str">
        <f>'Field data and Waste 1'!C9</f>
        <v>Moderate</v>
      </c>
      <c r="D9" s="60" t="str">
        <f>'Field data and Waste 1'!D9</f>
        <v>Moderate</v>
      </c>
      <c r="E9" s="60" t="str">
        <f>'Field data and Waste 1'!E9</f>
        <v>moderate</v>
      </c>
      <c r="F9" s="60">
        <f>'Field data and Waste 1'!F9</f>
        <v>1</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f>'Field data and Waste 1'!P9</f>
        <v>1</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9" t="s">
        <v>4</v>
      </c>
      <c r="B10" s="129"/>
      <c r="C10" s="60">
        <f>'Field data and Waste 1'!C10</f>
        <v>6.2</v>
      </c>
      <c r="D10" s="60">
        <f>'Field data and Waste 1'!D10</f>
        <v>6</v>
      </c>
      <c r="E10" s="60">
        <f>'Field data and Waste 1'!E10</f>
        <v>7</v>
      </c>
      <c r="F10" s="60">
        <f>'Field data and Waste 1'!F10</f>
        <v>6.1</v>
      </c>
      <c r="G10" s="60">
        <f>'Field data and Waste 1'!G10</f>
        <v>6.5</v>
      </c>
      <c r="H10" s="60">
        <f>'Field data and Waste 1'!H10</f>
        <v>6.5</v>
      </c>
      <c r="I10" s="60">
        <f>'Field data and Waste 1'!I10</f>
        <v>6.1</v>
      </c>
      <c r="J10" s="60">
        <f>'Field data and Waste 1'!J10</f>
        <v>6.1</v>
      </c>
      <c r="K10" s="60">
        <f>'Field data and Waste 1'!K10</f>
        <v>6.6</v>
      </c>
      <c r="L10" s="60">
        <f>'Field data and Waste 1'!L10</f>
        <v>6.7</v>
      </c>
      <c r="M10" s="60">
        <f>'Field data and Waste 1'!M10</f>
        <v>6.7</v>
      </c>
      <c r="N10" s="60">
        <f>'Field data and Waste 1'!N10</f>
        <v>6.5</v>
      </c>
      <c r="O10" s="60">
        <f>'Field data and Waste 1'!O10</f>
        <v>6.7</v>
      </c>
      <c r="P10" s="60">
        <f>'Field data and Waste 1'!P10</f>
        <v>6.5</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9" t="s">
        <v>5</v>
      </c>
      <c r="B11" s="129"/>
      <c r="C11" s="60">
        <f>'Field data and Waste 1'!C11</f>
        <v>2</v>
      </c>
      <c r="D11" s="60">
        <f>'Field data and Waste 1'!D11</f>
        <v>1</v>
      </c>
      <c r="E11" s="60">
        <f>'Field data and Waste 1'!E11</f>
        <v>1</v>
      </c>
      <c r="F11" s="60">
        <f>'Field data and Waste 1'!F11</f>
        <v>2</v>
      </c>
      <c r="G11" s="60">
        <f>'Field data and Waste 1'!G11</f>
        <v>1</v>
      </c>
      <c r="H11" s="60">
        <f>'Field data and Waste 1'!H11</f>
        <v>2</v>
      </c>
      <c r="I11" s="60">
        <f>'Field data and Waste 1'!I11</f>
        <v>1</v>
      </c>
      <c r="J11" s="60">
        <f>'Field data and Waste 1'!J11</f>
        <v>1</v>
      </c>
      <c r="K11" s="60">
        <f>'Field data and Waste 1'!K11</f>
        <v>0</v>
      </c>
      <c r="L11" s="60">
        <f>'Field data and Waste 1'!L11</f>
        <v>0</v>
      </c>
      <c r="M11" s="60">
        <f>'Field data and Waste 1'!M11</f>
        <v>1</v>
      </c>
      <c r="N11" s="60">
        <f>'Field data and Waste 1'!N11</f>
        <v>1</v>
      </c>
      <c r="O11" s="60">
        <f>'Field data and Waste 1'!O11</f>
        <v>1</v>
      </c>
      <c r="P11" s="60">
        <f>'Field data and Waste 1'!P11</f>
        <v>3</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9" t="s">
        <v>6</v>
      </c>
      <c r="B12" s="129"/>
      <c r="C12" s="60">
        <f>'Field data and Waste 1'!C12</f>
        <v>2</v>
      </c>
      <c r="D12" s="60">
        <f>'Field data and Waste 1'!D12</f>
        <v>2</v>
      </c>
      <c r="E12" s="60">
        <f>'Field data and Waste 1'!E12</f>
        <v>1</v>
      </c>
      <c r="F12" s="60">
        <f>'Field data and Waste 1'!F12</f>
        <v>1</v>
      </c>
      <c r="G12" s="60">
        <f>'Field data and Waste 1'!G12</f>
        <v>2</v>
      </c>
      <c r="H12" s="60">
        <f>'Field data and Waste 1'!H12</f>
        <v>3</v>
      </c>
      <c r="I12" s="60">
        <f>'Field data and Waste 1'!I12</f>
        <v>3</v>
      </c>
      <c r="J12" s="60">
        <f>'Field data and Waste 1'!J12</f>
        <v>2</v>
      </c>
      <c r="K12" s="60">
        <f>'Field data and Waste 1'!K12</f>
        <v>2</v>
      </c>
      <c r="L12" s="60">
        <f>'Field data and Waste 1'!L12</f>
        <v>1</v>
      </c>
      <c r="M12" s="60">
        <f>'Field data and Waste 1'!M12</f>
        <v>1</v>
      </c>
      <c r="N12" s="60">
        <f>'Field data and Waste 1'!N12</f>
        <v>2</v>
      </c>
      <c r="O12" s="60">
        <f>'Field data and Waste 1'!O12</f>
        <v>2</v>
      </c>
      <c r="P12" s="60">
        <f>'Field data and Waste 1'!P12</f>
        <v>3</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9" t="s">
        <v>7</v>
      </c>
      <c r="B13" s="129"/>
      <c r="C13" s="60">
        <f>'Field data and Waste 1'!C13</f>
        <v>2</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2</v>
      </c>
      <c r="L13" s="60">
        <f>'Field data and Waste 1'!L13</f>
        <v>3</v>
      </c>
      <c r="M13" s="60">
        <f>'Field data and Waste 1'!M13</f>
        <v>2</v>
      </c>
      <c r="N13" s="60">
        <f>'Field data and Waste 1'!N13</f>
        <v>2</v>
      </c>
      <c r="O13" s="60">
        <f>'Field data and Waste 1'!O13</f>
        <v>2</v>
      </c>
      <c r="P13" s="60">
        <f>'Field data and Waste 1'!P13</f>
        <v>3</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8" t="s">
        <v>8</v>
      </c>
      <c r="B14" s="138"/>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Maize- Silage (30% DM)</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Maize- Silage (30% DM)</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7" t="s">
        <v>9</v>
      </c>
      <c r="B15" s="137"/>
      <c r="C15" s="60">
        <f>'Field data and Waste 1'!C15</f>
        <v>38</v>
      </c>
      <c r="D15" s="60">
        <f>'Field data and Waste 1'!D15</f>
        <v>38</v>
      </c>
      <c r="E15" s="60">
        <f>'Field data and Waste 1'!E15</f>
        <v>38</v>
      </c>
      <c r="F15" s="60">
        <f>'Field data and Waste 1'!F15</f>
        <v>40</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40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9" t="s">
        <v>44</v>
      </c>
      <c r="B16" s="139"/>
      <c r="C16" s="103" t="str">
        <f>'Field data and Waste 1'!C16</f>
        <v>Sandy Loam</v>
      </c>
      <c r="D16" s="103" t="str">
        <f>'Field data and Waste 1'!D16</f>
        <v>Sandy Loam</v>
      </c>
      <c r="E16" s="103" t="str">
        <f>'Field data and Waste 1'!E16</f>
        <v>Sandy Loam</v>
      </c>
      <c r="F16" s="103" t="str">
        <f>'Field data and Waste 1'!F16</f>
        <v>Sandy Loam</v>
      </c>
      <c r="G16" s="103" t="str">
        <f>'Field data and Waste 1'!G16</f>
        <v>Sandy Loam</v>
      </c>
      <c r="H16" s="103" t="str">
        <f>'Field data and Waste 1'!H16</f>
        <v>Sandy Loam</v>
      </c>
      <c r="I16" s="103" t="str">
        <f>'Field data and Waste 1'!I16</f>
        <v>Sandy Loam</v>
      </c>
      <c r="J16" s="103" t="str">
        <f>'Field data and Waste 1'!J16</f>
        <v>Sandy Loam</v>
      </c>
      <c r="K16" s="103" t="str">
        <f>'Field data and Waste 1'!K16</f>
        <v>Sandy Loam</v>
      </c>
      <c r="L16" s="103" t="str">
        <f>'Field data and Waste 1'!L16</f>
        <v>Sandy Loam</v>
      </c>
      <c r="M16" s="103" t="str">
        <f>'Field data and Waste 1'!M16</f>
        <v>Sandy Loam</v>
      </c>
      <c r="N16" s="103" t="str">
        <f>'Field data and Waste 1'!N16</f>
        <v>Sandy Loam</v>
      </c>
      <c r="O16" s="103" t="str">
        <f>'Field data and Waste 1'!O16</f>
        <v>Sandy Loam</v>
      </c>
      <c r="P16" s="103" t="str">
        <f>'Field data and Waste 1'!P16</f>
        <v>Sandy Loam</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5" t="s">
        <v>69</v>
      </c>
      <c r="B17" s="136"/>
      <c r="C17" s="28">
        <f>(VLOOKUP(C$14,$AI2:$AK26,2,FALSE))*C$15</f>
        <v>64.599999999999994</v>
      </c>
      <c r="D17" s="28">
        <f t="shared" ref="D17:V17" si="0">(VLOOKUP(D$14,$AI2:$AK26,2,FALSE))*D$15</f>
        <v>64.599999999999994</v>
      </c>
      <c r="E17" s="28">
        <f t="shared" si="0"/>
        <v>64.599999999999994</v>
      </c>
      <c r="F17" s="28">
        <f t="shared" si="0"/>
        <v>56</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56</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3" t="s">
        <v>23</v>
      </c>
      <c r="B18" s="134"/>
      <c r="C18" s="16">
        <f>$D31</f>
        <v>56.587699999999998</v>
      </c>
      <c r="D18" s="16">
        <f>$D32</f>
        <v>56.587699999999998</v>
      </c>
      <c r="E18" s="16">
        <f>$D33</f>
        <v>56.587699999999998</v>
      </c>
      <c r="F18" s="16">
        <f>$D34</f>
        <v>56.587699999999998</v>
      </c>
      <c r="G18" s="16">
        <f>$D35</f>
        <v>56.587699999999998</v>
      </c>
      <c r="H18" s="16">
        <f>$D36</f>
        <v>56.587699999999998</v>
      </c>
      <c r="I18" s="16">
        <f>$D37</f>
        <v>56.587699999999998</v>
      </c>
      <c r="J18" s="16">
        <f>$D38</f>
        <v>56.587699999999998</v>
      </c>
      <c r="K18" s="16">
        <f>$D39</f>
        <v>56.587699999999998</v>
      </c>
      <c r="L18" s="16">
        <f>$D40</f>
        <v>56.587699999999998</v>
      </c>
      <c r="M18" s="16">
        <f>$D41</f>
        <v>56.587699999999998</v>
      </c>
      <c r="N18" s="16">
        <f>$D42</f>
        <v>56.587699999999998</v>
      </c>
      <c r="O18" s="16">
        <f>$D43</f>
        <v>56.587699999999998</v>
      </c>
      <c r="P18" s="16">
        <f>$D44</f>
        <v>56.587699999999998</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3" t="s">
        <v>90</v>
      </c>
      <c r="B19" s="134"/>
      <c r="C19" s="16">
        <f>C18-C17</f>
        <v>-8.0122999999999962</v>
      </c>
      <c r="D19" s="16">
        <f t="shared" ref="D19:V19" si="1">D18-D17</f>
        <v>-8.0122999999999962</v>
      </c>
      <c r="E19" s="16">
        <f t="shared" si="1"/>
        <v>-8.0122999999999962</v>
      </c>
      <c r="F19" s="16">
        <f t="shared" si="1"/>
        <v>0.58769999999999811</v>
      </c>
      <c r="G19" s="16">
        <f t="shared" si="1"/>
        <v>-8.0122999999999962</v>
      </c>
      <c r="H19" s="16">
        <f t="shared" si="1"/>
        <v>-8.0122999999999962</v>
      </c>
      <c r="I19" s="16">
        <f t="shared" si="1"/>
        <v>-8.0122999999999962</v>
      </c>
      <c r="J19" s="16">
        <f t="shared" si="1"/>
        <v>-8.0122999999999962</v>
      </c>
      <c r="K19" s="16">
        <f t="shared" si="1"/>
        <v>-8.0122999999999962</v>
      </c>
      <c r="L19" s="16">
        <f t="shared" si="1"/>
        <v>-8.0122999999999962</v>
      </c>
      <c r="M19" s="16">
        <f t="shared" si="1"/>
        <v>-8.0122999999999962</v>
      </c>
      <c r="N19" s="16">
        <f t="shared" si="1"/>
        <v>-8.0122999999999962</v>
      </c>
      <c r="O19" s="16">
        <f t="shared" si="1"/>
        <v>-8.0122999999999962</v>
      </c>
      <c r="P19" s="16">
        <f t="shared" si="1"/>
        <v>0.58769999999999811</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1" t="s">
        <v>91</v>
      </c>
      <c r="B20" s="132"/>
      <c r="C20" s="26" t="str">
        <f>IF($B31="","",IF(C$19&gt;=0,"INCREASE","DECREASE"))</f>
        <v>DECREASE</v>
      </c>
      <c r="D20" s="26" t="str">
        <f>IF($B32="","",IF(D$19&gt;=0,"INCREASE","DECREASE"))</f>
        <v>DECREASE</v>
      </c>
      <c r="E20" s="26" t="str">
        <f>IF($B33="","",IF(E$19&gt;=0,"INCREASE","DECREASE"))</f>
        <v>DECREASE</v>
      </c>
      <c r="F20" s="26" t="str">
        <f>IF($B34="","",IF(F$19&gt;=0,"INCREASE","DECREASE"))</f>
        <v>INCREASE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INCREASE</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5" t="s">
        <v>88</v>
      </c>
      <c r="B21" s="136"/>
      <c r="C21" s="28">
        <f>(VLOOKUP(C$14,$AI2:$AK26,3,FALSE))*C$15</f>
        <v>228</v>
      </c>
      <c r="D21" s="28">
        <f t="shared" ref="D21:V21" si="2">(VLOOKUP(D$14,$AI2:$AK26,3,FALSE))*D$15</f>
        <v>228</v>
      </c>
      <c r="E21" s="28">
        <f t="shared" si="2"/>
        <v>228</v>
      </c>
      <c r="F21" s="28">
        <f t="shared" si="2"/>
        <v>176</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176</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3" t="s">
        <v>89</v>
      </c>
      <c r="B22" s="134"/>
      <c r="C22" s="16">
        <f>$E31</f>
        <v>50.911250000000003</v>
      </c>
      <c r="D22" s="16">
        <f>$E32</f>
        <v>50.911250000000003</v>
      </c>
      <c r="E22" s="16">
        <f>$E33</f>
        <v>50.911250000000003</v>
      </c>
      <c r="F22" s="16">
        <f>$E34</f>
        <v>50.911250000000003</v>
      </c>
      <c r="G22" s="16">
        <f>$E35</f>
        <v>50.911250000000003</v>
      </c>
      <c r="H22" s="16">
        <f>$E36</f>
        <v>50.911250000000003</v>
      </c>
      <c r="I22" s="16">
        <f>$E37</f>
        <v>50.911250000000003</v>
      </c>
      <c r="J22" s="16">
        <f>$E38</f>
        <v>50.911250000000003</v>
      </c>
      <c r="K22" s="16">
        <f>$E39</f>
        <v>50.911250000000003</v>
      </c>
      <c r="L22" s="16">
        <f>$E40</f>
        <v>50.911250000000003</v>
      </c>
      <c r="M22" s="16">
        <f>$E41</f>
        <v>50.911250000000003</v>
      </c>
      <c r="N22" s="16">
        <f>$E42</f>
        <v>50.911250000000003</v>
      </c>
      <c r="O22" s="16">
        <f>$E43</f>
        <v>50.911250000000003</v>
      </c>
      <c r="P22" s="16">
        <f>$E44</f>
        <v>50.911250000000003</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3" t="s">
        <v>92</v>
      </c>
      <c r="B23" s="134"/>
      <c r="C23" s="16">
        <f>C22-C21</f>
        <v>-177.08875</v>
      </c>
      <c r="D23" s="16">
        <f t="shared" ref="D23:V23" si="3">D22-D21</f>
        <v>-177.08875</v>
      </c>
      <c r="E23" s="16">
        <f t="shared" si="3"/>
        <v>-177.08875</v>
      </c>
      <c r="F23" s="16">
        <f t="shared" si="3"/>
        <v>-125.08875</v>
      </c>
      <c r="G23" s="16">
        <f t="shared" si="3"/>
        <v>-177.08875</v>
      </c>
      <c r="H23" s="16">
        <f t="shared" si="3"/>
        <v>-177.08875</v>
      </c>
      <c r="I23" s="16">
        <f t="shared" si="3"/>
        <v>-177.08875</v>
      </c>
      <c r="J23" s="16">
        <f t="shared" si="3"/>
        <v>-177.08875</v>
      </c>
      <c r="K23" s="16">
        <f t="shared" si="3"/>
        <v>-177.08875</v>
      </c>
      <c r="L23" s="16">
        <f t="shared" si="3"/>
        <v>-177.08875</v>
      </c>
      <c r="M23" s="16">
        <f t="shared" si="3"/>
        <v>-177.08875</v>
      </c>
      <c r="N23" s="16">
        <f t="shared" si="3"/>
        <v>-177.08875</v>
      </c>
      <c r="O23" s="16">
        <f t="shared" si="3"/>
        <v>-177.08875</v>
      </c>
      <c r="P23" s="16">
        <f t="shared" si="3"/>
        <v>-125.08875</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1" t="s">
        <v>93</v>
      </c>
      <c r="B24" s="132"/>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35">
      <c r="A28" s="108"/>
      <c r="B28" s="24">
        <v>1.85</v>
      </c>
      <c r="C28" s="15">
        <v>0.06</v>
      </c>
      <c r="D28" s="15">
        <v>98.8</v>
      </c>
      <c r="E28" s="15">
        <v>169</v>
      </c>
      <c r="F28" s="15">
        <v>25.6</v>
      </c>
      <c r="G28" s="15">
        <v>0.221</v>
      </c>
      <c r="H28" s="15">
        <v>1</v>
      </c>
      <c r="I28" s="15">
        <v>0.5</v>
      </c>
      <c r="J28" s="15">
        <v>0.01</v>
      </c>
      <c r="K28" s="23">
        <v>0.05</v>
      </c>
      <c r="L28" s="15">
        <v>0.2</v>
      </c>
      <c r="M28" s="15">
        <v>0.2</v>
      </c>
      <c r="N28" s="15"/>
      <c r="O28" s="15"/>
      <c r="P28" s="15">
        <v>337</v>
      </c>
      <c r="Q28" s="15">
        <v>77.900000000000006</v>
      </c>
      <c r="R28" s="15"/>
      <c r="S28" s="15"/>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250</v>
      </c>
      <c r="C31" s="77">
        <f>IF(C$27="%w/w SAR",((C$28*10)*$B31),IF(C$27="%w/w DM",(((C$28*10)*($B$28/100))*$B31),IF(C$27="kg/t SAR",(C$28*$B31),IF(C$27="kg/t DM",((C$28*($B$28/100))*$B31),IF(C$27="mg/kg SAR",((C$28*0.001)*$B31),IF(C$27="mg/kg DM",(((C$28*0.001)*($B$28/100))*$B31),0))))))</f>
        <v>150</v>
      </c>
      <c r="D31" s="77">
        <f>(IF(D$27="%w/w SAR",((D$28*10)*$B31),IF(D$27="%w/w DM",(((D$28*10)*($B$28/100))*$B31),IF(D$27="kg/t SAR",(D$28*$B31),IF(D$27="kg/t DM",((D$28*($B$28/100))*$B31),IF(D$27="mg/kg SAR",((D$28*0.001)*$B31),IF(D$27="mg/kg DM",(((D$28*0.001)*($B$28/100))*$B31),"0")))))))*2.291</f>
        <v>56.587699999999998</v>
      </c>
      <c r="E31" s="77">
        <f>(IF(E$27="%w/w SAR",((E$28*10)*$B31),IF(E$27="%w/w DM",(((E$28*10)*($B$28/100))*$B31),IF(E$27="kg/t SAR",(E$28*$B31),IF(E$27="kg/t DM",((E$28*($B$28/100))*$B31),IF(E$27="mg/kg SAR",((E$28*0.001)*$B31),IF(E$27="mg/kg DM",(((E$28*0.001)*($B$28/100))*$B31),"0")))))))*1.205</f>
        <v>50.911250000000003</v>
      </c>
      <c r="F31" s="77">
        <f>(IF(F$27="%w/w SAR",((F$28*10)*$B31),IF(F$27="%w/w DM",(((F$28*10)*($B$28/100))*$B31),IF(F$27="kg/t SAR",(F$28*$B31),IF(F$27="kg/t DM",((F$28*($B$28/100))*$B31),IF(F$27="mg/kg SAR",((F$28*0.001)*$B31),IF(F$27="mg/kg DM",(((F$28*0.001)*($B$28/100))*$B31),"0")))))))*1.658</f>
        <v>10.6112</v>
      </c>
      <c r="G31" s="77">
        <f t="shared" ref="G31:P46" si="5">IF(G$27="%w/w SAR",((G$28*10)*$B31),IF(G$27="%w/w DM",(((G$28*10)*($B$28/100))*$B31),IF(G$27="kg/t SAR",(G$28*$B31),IF(G$27="kg/t DM",((G$28*($B$28/100))*$B31),IF(G$27="mg/kg SAR",((G$28*0.001)*$B31),IF(G$27="mg/kg DM",(((G$28*0.001)*($B$28/100))*$B31),0))))))</f>
        <v>5.525E-2</v>
      </c>
      <c r="H31" s="77">
        <f t="shared" si="5"/>
        <v>0.25</v>
      </c>
      <c r="I31" s="77">
        <f t="shared" si="5"/>
        <v>0.125</v>
      </c>
      <c r="J31" s="77">
        <f t="shared" si="5"/>
        <v>2.5000000000000001E-3</v>
      </c>
      <c r="K31" s="77">
        <f t="shared" si="5"/>
        <v>1.2500000000000001E-2</v>
      </c>
      <c r="L31" s="77">
        <f t="shared" si="5"/>
        <v>0.05</v>
      </c>
      <c r="M31" s="77">
        <f t="shared" si="5"/>
        <v>0.05</v>
      </c>
      <c r="N31" s="77">
        <f t="shared" si="5"/>
        <v>0</v>
      </c>
      <c r="O31" s="77">
        <f t="shared" si="5"/>
        <v>0</v>
      </c>
      <c r="P31" s="77">
        <f t="shared" si="5"/>
        <v>84.25</v>
      </c>
      <c r="Q31" s="77">
        <f>(IF(Q$27="%w/w SAR",((Q$28*10)*$B31),IF(Q$27="%w/w DM",(((Q$28*10)*($B$28/100))*$B31),IF(Q$27="kg/t SAR",(Q$28*$B31),IF(Q$27="kg/t DM",((Q$28*($B$28/100))*$B31),IF(Q$27="mg/kg SAR",((Q$28*0.001)*$B31),IF(Q$27="mg/kg DM",(((Q$28*0.001)*($B$28/100))*$B31),0)))))))*2.5</f>
        <v>48.6875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250</v>
      </c>
      <c r="C32" s="77">
        <f t="shared" ref="C32:C50" si="6">IF(C$27="%w/w SAR",((C$28*10)*$B32),IF(C$27="%w/w DM",(((C$28*10)*($B$28/100))*$B32),IF(C$27="kg/t SAR",(C$28*$B32),IF(C$27="kg/t DM",((C$28*($B$28/100))*$B32),IF(C$27="mg/kg SAR",((C$28*0.001)*$B32),IF(C$27="mg/kg DM",(((C$28*0.001)*($B$28/100))*$B32),0))))))</f>
        <v>150</v>
      </c>
      <c r="D32" s="77">
        <f t="shared" ref="D32:D50" si="7">(IF(D$27="%w/w SAR",((D$28*10)*$B32),IF(D$27="%w/w DM",(((D$28*10)*($B$28/100))*$B32),IF(D$27="kg/t SAR",(D$28*$B32),IF(D$27="kg/t DM",((D$28*($B$28/100))*$B32),IF(D$27="mg/kg SAR",((D$28*0.001)*$B32),IF(D$27="mg/kg DM",(((D$28*0.001)*($B$28/100))*$B32),"0")))))))*2.291</f>
        <v>56.587699999999998</v>
      </c>
      <c r="E32" s="77">
        <f t="shared" ref="E32:E50" si="8">(IF(E$27="%w/w SAR",((E$28*10)*$B32),IF(E$27="%w/w DM",(((E$28*10)*($B$28/100))*$B32),IF(E$27="kg/t SAR",(E$28*$B32),IF(E$27="kg/t DM",((E$28*($B$28/100))*$B32),IF(E$27="mg/kg SAR",((E$28*0.001)*$B32),IF(E$27="mg/kg DM",(((E$28*0.001)*($B$28/100))*$B32),"0")))))))*1.205</f>
        <v>50.911250000000003</v>
      </c>
      <c r="F32" s="77">
        <f t="shared" ref="F32:F50" si="9">(IF(F$27="%w/w SAR",((F$28*10)*$B32),IF(F$27="%w/w DM",(((F$28*10)*($B$28/100))*$B32),IF(F$27="kg/t SAR",(F$28*$B32),IF(F$27="kg/t DM",((F$28*($B$28/100))*$B32),IF(F$27="mg/kg SAR",((F$28*0.001)*$B32),IF(F$27="mg/kg DM",(((F$28*0.001)*($B$28/100))*$B32),"0")))))))*1.658</f>
        <v>10.6112</v>
      </c>
      <c r="G32" s="77">
        <f t="shared" si="5"/>
        <v>5.525E-2</v>
      </c>
      <c r="H32" s="77">
        <f t="shared" si="5"/>
        <v>0.25</v>
      </c>
      <c r="I32" s="77">
        <f t="shared" si="5"/>
        <v>0.125</v>
      </c>
      <c r="J32" s="77">
        <f t="shared" si="5"/>
        <v>2.5000000000000001E-3</v>
      </c>
      <c r="K32" s="77">
        <f t="shared" si="5"/>
        <v>1.2500000000000001E-2</v>
      </c>
      <c r="L32" s="77">
        <f t="shared" si="5"/>
        <v>0.05</v>
      </c>
      <c r="M32" s="77">
        <f t="shared" si="5"/>
        <v>0.05</v>
      </c>
      <c r="N32" s="77">
        <f t="shared" si="5"/>
        <v>0</v>
      </c>
      <c r="O32" s="77">
        <f t="shared" si="5"/>
        <v>0</v>
      </c>
      <c r="P32" s="77">
        <f t="shared" si="5"/>
        <v>84.25</v>
      </c>
      <c r="Q32" s="77">
        <f t="shared" ref="Q32:Q50" si="10">(IF(Q$27="%w/w SAR",((Q$28*10)*$B32),IF(Q$27="%w/w DM",(((Q$28*10)*($B$28/100))*$B32),IF(Q$27="kg/t SAR",(Q$28*$B32),IF(Q$27="kg/t DM",((Q$28*($B$28/100))*$B32),IF(Q$27="mg/kg SAR",((Q$28*0.001)*$B32),IF(Q$27="mg/kg DM",(((Q$28*0.001)*($B$28/100))*$B32),0)))))))*2.5</f>
        <v>48.6875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250</v>
      </c>
      <c r="C33" s="77">
        <f t="shared" si="6"/>
        <v>150</v>
      </c>
      <c r="D33" s="77">
        <f t="shared" si="7"/>
        <v>56.587699999999998</v>
      </c>
      <c r="E33" s="77">
        <f t="shared" si="8"/>
        <v>50.911250000000003</v>
      </c>
      <c r="F33" s="77">
        <f t="shared" si="9"/>
        <v>10.6112</v>
      </c>
      <c r="G33" s="77">
        <f t="shared" si="5"/>
        <v>5.525E-2</v>
      </c>
      <c r="H33" s="77">
        <f t="shared" si="5"/>
        <v>0.25</v>
      </c>
      <c r="I33" s="77">
        <f t="shared" si="5"/>
        <v>0.125</v>
      </c>
      <c r="J33" s="77">
        <f t="shared" si="5"/>
        <v>2.5000000000000001E-3</v>
      </c>
      <c r="K33" s="77">
        <f t="shared" si="5"/>
        <v>1.2500000000000001E-2</v>
      </c>
      <c r="L33" s="77">
        <f t="shared" si="5"/>
        <v>0.05</v>
      </c>
      <c r="M33" s="77">
        <f t="shared" si="5"/>
        <v>0.05</v>
      </c>
      <c r="N33" s="77">
        <f t="shared" si="5"/>
        <v>0</v>
      </c>
      <c r="O33" s="77">
        <f t="shared" si="5"/>
        <v>0</v>
      </c>
      <c r="P33" s="77">
        <f t="shared" si="5"/>
        <v>84.25</v>
      </c>
      <c r="Q33" s="77">
        <f t="shared" si="10"/>
        <v>48.6875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250</v>
      </c>
      <c r="C34" s="77">
        <f t="shared" si="6"/>
        <v>150</v>
      </c>
      <c r="D34" s="77">
        <f t="shared" si="7"/>
        <v>56.587699999999998</v>
      </c>
      <c r="E34" s="77">
        <f t="shared" si="8"/>
        <v>50.911250000000003</v>
      </c>
      <c r="F34" s="77">
        <f t="shared" si="9"/>
        <v>10.6112</v>
      </c>
      <c r="G34" s="77">
        <f t="shared" si="5"/>
        <v>5.525E-2</v>
      </c>
      <c r="H34" s="77">
        <f t="shared" si="5"/>
        <v>0.25</v>
      </c>
      <c r="I34" s="77">
        <f t="shared" si="5"/>
        <v>0.125</v>
      </c>
      <c r="J34" s="77">
        <f t="shared" si="5"/>
        <v>2.5000000000000001E-3</v>
      </c>
      <c r="K34" s="77">
        <f t="shared" si="5"/>
        <v>1.2500000000000001E-2</v>
      </c>
      <c r="L34" s="77">
        <f t="shared" si="5"/>
        <v>0.05</v>
      </c>
      <c r="M34" s="77">
        <f t="shared" si="5"/>
        <v>0.05</v>
      </c>
      <c r="N34" s="77">
        <f t="shared" si="5"/>
        <v>0</v>
      </c>
      <c r="O34" s="77">
        <f t="shared" si="5"/>
        <v>0</v>
      </c>
      <c r="P34" s="77">
        <f t="shared" si="5"/>
        <v>84.25</v>
      </c>
      <c r="Q34" s="77">
        <f t="shared" si="10"/>
        <v>48.6875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250</v>
      </c>
      <c r="C35" s="77">
        <f t="shared" si="6"/>
        <v>150</v>
      </c>
      <c r="D35" s="77">
        <f t="shared" si="7"/>
        <v>56.587699999999998</v>
      </c>
      <c r="E35" s="77">
        <f t="shared" si="8"/>
        <v>50.911250000000003</v>
      </c>
      <c r="F35" s="77">
        <f t="shared" si="9"/>
        <v>10.6112</v>
      </c>
      <c r="G35" s="77">
        <f t="shared" si="5"/>
        <v>5.525E-2</v>
      </c>
      <c r="H35" s="77">
        <f t="shared" si="5"/>
        <v>0.25</v>
      </c>
      <c r="I35" s="77">
        <f t="shared" si="5"/>
        <v>0.125</v>
      </c>
      <c r="J35" s="77">
        <f t="shared" si="5"/>
        <v>2.5000000000000001E-3</v>
      </c>
      <c r="K35" s="77">
        <f t="shared" si="5"/>
        <v>1.2500000000000001E-2</v>
      </c>
      <c r="L35" s="77">
        <f t="shared" si="5"/>
        <v>0.05</v>
      </c>
      <c r="M35" s="77">
        <f t="shared" si="5"/>
        <v>0.05</v>
      </c>
      <c r="N35" s="77">
        <f t="shared" si="5"/>
        <v>0</v>
      </c>
      <c r="O35" s="77">
        <f t="shared" si="5"/>
        <v>0</v>
      </c>
      <c r="P35" s="77">
        <f t="shared" si="5"/>
        <v>84.25</v>
      </c>
      <c r="Q35" s="77">
        <f t="shared" si="10"/>
        <v>48.6875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250</v>
      </c>
      <c r="C36" s="77">
        <f t="shared" si="6"/>
        <v>150</v>
      </c>
      <c r="D36" s="77">
        <f t="shared" si="7"/>
        <v>56.587699999999998</v>
      </c>
      <c r="E36" s="77">
        <f t="shared" si="8"/>
        <v>50.911250000000003</v>
      </c>
      <c r="F36" s="77">
        <f t="shared" si="9"/>
        <v>10.6112</v>
      </c>
      <c r="G36" s="77">
        <f t="shared" si="5"/>
        <v>5.525E-2</v>
      </c>
      <c r="H36" s="77">
        <f t="shared" si="5"/>
        <v>0.25</v>
      </c>
      <c r="I36" s="77">
        <f t="shared" si="5"/>
        <v>0.125</v>
      </c>
      <c r="J36" s="77">
        <f t="shared" si="5"/>
        <v>2.5000000000000001E-3</v>
      </c>
      <c r="K36" s="77">
        <f t="shared" si="5"/>
        <v>1.2500000000000001E-2</v>
      </c>
      <c r="L36" s="77">
        <f t="shared" si="5"/>
        <v>0.05</v>
      </c>
      <c r="M36" s="77">
        <f t="shared" si="5"/>
        <v>0.05</v>
      </c>
      <c r="N36" s="77">
        <f t="shared" si="5"/>
        <v>0</v>
      </c>
      <c r="O36" s="77">
        <f t="shared" si="5"/>
        <v>0</v>
      </c>
      <c r="P36" s="77">
        <f t="shared" si="5"/>
        <v>84.25</v>
      </c>
      <c r="Q36" s="77">
        <f t="shared" si="10"/>
        <v>48.6875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8</v>
      </c>
      <c r="B37" s="15">
        <v>250</v>
      </c>
      <c r="C37" s="77">
        <f t="shared" si="6"/>
        <v>150</v>
      </c>
      <c r="D37" s="77">
        <f t="shared" si="7"/>
        <v>56.587699999999998</v>
      </c>
      <c r="E37" s="77">
        <f t="shared" si="8"/>
        <v>50.911250000000003</v>
      </c>
      <c r="F37" s="77">
        <f t="shared" si="9"/>
        <v>10.6112</v>
      </c>
      <c r="G37" s="77">
        <f t="shared" si="5"/>
        <v>5.525E-2</v>
      </c>
      <c r="H37" s="77">
        <f t="shared" si="5"/>
        <v>0.25</v>
      </c>
      <c r="I37" s="77">
        <f t="shared" si="5"/>
        <v>0.125</v>
      </c>
      <c r="J37" s="77">
        <f t="shared" si="5"/>
        <v>2.5000000000000001E-3</v>
      </c>
      <c r="K37" s="77">
        <f t="shared" si="5"/>
        <v>1.2500000000000001E-2</v>
      </c>
      <c r="L37" s="77">
        <f t="shared" si="5"/>
        <v>0.05</v>
      </c>
      <c r="M37" s="77">
        <f t="shared" si="5"/>
        <v>0.05</v>
      </c>
      <c r="N37" s="77">
        <f t="shared" si="5"/>
        <v>0</v>
      </c>
      <c r="O37" s="77">
        <f t="shared" si="5"/>
        <v>0</v>
      </c>
      <c r="P37" s="77">
        <f t="shared" si="5"/>
        <v>84.25</v>
      </c>
      <c r="Q37" s="77">
        <f t="shared" si="10"/>
        <v>48.6875</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7</v>
      </c>
      <c r="B38" s="15">
        <v>250</v>
      </c>
      <c r="C38" s="77">
        <f t="shared" si="6"/>
        <v>150</v>
      </c>
      <c r="D38" s="77">
        <f t="shared" si="7"/>
        <v>56.587699999999998</v>
      </c>
      <c r="E38" s="77">
        <f t="shared" si="8"/>
        <v>50.911250000000003</v>
      </c>
      <c r="F38" s="77">
        <f t="shared" si="9"/>
        <v>10.6112</v>
      </c>
      <c r="G38" s="77">
        <f t="shared" si="5"/>
        <v>5.525E-2</v>
      </c>
      <c r="H38" s="77">
        <f t="shared" si="5"/>
        <v>0.25</v>
      </c>
      <c r="I38" s="77">
        <f t="shared" si="5"/>
        <v>0.125</v>
      </c>
      <c r="J38" s="77">
        <f t="shared" si="5"/>
        <v>2.5000000000000001E-3</v>
      </c>
      <c r="K38" s="77">
        <f t="shared" si="5"/>
        <v>1.2500000000000001E-2</v>
      </c>
      <c r="L38" s="77">
        <f t="shared" si="5"/>
        <v>0.05</v>
      </c>
      <c r="M38" s="77">
        <f t="shared" si="5"/>
        <v>0.05</v>
      </c>
      <c r="N38" s="77">
        <f t="shared" si="5"/>
        <v>0</v>
      </c>
      <c r="O38" s="77">
        <f t="shared" si="5"/>
        <v>0</v>
      </c>
      <c r="P38" s="77">
        <f t="shared" si="5"/>
        <v>84.25</v>
      </c>
      <c r="Q38" s="77">
        <f t="shared" si="10"/>
        <v>48.6875</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v>250</v>
      </c>
      <c r="C39" s="77">
        <f t="shared" si="6"/>
        <v>150</v>
      </c>
      <c r="D39" s="77">
        <f t="shared" si="7"/>
        <v>56.587699999999998</v>
      </c>
      <c r="E39" s="77">
        <f t="shared" si="8"/>
        <v>50.911250000000003</v>
      </c>
      <c r="F39" s="77">
        <f t="shared" si="9"/>
        <v>10.6112</v>
      </c>
      <c r="G39" s="77">
        <f t="shared" si="5"/>
        <v>5.525E-2</v>
      </c>
      <c r="H39" s="77">
        <f t="shared" si="5"/>
        <v>0.25</v>
      </c>
      <c r="I39" s="77">
        <f t="shared" si="5"/>
        <v>0.125</v>
      </c>
      <c r="J39" s="77">
        <f t="shared" si="5"/>
        <v>2.5000000000000001E-3</v>
      </c>
      <c r="K39" s="77">
        <f t="shared" si="5"/>
        <v>1.2500000000000001E-2</v>
      </c>
      <c r="L39" s="77">
        <f t="shared" si="5"/>
        <v>0.05</v>
      </c>
      <c r="M39" s="77">
        <f t="shared" si="5"/>
        <v>0.05</v>
      </c>
      <c r="N39" s="77">
        <f t="shared" si="5"/>
        <v>0</v>
      </c>
      <c r="O39" s="77">
        <f t="shared" si="5"/>
        <v>0</v>
      </c>
      <c r="P39" s="77">
        <f t="shared" si="5"/>
        <v>84.25</v>
      </c>
      <c r="Q39" s="77">
        <f t="shared" si="10"/>
        <v>48.6875</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v>250</v>
      </c>
      <c r="C40" s="77">
        <f t="shared" si="6"/>
        <v>150</v>
      </c>
      <c r="D40" s="77">
        <f t="shared" si="7"/>
        <v>56.587699999999998</v>
      </c>
      <c r="E40" s="77">
        <f t="shared" si="8"/>
        <v>50.911250000000003</v>
      </c>
      <c r="F40" s="77">
        <f t="shared" si="9"/>
        <v>10.6112</v>
      </c>
      <c r="G40" s="77">
        <f t="shared" si="5"/>
        <v>5.525E-2</v>
      </c>
      <c r="H40" s="77">
        <f t="shared" si="5"/>
        <v>0.25</v>
      </c>
      <c r="I40" s="77">
        <f t="shared" si="5"/>
        <v>0.125</v>
      </c>
      <c r="J40" s="77">
        <f t="shared" si="5"/>
        <v>2.5000000000000001E-3</v>
      </c>
      <c r="K40" s="77">
        <f t="shared" si="5"/>
        <v>1.2500000000000001E-2</v>
      </c>
      <c r="L40" s="77">
        <f t="shared" si="5"/>
        <v>0.05</v>
      </c>
      <c r="M40" s="77">
        <f t="shared" si="5"/>
        <v>0.05</v>
      </c>
      <c r="N40" s="77">
        <f t="shared" si="5"/>
        <v>0</v>
      </c>
      <c r="O40" s="77">
        <f t="shared" si="5"/>
        <v>0</v>
      </c>
      <c r="P40" s="77">
        <f t="shared" si="5"/>
        <v>84.25</v>
      </c>
      <c r="Q40" s="77">
        <f t="shared" si="10"/>
        <v>48.6875</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11</v>
      </c>
      <c r="B41" s="15">
        <v>250</v>
      </c>
      <c r="C41" s="77">
        <f t="shared" si="6"/>
        <v>150</v>
      </c>
      <c r="D41" s="77">
        <f t="shared" si="7"/>
        <v>56.587699999999998</v>
      </c>
      <c r="E41" s="77">
        <f t="shared" si="8"/>
        <v>50.911250000000003</v>
      </c>
      <c r="F41" s="77">
        <f t="shared" si="9"/>
        <v>10.6112</v>
      </c>
      <c r="G41" s="77">
        <f t="shared" si="5"/>
        <v>5.525E-2</v>
      </c>
      <c r="H41" s="77">
        <f t="shared" si="5"/>
        <v>0.25</v>
      </c>
      <c r="I41" s="77">
        <f t="shared" si="5"/>
        <v>0.125</v>
      </c>
      <c r="J41" s="77">
        <f t="shared" si="5"/>
        <v>2.5000000000000001E-3</v>
      </c>
      <c r="K41" s="77">
        <f t="shared" si="5"/>
        <v>1.2500000000000001E-2</v>
      </c>
      <c r="L41" s="77">
        <f t="shared" si="5"/>
        <v>0.05</v>
      </c>
      <c r="M41" s="77">
        <f t="shared" si="5"/>
        <v>0.05</v>
      </c>
      <c r="N41" s="77">
        <f t="shared" si="5"/>
        <v>0</v>
      </c>
      <c r="O41" s="77">
        <f t="shared" si="5"/>
        <v>0</v>
      </c>
      <c r="P41" s="77">
        <f t="shared" si="5"/>
        <v>84.25</v>
      </c>
      <c r="Q41" s="77">
        <f t="shared" si="10"/>
        <v>48.6875</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12</v>
      </c>
      <c r="B42" s="15">
        <v>250</v>
      </c>
      <c r="C42" s="77">
        <f t="shared" si="6"/>
        <v>150</v>
      </c>
      <c r="D42" s="77">
        <f t="shared" si="7"/>
        <v>56.587699999999998</v>
      </c>
      <c r="E42" s="77">
        <f t="shared" si="8"/>
        <v>50.911250000000003</v>
      </c>
      <c r="F42" s="77">
        <f t="shared" si="9"/>
        <v>10.6112</v>
      </c>
      <c r="G42" s="77">
        <f t="shared" si="5"/>
        <v>5.525E-2</v>
      </c>
      <c r="H42" s="77">
        <f t="shared" si="5"/>
        <v>0.25</v>
      </c>
      <c r="I42" s="77">
        <f t="shared" si="5"/>
        <v>0.125</v>
      </c>
      <c r="J42" s="77">
        <f t="shared" si="5"/>
        <v>2.5000000000000001E-3</v>
      </c>
      <c r="K42" s="77">
        <f t="shared" si="5"/>
        <v>1.2500000000000001E-2</v>
      </c>
      <c r="L42" s="77">
        <f t="shared" si="5"/>
        <v>0.05</v>
      </c>
      <c r="M42" s="77">
        <f t="shared" si="5"/>
        <v>0.05</v>
      </c>
      <c r="N42" s="77">
        <f t="shared" si="5"/>
        <v>0</v>
      </c>
      <c r="O42" s="77">
        <f t="shared" si="5"/>
        <v>0</v>
      </c>
      <c r="P42" s="77">
        <f t="shared" si="5"/>
        <v>84.25</v>
      </c>
      <c r="Q42" s="77">
        <f t="shared" si="10"/>
        <v>48.6875</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13</v>
      </c>
      <c r="B43" s="15">
        <v>250</v>
      </c>
      <c r="C43" s="77">
        <f t="shared" si="6"/>
        <v>150</v>
      </c>
      <c r="D43" s="77">
        <f t="shared" si="7"/>
        <v>56.587699999999998</v>
      </c>
      <c r="E43" s="77">
        <f t="shared" si="8"/>
        <v>50.911250000000003</v>
      </c>
      <c r="F43" s="77">
        <f t="shared" si="9"/>
        <v>10.6112</v>
      </c>
      <c r="G43" s="77">
        <f t="shared" si="5"/>
        <v>5.525E-2</v>
      </c>
      <c r="H43" s="77">
        <f t="shared" si="5"/>
        <v>0.25</v>
      </c>
      <c r="I43" s="77">
        <f t="shared" si="5"/>
        <v>0.125</v>
      </c>
      <c r="J43" s="77">
        <f t="shared" si="5"/>
        <v>2.5000000000000001E-3</v>
      </c>
      <c r="K43" s="77">
        <f t="shared" si="5"/>
        <v>1.2500000000000001E-2</v>
      </c>
      <c r="L43" s="77">
        <f t="shared" si="5"/>
        <v>0.05</v>
      </c>
      <c r="M43" s="77">
        <f t="shared" si="5"/>
        <v>0.05</v>
      </c>
      <c r="N43" s="77">
        <f t="shared" si="5"/>
        <v>0</v>
      </c>
      <c r="O43" s="77">
        <f t="shared" si="5"/>
        <v>0</v>
      </c>
      <c r="P43" s="77">
        <f t="shared" si="5"/>
        <v>84.25</v>
      </c>
      <c r="Q43" s="77">
        <f t="shared" si="10"/>
        <v>48.6875</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t="str">
        <f>P8</f>
        <v>7a</v>
      </c>
      <c r="B44" s="15">
        <v>250</v>
      </c>
      <c r="C44" s="77">
        <f t="shared" si="6"/>
        <v>150</v>
      </c>
      <c r="D44" s="77">
        <f t="shared" si="7"/>
        <v>56.587699999999998</v>
      </c>
      <c r="E44" s="77">
        <f t="shared" si="8"/>
        <v>50.911250000000003</v>
      </c>
      <c r="F44" s="77">
        <f t="shared" si="9"/>
        <v>10.6112</v>
      </c>
      <c r="G44" s="77">
        <f t="shared" si="5"/>
        <v>5.525E-2</v>
      </c>
      <c r="H44" s="77">
        <f t="shared" si="5"/>
        <v>0.25</v>
      </c>
      <c r="I44" s="77">
        <f t="shared" si="5"/>
        <v>0.125</v>
      </c>
      <c r="J44" s="77">
        <f t="shared" si="5"/>
        <v>2.5000000000000001E-3</v>
      </c>
      <c r="K44" s="77">
        <f t="shared" si="5"/>
        <v>1.2500000000000001E-2</v>
      </c>
      <c r="L44" s="77">
        <f t="shared" si="5"/>
        <v>0.05</v>
      </c>
      <c r="M44" s="77">
        <f t="shared" si="5"/>
        <v>0.05</v>
      </c>
      <c r="N44" s="77">
        <f t="shared" si="5"/>
        <v>0</v>
      </c>
      <c r="O44" s="77">
        <f t="shared" si="5"/>
        <v>0</v>
      </c>
      <c r="P44" s="77">
        <f t="shared" si="5"/>
        <v>84.25</v>
      </c>
      <c r="Q44" s="77">
        <f t="shared" si="10"/>
        <v>48.6875</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8</v>
      </c>
      <c r="I57" s="8">
        <f t="shared" si="13"/>
        <v>7</v>
      </c>
      <c r="J57" s="8">
        <f t="shared" si="13"/>
        <v>9</v>
      </c>
      <c r="K57" s="8">
        <f t="shared" si="13"/>
        <v>10</v>
      </c>
      <c r="L57" s="8">
        <f t="shared" si="13"/>
        <v>11</v>
      </c>
      <c r="M57" s="8">
        <f t="shared" si="13"/>
        <v>12</v>
      </c>
      <c r="N57" s="8">
        <f t="shared" si="13"/>
        <v>13</v>
      </c>
      <c r="O57" s="8" t="str">
        <f t="shared" si="13"/>
        <v>7a</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"&amp;(VLOOKUP(C14,Table245810[],6,FALSE))</f>
        <v>Sandy Loam I Grass</v>
      </c>
      <c r="C58" s="13" t="str">
        <f>D16&amp;" I "&amp;(VLOOKUP(D14,Table245810[],6,FALSE))</f>
        <v>Sandy Loam I Grass</v>
      </c>
      <c r="D58" s="13" t="str">
        <f>E16&amp;" I "&amp;(VLOOKUP(E14,Table245810[],6,FALSE))</f>
        <v>Sandy Loam I Grass</v>
      </c>
      <c r="E58" s="13" t="str">
        <f>F16&amp;" I "&amp;(VLOOKUP(F14,Table245810[],6,FALSE))</f>
        <v>Sandy Loam I Arable</v>
      </c>
      <c r="F58" s="13" t="str">
        <f>G16&amp;" I "&amp;(VLOOKUP(G14,Table245810[],6,FALSE))</f>
        <v>Sandy Loam I Grass</v>
      </c>
      <c r="G58" s="13" t="str">
        <f>H16&amp;" I "&amp;(VLOOKUP(H14,Table245810[],6,FALSE))</f>
        <v>Sandy Loam I Grass</v>
      </c>
      <c r="H58" s="13" t="str">
        <f>I16&amp;" I "&amp;(VLOOKUP(I14,Table245810[],6,FALSE))</f>
        <v>Sandy Loam I Grass</v>
      </c>
      <c r="I58" s="13" t="str">
        <f>J16&amp;" I "&amp;(VLOOKUP(J14,Table245810[],6,FALSE))</f>
        <v>Sandy Loam I Grass</v>
      </c>
      <c r="J58" s="13" t="str">
        <f>K16&amp;" I "&amp;(VLOOKUP(K14,Table245810[],6,FALSE))</f>
        <v>Sandy Loam I Grass</v>
      </c>
      <c r="K58" s="13" t="str">
        <f>L16&amp;" I "&amp;(VLOOKUP(L14,Table245810[],6,FALSE))</f>
        <v>Sandy Loam I Grass</v>
      </c>
      <c r="L58" s="13" t="str">
        <f>M16&amp;" I "&amp;(VLOOKUP(M14,Table245810[],6,FALSE))</f>
        <v>Sandy Loam I Grass</v>
      </c>
      <c r="M58" s="13" t="str">
        <f>N16&amp;" I "&amp;(VLOOKUP(N14,Table245810[],6,FALSE))</f>
        <v>Sandy Loam I Grass</v>
      </c>
      <c r="N58" s="13" t="str">
        <f>O16&amp;" I "&amp;(VLOOKUP(O14,Table245810[],6,FALSE))</f>
        <v>Sandy Loam I Grass</v>
      </c>
      <c r="O58" s="13" t="str">
        <f>P16&amp;" I "&amp;(VLOOKUP(P14,Table245810[],6,FALSE))</f>
        <v>Sandy Loam I Arable</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6.2</v>
      </c>
      <c r="C59" s="76">
        <f>VLOOKUP(D$14,Table245810[],5,FALSE)</f>
        <v>6.2</v>
      </c>
      <c r="D59" s="76">
        <f>VLOOKUP(E$14,Table245810[],5,FALSE)</f>
        <v>6.2</v>
      </c>
      <c r="E59" s="76">
        <f>VLOOKUP(F$14,Table245810[],5,FALSE)</f>
        <v>6.7</v>
      </c>
      <c r="F59" s="76">
        <f>VLOOKUP(G$14,Table245810[],5,FALSE)</f>
        <v>6.2</v>
      </c>
      <c r="G59" s="76">
        <f>VLOOKUP(H$14,Table245810[],5,FALSE)</f>
        <v>6.2</v>
      </c>
      <c r="H59" s="76">
        <f>VLOOKUP(I$14,Table245810[],5,FALSE)</f>
        <v>6.2</v>
      </c>
      <c r="I59" s="76">
        <f>VLOOKUP(J$14,Table245810[],5,FALSE)</f>
        <v>6.2</v>
      </c>
      <c r="J59" s="76">
        <f>VLOOKUP(K$14,Table245810[],5,FALSE)</f>
        <v>6.2</v>
      </c>
      <c r="K59" s="76">
        <f>VLOOKUP(L$14,Table245810[],5,FALSE)</f>
        <v>6.2</v>
      </c>
      <c r="L59" s="76">
        <f>VLOOKUP(M$14,Table245810[],5,FALSE)</f>
        <v>6.2</v>
      </c>
      <c r="M59" s="76">
        <f>VLOOKUP(N$14,Table245810[],5,FALSE)</f>
        <v>6.2</v>
      </c>
      <c r="N59" s="76">
        <f>VLOOKUP(O$14,Table245810[],5,FALSE)</f>
        <v>6.2</v>
      </c>
      <c r="O59" s="76">
        <f>VLOOKUP(P$14,Table245810[],5,FALSE)</f>
        <v>6.7</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6.2</v>
      </c>
      <c r="C60" s="76">
        <f t="shared" ref="C60:U60" si="14">D10</f>
        <v>6</v>
      </c>
      <c r="D60" s="76">
        <f t="shared" si="14"/>
        <v>7</v>
      </c>
      <c r="E60" s="76">
        <f t="shared" si="14"/>
        <v>6.1</v>
      </c>
      <c r="F60" s="76">
        <f t="shared" si="14"/>
        <v>6.5</v>
      </c>
      <c r="G60" s="76">
        <f t="shared" si="14"/>
        <v>6.5</v>
      </c>
      <c r="H60" s="76">
        <f t="shared" si="14"/>
        <v>6.1</v>
      </c>
      <c r="I60" s="76">
        <f t="shared" si="14"/>
        <v>6.1</v>
      </c>
      <c r="J60" s="76">
        <f t="shared" si="14"/>
        <v>6.6</v>
      </c>
      <c r="K60" s="76">
        <f t="shared" si="14"/>
        <v>6.7</v>
      </c>
      <c r="L60" s="76">
        <f t="shared" si="14"/>
        <v>6.7</v>
      </c>
      <c r="M60" s="76">
        <f t="shared" si="14"/>
        <v>6.5</v>
      </c>
      <c r="N60" s="76">
        <f t="shared" si="14"/>
        <v>6.7</v>
      </c>
      <c r="O60" s="76">
        <f t="shared" si="14"/>
        <v>6.5</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5</v>
      </c>
      <c r="C61" s="76">
        <f t="shared" si="15"/>
        <v>5</v>
      </c>
      <c r="D61" s="76">
        <f t="shared" si="15"/>
        <v>5</v>
      </c>
      <c r="E61" s="76">
        <f t="shared" si="15"/>
        <v>7</v>
      </c>
      <c r="F61" s="76">
        <f t="shared" si="15"/>
        <v>5</v>
      </c>
      <c r="G61" s="76">
        <f t="shared" si="15"/>
        <v>5</v>
      </c>
      <c r="H61" s="76">
        <f t="shared" si="15"/>
        <v>5</v>
      </c>
      <c r="I61" s="76">
        <f t="shared" si="15"/>
        <v>5</v>
      </c>
      <c r="J61" s="76">
        <f t="shared" si="15"/>
        <v>5</v>
      </c>
      <c r="K61" s="76">
        <f t="shared" si="15"/>
        <v>5</v>
      </c>
      <c r="L61" s="76">
        <f t="shared" si="15"/>
        <v>5</v>
      </c>
      <c r="M61" s="76">
        <f t="shared" si="15"/>
        <v>5</v>
      </c>
      <c r="N61" s="76">
        <f t="shared" si="15"/>
        <v>5</v>
      </c>
      <c r="O61" s="76">
        <f t="shared" si="15"/>
        <v>7</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250</v>
      </c>
      <c r="N62" s="77">
        <f>B43</f>
        <v>250</v>
      </c>
      <c r="O62" s="77">
        <f>B44</f>
        <v>250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1.0000000000000009</v>
      </c>
      <c r="D64" s="77">
        <f t="shared" si="17"/>
        <v>-3.9999999999999991</v>
      </c>
      <c r="E64" s="77">
        <f t="shared" si="17"/>
        <v>4.2000000000000037</v>
      </c>
      <c r="F64" s="77">
        <f t="shared" si="17"/>
        <v>-1.4999999999999991</v>
      </c>
      <c r="G64" s="77">
        <f t="shared" si="17"/>
        <v>-1.4999999999999991</v>
      </c>
      <c r="H64" s="77">
        <f t="shared" si="17"/>
        <v>0.50000000000000266</v>
      </c>
      <c r="I64" s="77">
        <f t="shared" si="17"/>
        <v>0.50000000000000266</v>
      </c>
      <c r="J64" s="77">
        <f t="shared" si="17"/>
        <v>-1.9999999999999973</v>
      </c>
      <c r="K64" s="77">
        <f t="shared" si="17"/>
        <v>-2.5</v>
      </c>
      <c r="L64" s="77">
        <f t="shared" si="17"/>
        <v>-2.5</v>
      </c>
      <c r="M64" s="77">
        <f t="shared" si="17"/>
        <v>-1.4999999999999991</v>
      </c>
      <c r="N64" s="77">
        <f t="shared" si="17"/>
        <v>-2.5</v>
      </c>
      <c r="O64" s="77">
        <f t="shared" si="17"/>
        <v>1.4000000000000012</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-1.0000000000000009</v>
      </c>
      <c r="D65" s="77">
        <f t="shared" si="18"/>
        <v>3.9999999999999991</v>
      </c>
      <c r="E65" s="77">
        <f t="shared" si="18"/>
        <v>-4.2000000000000037</v>
      </c>
      <c r="F65" s="77">
        <f t="shared" si="18"/>
        <v>1.4999999999999991</v>
      </c>
      <c r="G65" s="77">
        <f t="shared" si="18"/>
        <v>1.4999999999999991</v>
      </c>
      <c r="H65" s="77">
        <f t="shared" si="18"/>
        <v>-0.50000000000000266</v>
      </c>
      <c r="I65" s="77">
        <f t="shared" si="18"/>
        <v>-0.50000000000000266</v>
      </c>
      <c r="J65" s="77">
        <f t="shared" si="18"/>
        <v>1.9999999999999973</v>
      </c>
      <c r="K65" s="77">
        <f t="shared" si="18"/>
        <v>2.5</v>
      </c>
      <c r="L65" s="77">
        <f t="shared" si="18"/>
        <v>2.5</v>
      </c>
      <c r="M65" s="77">
        <f t="shared" si="18"/>
        <v>1.4999999999999991</v>
      </c>
      <c r="N65" s="77">
        <f t="shared" si="18"/>
        <v>2.5</v>
      </c>
      <c r="O65" s="77">
        <f t="shared" si="18"/>
        <v>-1.4000000000000012</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OVER</v>
      </c>
      <c r="E66" s="78" t="str">
        <f t="shared" si="19"/>
        <v>UNDER</v>
      </c>
      <c r="F66" s="78" t="str">
        <f t="shared" si="19"/>
        <v>OVER</v>
      </c>
      <c r="G66" s="78" t="str">
        <f t="shared" si="19"/>
        <v>OVER</v>
      </c>
      <c r="H66" s="78" t="str">
        <f t="shared" si="19"/>
        <v>UNDER</v>
      </c>
      <c r="I66" s="78" t="str">
        <f t="shared" si="19"/>
        <v>UNDER</v>
      </c>
      <c r="J66" s="78" t="str">
        <f t="shared" si="19"/>
        <v>OVER</v>
      </c>
      <c r="K66" s="78" t="str">
        <f t="shared" si="19"/>
        <v>OVER</v>
      </c>
      <c r="L66" s="78" t="str">
        <f t="shared" si="19"/>
        <v>OVER</v>
      </c>
      <c r="M66" s="78" t="str">
        <f t="shared" si="19"/>
        <v>OVER</v>
      </c>
      <c r="N66" s="78" t="str">
        <f t="shared" si="19"/>
        <v>OVER</v>
      </c>
      <c r="O66" s="78" t="str">
        <f t="shared" si="19"/>
        <v>UNDER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9" operator="equal">
      <formula>"DECREASE"</formula>
    </cfRule>
    <cfRule type="cellIs" dxfId="208" priority="40" operator="equal">
      <formula>"INCREASE"</formula>
    </cfRule>
  </conditionalFormatting>
  <conditionalFormatting sqref="B62:U66 B31:B50">
    <cfRule type="cellIs" dxfId="207" priority="38" operator="greaterThan">
      <formula>$B$51</formula>
    </cfRule>
  </conditionalFormatting>
  <conditionalFormatting sqref="C31:C50">
    <cfRule type="cellIs" dxfId="206" priority="37" operator="greaterThan">
      <formula>$C$51</formula>
    </cfRule>
  </conditionalFormatting>
  <conditionalFormatting sqref="C18:V18">
    <cfRule type="cellIs" dxfId="205" priority="36" operator="equal">
      <formula>0</formula>
    </cfRule>
  </conditionalFormatting>
  <conditionalFormatting sqref="C17:V17">
    <cfRule type="cellIs" dxfId="204" priority="35" operator="equal">
      <formula>0</formula>
    </cfRule>
  </conditionalFormatting>
  <conditionalFormatting sqref="C19:V19">
    <cfRule type="cellIs" dxfId="203" priority="34" operator="equal">
      <formula>0</formula>
    </cfRule>
  </conditionalFormatting>
  <conditionalFormatting sqref="G31:G50">
    <cfRule type="cellIs" dxfId="202" priority="33" operator="greaterThan">
      <formula>$G$51</formula>
    </cfRule>
  </conditionalFormatting>
  <conditionalFormatting sqref="H31:H50">
    <cfRule type="cellIs" dxfId="201" priority="32" operator="greaterThan">
      <formula>$H$51</formula>
    </cfRule>
  </conditionalFormatting>
  <conditionalFormatting sqref="I31:I50">
    <cfRule type="cellIs" dxfId="200" priority="31" operator="greaterThan">
      <formula>$I$51</formula>
    </cfRule>
  </conditionalFormatting>
  <conditionalFormatting sqref="K31:K50">
    <cfRule type="cellIs" dxfId="199" priority="30" operator="greaterThan">
      <formula>$K$51</formula>
    </cfRule>
  </conditionalFormatting>
  <conditionalFormatting sqref="L31:L50">
    <cfRule type="cellIs" dxfId="198" priority="29" operator="greaterThan">
      <formula>$L$51</formula>
    </cfRule>
  </conditionalFormatting>
  <conditionalFormatting sqref="M31:M50">
    <cfRule type="cellIs" dxfId="197" priority="28" operator="greaterThan">
      <formula>$M$51</formula>
    </cfRule>
  </conditionalFormatting>
  <conditionalFormatting sqref="P31:P50">
    <cfRule type="cellIs" dxfId="196" priority="27" operator="greaterThan">
      <formula>$P$51</formula>
    </cfRule>
  </conditionalFormatting>
  <conditionalFormatting sqref="R31:R50">
    <cfRule type="cellIs" dxfId="195" priority="26" operator="greaterThan">
      <formula>$R$51</formula>
    </cfRule>
  </conditionalFormatting>
  <conditionalFormatting sqref="S31:S50">
    <cfRule type="cellIs" dxfId="194" priority="25" operator="greaterThan">
      <formula>$S$51</formula>
    </cfRule>
  </conditionalFormatting>
  <conditionalFormatting sqref="T31:T50">
    <cfRule type="cellIs" dxfId="193" priority="24" operator="greaterThan">
      <formula>$T$51</formula>
    </cfRule>
  </conditionalFormatting>
  <conditionalFormatting sqref="U31:U50">
    <cfRule type="cellIs" dxfId="192" priority="23" operator="greaterThan">
      <formula>$U$51</formula>
    </cfRule>
  </conditionalFormatting>
  <conditionalFormatting sqref="C22:V22">
    <cfRule type="cellIs" dxfId="191" priority="22" operator="equal">
      <formula>0</formula>
    </cfRule>
  </conditionalFormatting>
  <conditionalFormatting sqref="C24:V24">
    <cfRule type="cellIs" dxfId="190" priority="20" operator="equal">
      <formula>"DECREASE"</formula>
    </cfRule>
    <cfRule type="cellIs" dxfId="189" priority="21" operator="equal">
      <formula>"INCREASE"</formula>
    </cfRule>
  </conditionalFormatting>
  <conditionalFormatting sqref="C23:V23">
    <cfRule type="cellIs" dxfId="188" priority="19" operator="equal">
      <formula>0</formula>
    </cfRule>
  </conditionalFormatting>
  <conditionalFormatting sqref="C21:V21">
    <cfRule type="cellIs" dxfId="187" priority="15" operator="equal">
      <formula>0</formula>
    </cfRule>
  </conditionalFormatting>
  <conditionalFormatting sqref="B66:U66">
    <cfRule type="cellIs" dxfId="186" priority="13" operator="equal">
      <formula>"UNDER"</formula>
    </cfRule>
    <cfRule type="cellIs" dxfId="185" priority="14" operator="equal">
      <formula>"OVER"</formula>
    </cfRule>
  </conditionalFormatting>
  <conditionalFormatting sqref="J31:J50">
    <cfRule type="cellIs" dxfId="184" priority="10" operator="greaterThan">
      <formula>$J$51</formula>
    </cfRule>
  </conditionalFormatting>
  <conditionalFormatting sqref="L3">
    <cfRule type="cellIs" dxfId="183" priority="6" operator="lessThan">
      <formula>30</formula>
    </cfRule>
    <cfRule type="cellIs" dxfId="182" priority="7" operator="greaterThanOrEqual">
      <formula>30</formula>
    </cfRule>
  </conditionalFormatting>
  <conditionalFormatting sqref="I3">
    <cfRule type="cellIs" dxfId="181" priority="3" operator="greaterThan">
      <formula>40000.01</formula>
    </cfRule>
  </conditionalFormatting>
  <conditionalFormatting sqref="I1">
    <cfRule type="cellIs" dxfId="180" priority="2" operator="between">
      <formula>0.1</formula>
      <formula>5</formula>
    </cfRule>
  </conditionalFormatting>
  <conditionalFormatting sqref="I2">
    <cfRule type="cellIs" dxfId="179" priority="1" operator="greaterThan">
      <formula>5000.1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B32" sqref="B32:B4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9" t="s">
        <v>41</v>
      </c>
      <c r="B1" s="129"/>
      <c r="C1" s="142" t="str">
        <f>'Field data and Waste 1'!C1:D1</f>
        <v>PAN-019532</v>
      </c>
      <c r="D1" s="143"/>
      <c r="E1" s="93" t="s">
        <v>45</v>
      </c>
      <c r="F1" s="39">
        <f>'Field data and Waste 1'!F1</f>
        <v>18.100000000000001</v>
      </c>
      <c r="G1" s="125" t="s">
        <v>43</v>
      </c>
      <c r="H1" s="126"/>
      <c r="I1" s="118">
        <v>5.33</v>
      </c>
      <c r="J1" s="129" t="s">
        <v>153</v>
      </c>
      <c r="K1" s="129"/>
      <c r="L1" s="97">
        <v>242</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9" t="s">
        <v>87</v>
      </c>
      <c r="B2" s="129"/>
      <c r="C2" s="144" t="str">
        <f>'Field data and Waste 1'!C2:D2</f>
        <v>EPR-KP3594VE</v>
      </c>
      <c r="D2" s="145"/>
      <c r="E2" s="93" t="s">
        <v>109</v>
      </c>
      <c r="F2" s="96" t="s">
        <v>172</v>
      </c>
      <c r="G2" s="127" t="s">
        <v>110</v>
      </c>
      <c r="H2" s="128"/>
      <c r="I2" s="118">
        <v>890</v>
      </c>
      <c r="J2" s="129" t="s">
        <v>158</v>
      </c>
      <c r="K2" s="129"/>
      <c r="L2" s="97">
        <v>0.04</v>
      </c>
      <c r="AB2" s="30" t="s">
        <v>56</v>
      </c>
      <c r="AC2" s="17"/>
      <c r="AD2" s="30" t="s">
        <v>70</v>
      </c>
      <c r="AE2" s="17"/>
      <c r="AF2" s="17"/>
      <c r="AG2" s="44" t="s">
        <v>76</v>
      </c>
      <c r="AH2" s="18"/>
      <c r="AI2" s="45" t="s">
        <v>126</v>
      </c>
      <c r="AJ2" s="46">
        <v>0</v>
      </c>
      <c r="AK2" s="47">
        <v>0</v>
      </c>
      <c r="AL2" s="10">
        <v>0</v>
      </c>
      <c r="AM2" s="11">
        <v>0</v>
      </c>
      <c r="AN2" s="11">
        <v>0</v>
      </c>
    </row>
    <row r="3" spans="1:41" ht="13" x14ac:dyDescent="0.25">
      <c r="A3" s="125" t="s">
        <v>42</v>
      </c>
      <c r="B3" s="126"/>
      <c r="C3" s="144" t="str">
        <f>'Field data and Waste 1'!C3:D3</f>
        <v xml:space="preserve">Trade effluent services </v>
      </c>
      <c r="D3" s="145"/>
      <c r="E3" s="93" t="s">
        <v>108</v>
      </c>
      <c r="F3" s="31" t="s">
        <v>78</v>
      </c>
      <c r="G3" s="129" t="s">
        <v>159</v>
      </c>
      <c r="H3" s="129"/>
      <c r="I3" s="118"/>
      <c r="J3" s="125" t="s">
        <v>154</v>
      </c>
      <c r="K3" s="126"/>
      <c r="L3" s="97">
        <f>(L1/(L2*10000))*100</f>
        <v>60.5</v>
      </c>
      <c r="AB3" s="30" t="s">
        <v>57</v>
      </c>
      <c r="AC3" s="17"/>
      <c r="AD3" s="30" t="s">
        <v>71</v>
      </c>
      <c r="AE3" s="17"/>
      <c r="AF3" s="17"/>
      <c r="AG3" s="44" t="s">
        <v>77</v>
      </c>
      <c r="AH3" s="18"/>
      <c r="AI3" s="48" t="s">
        <v>113</v>
      </c>
      <c r="AJ3" s="49">
        <v>1.7</v>
      </c>
      <c r="AK3" s="50">
        <v>6</v>
      </c>
      <c r="AL3" s="51">
        <v>1</v>
      </c>
      <c r="AM3" s="11">
        <v>6.2</v>
      </c>
      <c r="AN3" s="11" t="s">
        <v>112</v>
      </c>
    </row>
    <row r="4" spans="1:41" ht="13" x14ac:dyDescent="0.25">
      <c r="A4" s="129" t="s">
        <v>0</v>
      </c>
      <c r="B4" s="129"/>
      <c r="C4" s="142" t="str">
        <f>'Field data and Waste 1'!C4:D4</f>
        <v>Play Yn Llan, Llangynhafal, LL16 4LN</v>
      </c>
      <c r="D4" s="143"/>
      <c r="E4" s="94" t="s">
        <v>1</v>
      </c>
      <c r="F4" s="96" t="s">
        <v>176</v>
      </c>
      <c r="G4" s="125"/>
      <c r="H4" s="126"/>
      <c r="I4" s="39"/>
      <c r="J4" s="125"/>
      <c r="K4" s="126"/>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9" t="s">
        <v>47</v>
      </c>
      <c r="B5" s="129"/>
      <c r="C5" s="142" t="str">
        <f>'Field data and Waste 1'!C5:D5</f>
        <v xml:space="preserve">Ethan Banfield </v>
      </c>
      <c r="D5" s="143"/>
      <c r="E5" s="93"/>
      <c r="F5" s="39"/>
      <c r="G5" s="125"/>
      <c r="H5" s="126"/>
      <c r="I5" s="39"/>
      <c r="J5" s="125"/>
      <c r="K5" s="126"/>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9" t="s">
        <v>2</v>
      </c>
      <c r="B8" s="129"/>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8</v>
      </c>
      <c r="J8" s="60">
        <f>'Field data and Waste 1'!J8</f>
        <v>7</v>
      </c>
      <c r="K8" s="60">
        <f>'Field data and Waste 1'!K8</f>
        <v>9</v>
      </c>
      <c r="L8" s="60">
        <f>'Field data and Waste 1'!L8</f>
        <v>10</v>
      </c>
      <c r="M8" s="60">
        <f>'Field data and Waste 1'!M8</f>
        <v>11</v>
      </c>
      <c r="N8" s="60">
        <f>'Field data and Waste 1'!N8</f>
        <v>12</v>
      </c>
      <c r="O8" s="60">
        <f>'Field data and Waste 1'!O8</f>
        <v>13</v>
      </c>
      <c r="P8" s="60" t="str">
        <f>'Field data and Waste 1'!P8</f>
        <v>7a</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9" t="s">
        <v>3</v>
      </c>
      <c r="B9" s="129"/>
      <c r="C9" s="60" t="str">
        <f>'Field data and Waste 1'!C9</f>
        <v>Moderate</v>
      </c>
      <c r="D9" s="60" t="str">
        <f>'Field data and Waste 1'!D9</f>
        <v>Moderate</v>
      </c>
      <c r="E9" s="60" t="str">
        <f>'Field data and Waste 1'!E9</f>
        <v>moderate</v>
      </c>
      <c r="F9" s="60">
        <f>'Field data and Waste 1'!F9</f>
        <v>1</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f>'Field data and Waste 1'!P9</f>
        <v>1</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9" t="s">
        <v>4</v>
      </c>
      <c r="B10" s="129"/>
      <c r="C10" s="60">
        <f>'Field data and Waste 1'!C10</f>
        <v>6.2</v>
      </c>
      <c r="D10" s="60">
        <f>'Field data and Waste 1'!D10</f>
        <v>6</v>
      </c>
      <c r="E10" s="60">
        <f>'Field data and Waste 1'!E10</f>
        <v>7</v>
      </c>
      <c r="F10" s="60">
        <f>'Field data and Waste 1'!F10</f>
        <v>6.1</v>
      </c>
      <c r="G10" s="60">
        <f>'Field data and Waste 1'!G10</f>
        <v>6.5</v>
      </c>
      <c r="H10" s="60">
        <f>'Field data and Waste 1'!H10</f>
        <v>6.5</v>
      </c>
      <c r="I10" s="60">
        <f>'Field data and Waste 1'!I10</f>
        <v>6.1</v>
      </c>
      <c r="J10" s="60">
        <f>'Field data and Waste 1'!J10</f>
        <v>6.1</v>
      </c>
      <c r="K10" s="60">
        <f>'Field data and Waste 1'!K10</f>
        <v>6.6</v>
      </c>
      <c r="L10" s="60">
        <f>'Field data and Waste 1'!L10</f>
        <v>6.7</v>
      </c>
      <c r="M10" s="60">
        <f>'Field data and Waste 1'!M10</f>
        <v>6.7</v>
      </c>
      <c r="N10" s="60">
        <f>'Field data and Waste 1'!N10</f>
        <v>6.5</v>
      </c>
      <c r="O10" s="60">
        <f>'Field data and Waste 1'!O10</f>
        <v>6.7</v>
      </c>
      <c r="P10" s="60">
        <f>'Field data and Waste 1'!P10</f>
        <v>6.5</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9" t="s">
        <v>5</v>
      </c>
      <c r="B11" s="129"/>
      <c r="C11" s="60">
        <f>'Field data and Waste 1'!C11</f>
        <v>2</v>
      </c>
      <c r="D11" s="60">
        <f>'Field data and Waste 1'!D11</f>
        <v>1</v>
      </c>
      <c r="E11" s="60">
        <f>'Field data and Waste 1'!E11</f>
        <v>1</v>
      </c>
      <c r="F11" s="60">
        <f>'Field data and Waste 1'!F11</f>
        <v>2</v>
      </c>
      <c r="G11" s="60">
        <f>'Field data and Waste 1'!G11</f>
        <v>1</v>
      </c>
      <c r="H11" s="60">
        <f>'Field data and Waste 1'!H11</f>
        <v>2</v>
      </c>
      <c r="I11" s="60">
        <f>'Field data and Waste 1'!I11</f>
        <v>1</v>
      </c>
      <c r="J11" s="60">
        <f>'Field data and Waste 1'!J11</f>
        <v>1</v>
      </c>
      <c r="K11" s="60">
        <f>'Field data and Waste 1'!K11</f>
        <v>0</v>
      </c>
      <c r="L11" s="60">
        <f>'Field data and Waste 1'!L11</f>
        <v>0</v>
      </c>
      <c r="M11" s="60">
        <f>'Field data and Waste 1'!M11</f>
        <v>1</v>
      </c>
      <c r="N11" s="60">
        <f>'Field data and Waste 1'!N11</f>
        <v>1</v>
      </c>
      <c r="O11" s="60">
        <f>'Field data and Waste 1'!O11</f>
        <v>1</v>
      </c>
      <c r="P11" s="60">
        <f>'Field data and Waste 1'!P11</f>
        <v>3</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9" t="s">
        <v>6</v>
      </c>
      <c r="B12" s="129"/>
      <c r="C12" s="60">
        <f>'Field data and Waste 1'!C12</f>
        <v>2</v>
      </c>
      <c r="D12" s="60">
        <f>'Field data and Waste 1'!D12</f>
        <v>2</v>
      </c>
      <c r="E12" s="60">
        <f>'Field data and Waste 1'!E12</f>
        <v>1</v>
      </c>
      <c r="F12" s="60">
        <f>'Field data and Waste 1'!F12</f>
        <v>1</v>
      </c>
      <c r="G12" s="60">
        <f>'Field data and Waste 1'!G12</f>
        <v>2</v>
      </c>
      <c r="H12" s="60">
        <f>'Field data and Waste 1'!H12</f>
        <v>3</v>
      </c>
      <c r="I12" s="60">
        <f>'Field data and Waste 1'!I12</f>
        <v>3</v>
      </c>
      <c r="J12" s="60">
        <f>'Field data and Waste 1'!J12</f>
        <v>2</v>
      </c>
      <c r="K12" s="60">
        <f>'Field data and Waste 1'!K12</f>
        <v>2</v>
      </c>
      <c r="L12" s="60">
        <f>'Field data and Waste 1'!L12</f>
        <v>1</v>
      </c>
      <c r="M12" s="60">
        <f>'Field data and Waste 1'!M12</f>
        <v>1</v>
      </c>
      <c r="N12" s="60">
        <f>'Field data and Waste 1'!N12</f>
        <v>2</v>
      </c>
      <c r="O12" s="60">
        <f>'Field data and Waste 1'!O12</f>
        <v>2</v>
      </c>
      <c r="P12" s="60">
        <f>'Field data and Waste 1'!P12</f>
        <v>3</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9" t="s">
        <v>7</v>
      </c>
      <c r="B13" s="129"/>
      <c r="C13" s="60">
        <f>'Field data and Waste 1'!C13</f>
        <v>2</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2</v>
      </c>
      <c r="L13" s="60">
        <f>'Field data and Waste 1'!L13</f>
        <v>3</v>
      </c>
      <c r="M13" s="60">
        <f>'Field data and Waste 1'!M13</f>
        <v>2</v>
      </c>
      <c r="N13" s="60">
        <f>'Field data and Waste 1'!N13</f>
        <v>2</v>
      </c>
      <c r="O13" s="60">
        <f>'Field data and Waste 1'!O13</f>
        <v>2</v>
      </c>
      <c r="P13" s="60">
        <f>'Field data and Waste 1'!P13</f>
        <v>3</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8" t="s">
        <v>8</v>
      </c>
      <c r="B14" s="138"/>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Maize- Silage (30% DM)</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Maize- Silage (30% DM)</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7" t="s">
        <v>9</v>
      </c>
      <c r="B15" s="137"/>
      <c r="C15" s="60">
        <f>'Field data and Waste 1'!C15</f>
        <v>38</v>
      </c>
      <c r="D15" s="60">
        <f>'Field data and Waste 1'!D15</f>
        <v>38</v>
      </c>
      <c r="E15" s="60">
        <f>'Field data and Waste 1'!E15</f>
        <v>38</v>
      </c>
      <c r="F15" s="60">
        <f>'Field data and Waste 1'!F15</f>
        <v>40</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40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9" t="s">
        <v>44</v>
      </c>
      <c r="B16" s="139"/>
      <c r="C16" s="103" t="str">
        <f>'Field data and Waste 1'!C16</f>
        <v>Sandy Loam</v>
      </c>
      <c r="D16" s="103" t="str">
        <f>'Field data and Waste 1'!D16</f>
        <v>Sandy Loam</v>
      </c>
      <c r="E16" s="103" t="str">
        <f>'Field data and Waste 1'!E16</f>
        <v>Sandy Loam</v>
      </c>
      <c r="F16" s="103" t="str">
        <f>'Field data and Waste 1'!F16</f>
        <v>Sandy Loam</v>
      </c>
      <c r="G16" s="103" t="str">
        <f>'Field data and Waste 1'!G16</f>
        <v>Sandy Loam</v>
      </c>
      <c r="H16" s="103" t="str">
        <f>'Field data and Waste 1'!H16</f>
        <v>Sandy Loam</v>
      </c>
      <c r="I16" s="103" t="str">
        <f>'Field data and Waste 1'!I16</f>
        <v>Sandy Loam</v>
      </c>
      <c r="J16" s="103" t="str">
        <f>'Field data and Waste 1'!J16</f>
        <v>Sandy Loam</v>
      </c>
      <c r="K16" s="103" t="str">
        <f>'Field data and Waste 1'!K16</f>
        <v>Sandy Loam</v>
      </c>
      <c r="L16" s="103" t="str">
        <f>'Field data and Waste 1'!L16</f>
        <v>Sandy Loam</v>
      </c>
      <c r="M16" s="103" t="str">
        <f>'Field data and Waste 1'!M16</f>
        <v>Sandy Loam</v>
      </c>
      <c r="N16" s="103" t="str">
        <f>'Field data and Waste 1'!N16</f>
        <v>Sandy Loam</v>
      </c>
      <c r="O16" s="103" t="str">
        <f>'Field data and Waste 1'!O16</f>
        <v>Sandy Loam</v>
      </c>
      <c r="P16" s="103" t="str">
        <f>'Field data and Waste 1'!P16</f>
        <v>Sandy Loam</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5" t="s">
        <v>69</v>
      </c>
      <c r="B17" s="136"/>
      <c r="C17" s="28">
        <f>(VLOOKUP(C$14,$AI2:$AK26,2,FALSE))*C$15</f>
        <v>64.599999999999994</v>
      </c>
      <c r="D17" s="28">
        <f t="shared" ref="D17:V17" si="0">(VLOOKUP(D$14,$AI2:$AK26,2,FALSE))*D$15</f>
        <v>64.599999999999994</v>
      </c>
      <c r="E17" s="28">
        <f t="shared" si="0"/>
        <v>64.599999999999994</v>
      </c>
      <c r="F17" s="28">
        <f t="shared" si="0"/>
        <v>56</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56</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3" t="s">
        <v>23</v>
      </c>
      <c r="B18" s="134"/>
      <c r="C18" s="16">
        <f>$D31</f>
        <v>64.14800000000001</v>
      </c>
      <c r="D18" s="16">
        <f>$D32</f>
        <v>64.14800000000001</v>
      </c>
      <c r="E18" s="16">
        <f>$D33</f>
        <v>64.14800000000001</v>
      </c>
      <c r="F18" s="16">
        <f>$D34</f>
        <v>64.14800000000001</v>
      </c>
      <c r="G18" s="16">
        <f>$D35</f>
        <v>64.14800000000001</v>
      </c>
      <c r="H18" s="16">
        <f>$D36</f>
        <v>64.14800000000001</v>
      </c>
      <c r="I18" s="16">
        <f>$D37</f>
        <v>64.14800000000001</v>
      </c>
      <c r="J18" s="16">
        <f>$D38</f>
        <v>64.14800000000001</v>
      </c>
      <c r="K18" s="16">
        <f>$D39</f>
        <v>64.14800000000001</v>
      </c>
      <c r="L18" s="16">
        <f>$D40</f>
        <v>64.14800000000001</v>
      </c>
      <c r="M18" s="16">
        <f>$D41</f>
        <v>64.14800000000001</v>
      </c>
      <c r="N18" s="16">
        <f>$D42</f>
        <v>64.14800000000001</v>
      </c>
      <c r="O18" s="16">
        <f>$D43</f>
        <v>64.14800000000001</v>
      </c>
      <c r="P18" s="16">
        <f>$D44</f>
        <v>64.14800000000001</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3" t="s">
        <v>90</v>
      </c>
      <c r="B19" s="134"/>
      <c r="C19" s="16">
        <f>C18-C17</f>
        <v>-0.45199999999998397</v>
      </c>
      <c r="D19" s="16">
        <f t="shared" ref="D19:V19" si="1">D18-D17</f>
        <v>-0.45199999999998397</v>
      </c>
      <c r="E19" s="16">
        <f t="shared" si="1"/>
        <v>-0.45199999999998397</v>
      </c>
      <c r="F19" s="16">
        <f t="shared" si="1"/>
        <v>8.1480000000000103</v>
      </c>
      <c r="G19" s="16">
        <f t="shared" si="1"/>
        <v>-0.45199999999998397</v>
      </c>
      <c r="H19" s="16">
        <f t="shared" si="1"/>
        <v>-0.45199999999998397</v>
      </c>
      <c r="I19" s="16">
        <f t="shared" si="1"/>
        <v>-0.45199999999998397</v>
      </c>
      <c r="J19" s="16">
        <f t="shared" si="1"/>
        <v>-0.45199999999998397</v>
      </c>
      <c r="K19" s="16">
        <f t="shared" si="1"/>
        <v>-0.45199999999998397</v>
      </c>
      <c r="L19" s="16">
        <f t="shared" si="1"/>
        <v>-0.45199999999998397</v>
      </c>
      <c r="M19" s="16">
        <f t="shared" si="1"/>
        <v>-0.45199999999998397</v>
      </c>
      <c r="N19" s="16">
        <f t="shared" si="1"/>
        <v>-0.45199999999998397</v>
      </c>
      <c r="O19" s="16">
        <f t="shared" si="1"/>
        <v>-0.45199999999998397</v>
      </c>
      <c r="P19" s="16">
        <f t="shared" si="1"/>
        <v>8.1480000000000103</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1" t="s">
        <v>91</v>
      </c>
      <c r="B20" s="132"/>
      <c r="C20" s="26" t="str">
        <f>IF($B31="","",IF(C$19&gt;=0,"INCREASE","DECREASE"))</f>
        <v>DECREASE</v>
      </c>
      <c r="D20" s="26" t="str">
        <f>IF($B32="","",IF(D$19&gt;=0,"INCREASE","DECREASE"))</f>
        <v>DECREASE</v>
      </c>
      <c r="E20" s="26" t="str">
        <f>IF($B33="","",IF(E$19&gt;=0,"INCREASE","DECREASE"))</f>
        <v>DECREASE</v>
      </c>
      <c r="F20" s="26" t="str">
        <f>IF($B34="","",IF(F$19&gt;=0,"INCREASE","DECREASE"))</f>
        <v>INCREASE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INCREASE</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5" t="s">
        <v>88</v>
      </c>
      <c r="B21" s="136"/>
      <c r="C21" s="28">
        <f>(VLOOKUP(C$14,$AI2:$AK26,3,FALSE))*C$15</f>
        <v>228</v>
      </c>
      <c r="D21" s="28">
        <f t="shared" ref="D21:V21" si="2">(VLOOKUP(D$14,$AI2:$AK26,3,FALSE))*D$15</f>
        <v>228</v>
      </c>
      <c r="E21" s="28">
        <f t="shared" si="2"/>
        <v>228</v>
      </c>
      <c r="F21" s="28">
        <f t="shared" si="2"/>
        <v>176</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176</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3" t="s">
        <v>89</v>
      </c>
      <c r="B22" s="134"/>
      <c r="C22" s="16">
        <f>$E31</f>
        <v>67.962000000000018</v>
      </c>
      <c r="D22" s="16">
        <f>$E32</f>
        <v>67.962000000000018</v>
      </c>
      <c r="E22" s="16">
        <f>$E33</f>
        <v>67.962000000000018</v>
      </c>
      <c r="F22" s="16">
        <f>$E34</f>
        <v>67.962000000000018</v>
      </c>
      <c r="G22" s="16">
        <f>$E35</f>
        <v>67.962000000000018</v>
      </c>
      <c r="H22" s="16">
        <f>$E36</f>
        <v>67.962000000000018</v>
      </c>
      <c r="I22" s="16">
        <f>$E37</f>
        <v>67.962000000000018</v>
      </c>
      <c r="J22" s="16">
        <f>$E38</f>
        <v>67.962000000000018</v>
      </c>
      <c r="K22" s="16">
        <f>$E39</f>
        <v>67.962000000000018</v>
      </c>
      <c r="L22" s="16">
        <f>$E40</f>
        <v>67.962000000000018</v>
      </c>
      <c r="M22" s="16">
        <f>$E41</f>
        <v>67.962000000000018</v>
      </c>
      <c r="N22" s="16">
        <f>$E42</f>
        <v>67.962000000000018</v>
      </c>
      <c r="O22" s="16">
        <f>$E43</f>
        <v>67.962000000000018</v>
      </c>
      <c r="P22" s="16">
        <f>$E44</f>
        <v>67.962000000000018</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3" t="s">
        <v>92</v>
      </c>
      <c r="B23" s="134"/>
      <c r="C23" s="16">
        <f>C22-C21</f>
        <v>-160.03799999999998</v>
      </c>
      <c r="D23" s="16">
        <f t="shared" ref="D23:V23" si="3">D22-D21</f>
        <v>-160.03799999999998</v>
      </c>
      <c r="E23" s="16">
        <f t="shared" si="3"/>
        <v>-160.03799999999998</v>
      </c>
      <c r="F23" s="16">
        <f t="shared" si="3"/>
        <v>-108.03799999999998</v>
      </c>
      <c r="G23" s="16">
        <f t="shared" si="3"/>
        <v>-160.03799999999998</v>
      </c>
      <c r="H23" s="16">
        <f t="shared" si="3"/>
        <v>-160.03799999999998</v>
      </c>
      <c r="I23" s="16">
        <f t="shared" si="3"/>
        <v>-160.03799999999998</v>
      </c>
      <c r="J23" s="16">
        <f t="shared" si="3"/>
        <v>-160.03799999999998</v>
      </c>
      <c r="K23" s="16">
        <f t="shared" si="3"/>
        <v>-160.03799999999998</v>
      </c>
      <c r="L23" s="16">
        <f t="shared" si="3"/>
        <v>-160.03799999999998</v>
      </c>
      <c r="M23" s="16">
        <f t="shared" si="3"/>
        <v>-160.03799999999998</v>
      </c>
      <c r="N23" s="16">
        <f t="shared" si="3"/>
        <v>-160.03799999999998</v>
      </c>
      <c r="O23" s="16">
        <f t="shared" si="3"/>
        <v>-160.03799999999998</v>
      </c>
      <c r="P23" s="16">
        <f t="shared" si="3"/>
        <v>-108.03799999999998</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1" t="s">
        <v>93</v>
      </c>
      <c r="B24" s="132"/>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35">
      <c r="A28" s="108"/>
      <c r="B28" s="24">
        <v>0.67</v>
      </c>
      <c r="C28" s="15">
        <v>0.04</v>
      </c>
      <c r="D28" s="15">
        <v>140</v>
      </c>
      <c r="E28" s="15">
        <v>282</v>
      </c>
      <c r="F28" s="15">
        <v>34.4</v>
      </c>
      <c r="G28" s="15">
        <v>1.63</v>
      </c>
      <c r="H28" s="15">
        <v>0.5</v>
      </c>
      <c r="I28" s="15">
        <v>0.5</v>
      </c>
      <c r="J28" s="15">
        <v>0.01</v>
      </c>
      <c r="K28" s="23">
        <v>0.05</v>
      </c>
      <c r="L28" s="15">
        <v>0.2</v>
      </c>
      <c r="M28" s="15">
        <v>0.2</v>
      </c>
      <c r="N28" s="15"/>
      <c r="O28" s="15"/>
      <c r="P28" s="15">
        <v>888</v>
      </c>
      <c r="Q28" s="15">
        <v>44.5</v>
      </c>
      <c r="R28" s="15"/>
      <c r="S28" s="15"/>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200</v>
      </c>
      <c r="C31" s="77">
        <f>IF(C$27="%w/w SAR",((C$28*10)*$B31),IF(C$27="%w/w DM",(((C$28*10)*($B$28/100))*$B31),IF(C$27="kg/t SAR",(C$28*$B31),IF(C$27="kg/t DM",((C$28*($B$28/100))*$B31),IF(C$27="mg/kg SAR",((C$28*0.001)*$B31),IF(C$27="mg/kg DM",(((C$28*0.001)*($B$28/100))*$B31),0))))))</f>
        <v>80</v>
      </c>
      <c r="D31" s="77">
        <f>(IF(D$27="%w/w SAR",((D$28*10)*$B31),IF(D$27="%w/w DM",(((D$28*10)*($B$28/100))*$B31),IF(D$27="kg/t SAR",(D$28*$B31),IF(D$27="kg/t DM",((D$28*($B$28/100))*$B31),IF(D$27="mg/kg SAR",((D$28*0.001)*$B31),IF(D$27="mg/kg DM",(((D$28*0.001)*($B$28/100))*$B31),"0")))))))*2.291</f>
        <v>64.14800000000001</v>
      </c>
      <c r="E31" s="77">
        <f>(IF(E$27="%w/w SAR",((E$28*10)*$B31),IF(E$27="%w/w DM",(((E$28*10)*($B$28/100))*$B31),IF(E$27="kg/t SAR",(E$28*$B31),IF(E$27="kg/t DM",((E$28*($B$28/100))*$B31),IF(E$27="mg/kg SAR",((E$28*0.001)*$B31),IF(E$27="mg/kg DM",(((E$28*0.001)*($B$28/100))*$B31),"0")))))))*1.205</f>
        <v>67.962000000000018</v>
      </c>
      <c r="F31" s="77">
        <f>(IF(F$27="%w/w SAR",((F$28*10)*$B31),IF(F$27="%w/w DM",(((F$28*10)*($B$28/100))*$B31),IF(F$27="kg/t SAR",(F$28*$B31),IF(F$27="kg/t DM",((F$28*($B$28/100))*$B31),IF(F$27="mg/kg SAR",((F$28*0.001)*$B31),IF(F$27="mg/kg DM",(((F$28*0.001)*($B$28/100))*$B31),"0")))))))*1.658</f>
        <v>11.407039999999999</v>
      </c>
      <c r="G31" s="77">
        <f t="shared" ref="G31:P46" si="5">IF(G$27="%w/w SAR",((G$28*10)*$B31),IF(G$27="%w/w DM",(((G$28*10)*($B$28/100))*$B31),IF(G$27="kg/t SAR",(G$28*$B31),IF(G$27="kg/t DM",((G$28*($B$28/100))*$B31),IF(G$27="mg/kg SAR",((G$28*0.001)*$B31),IF(G$27="mg/kg DM",(((G$28*0.001)*($B$28/100))*$B31),0))))))</f>
        <v>0.32600000000000001</v>
      </c>
      <c r="H31" s="77">
        <f t="shared" si="5"/>
        <v>0.1</v>
      </c>
      <c r="I31" s="77">
        <f t="shared" si="5"/>
        <v>0.1</v>
      </c>
      <c r="J31" s="77">
        <f t="shared" si="5"/>
        <v>2E-3</v>
      </c>
      <c r="K31" s="77">
        <f t="shared" si="5"/>
        <v>0.01</v>
      </c>
      <c r="L31" s="77">
        <f t="shared" si="5"/>
        <v>0.04</v>
      </c>
      <c r="M31" s="77">
        <f t="shared" si="5"/>
        <v>0.04</v>
      </c>
      <c r="N31" s="77">
        <f t="shared" si="5"/>
        <v>0</v>
      </c>
      <c r="O31" s="77">
        <f t="shared" si="5"/>
        <v>0</v>
      </c>
      <c r="P31" s="77">
        <f t="shared" si="5"/>
        <v>177.6</v>
      </c>
      <c r="Q31" s="77">
        <f>(IF(Q$27="%w/w SAR",((Q$28*10)*$B31),IF(Q$27="%w/w DM",(((Q$28*10)*($B$28/100))*$B31),IF(Q$27="kg/t SAR",(Q$28*$B31),IF(Q$27="kg/t DM",((Q$28*($B$28/100))*$B31),IF(Q$27="mg/kg SAR",((Q$28*0.001)*$B31),IF(Q$27="mg/kg DM",(((Q$28*0.001)*($B$28/100))*$B31),0)))))))*2.5</f>
        <v>22.25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200</v>
      </c>
      <c r="C32" s="77">
        <f t="shared" ref="C32:C50" si="6">IF(C$27="%w/w SAR",((C$28*10)*$B32),IF(C$27="%w/w DM",(((C$28*10)*($B$28/100))*$B32),IF(C$27="kg/t SAR",(C$28*$B32),IF(C$27="kg/t DM",((C$28*($B$28/100))*$B32),IF(C$27="mg/kg SAR",((C$28*0.001)*$B32),IF(C$27="mg/kg DM",(((C$28*0.001)*($B$28/100))*$B32),0))))))</f>
        <v>80</v>
      </c>
      <c r="D32" s="77">
        <f t="shared" ref="D32:D50" si="7">(IF(D$27="%w/w SAR",((D$28*10)*$B32),IF(D$27="%w/w DM",(((D$28*10)*($B$28/100))*$B32),IF(D$27="kg/t SAR",(D$28*$B32),IF(D$27="kg/t DM",((D$28*($B$28/100))*$B32),IF(D$27="mg/kg SAR",((D$28*0.001)*$B32),IF(D$27="mg/kg DM",(((D$28*0.001)*($B$28/100))*$B32),"0")))))))*2.291</f>
        <v>64.14800000000001</v>
      </c>
      <c r="E32" s="77">
        <f t="shared" ref="E32:E50" si="8">(IF(E$27="%w/w SAR",((E$28*10)*$B32),IF(E$27="%w/w DM",(((E$28*10)*($B$28/100))*$B32),IF(E$27="kg/t SAR",(E$28*$B32),IF(E$27="kg/t DM",((E$28*($B$28/100))*$B32),IF(E$27="mg/kg SAR",((E$28*0.001)*$B32),IF(E$27="mg/kg DM",(((E$28*0.001)*($B$28/100))*$B32),"0")))))))*1.205</f>
        <v>67.962000000000018</v>
      </c>
      <c r="F32" s="77">
        <f t="shared" ref="F32:F50" si="9">(IF(F$27="%w/w SAR",((F$28*10)*$B32),IF(F$27="%w/w DM",(((F$28*10)*($B$28/100))*$B32),IF(F$27="kg/t SAR",(F$28*$B32),IF(F$27="kg/t DM",((F$28*($B$28/100))*$B32),IF(F$27="mg/kg SAR",((F$28*0.001)*$B32),IF(F$27="mg/kg DM",(((F$28*0.001)*($B$28/100))*$B32),"0")))))))*1.658</f>
        <v>11.407039999999999</v>
      </c>
      <c r="G32" s="77">
        <f t="shared" si="5"/>
        <v>0.32600000000000001</v>
      </c>
      <c r="H32" s="77">
        <f t="shared" si="5"/>
        <v>0.1</v>
      </c>
      <c r="I32" s="77">
        <f t="shared" si="5"/>
        <v>0.1</v>
      </c>
      <c r="J32" s="77">
        <f t="shared" si="5"/>
        <v>2E-3</v>
      </c>
      <c r="K32" s="77">
        <f t="shared" si="5"/>
        <v>0.01</v>
      </c>
      <c r="L32" s="77">
        <f t="shared" si="5"/>
        <v>0.04</v>
      </c>
      <c r="M32" s="77">
        <f t="shared" si="5"/>
        <v>0.04</v>
      </c>
      <c r="N32" s="77">
        <f t="shared" si="5"/>
        <v>0</v>
      </c>
      <c r="O32" s="77">
        <f t="shared" si="5"/>
        <v>0</v>
      </c>
      <c r="P32" s="77">
        <f t="shared" si="5"/>
        <v>177.6</v>
      </c>
      <c r="Q32" s="77">
        <f t="shared" ref="Q32:Q50" si="10">(IF(Q$27="%w/w SAR",((Q$28*10)*$B32),IF(Q$27="%w/w DM",(((Q$28*10)*($B$28/100))*$B32),IF(Q$27="kg/t SAR",(Q$28*$B32),IF(Q$27="kg/t DM",((Q$28*($B$28/100))*$B32),IF(Q$27="mg/kg SAR",((Q$28*0.001)*$B32),IF(Q$27="mg/kg DM",(((Q$28*0.001)*($B$28/100))*$B32),0)))))))*2.5</f>
        <v>22.25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200</v>
      </c>
      <c r="C33" s="77">
        <f t="shared" si="6"/>
        <v>80</v>
      </c>
      <c r="D33" s="77">
        <f t="shared" si="7"/>
        <v>64.14800000000001</v>
      </c>
      <c r="E33" s="77">
        <f t="shared" si="8"/>
        <v>67.962000000000018</v>
      </c>
      <c r="F33" s="77">
        <f t="shared" si="9"/>
        <v>11.407039999999999</v>
      </c>
      <c r="G33" s="77">
        <f t="shared" si="5"/>
        <v>0.32600000000000001</v>
      </c>
      <c r="H33" s="77">
        <f t="shared" si="5"/>
        <v>0.1</v>
      </c>
      <c r="I33" s="77">
        <f t="shared" si="5"/>
        <v>0.1</v>
      </c>
      <c r="J33" s="77">
        <f t="shared" si="5"/>
        <v>2E-3</v>
      </c>
      <c r="K33" s="77">
        <f t="shared" si="5"/>
        <v>0.01</v>
      </c>
      <c r="L33" s="77">
        <f t="shared" si="5"/>
        <v>0.04</v>
      </c>
      <c r="M33" s="77">
        <f t="shared" si="5"/>
        <v>0.04</v>
      </c>
      <c r="N33" s="77">
        <f t="shared" si="5"/>
        <v>0</v>
      </c>
      <c r="O33" s="77">
        <f t="shared" si="5"/>
        <v>0</v>
      </c>
      <c r="P33" s="77">
        <f t="shared" si="5"/>
        <v>177.6</v>
      </c>
      <c r="Q33" s="77">
        <f t="shared" si="10"/>
        <v>22.25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200</v>
      </c>
      <c r="C34" s="77">
        <f t="shared" si="6"/>
        <v>80</v>
      </c>
      <c r="D34" s="77">
        <f t="shared" si="7"/>
        <v>64.14800000000001</v>
      </c>
      <c r="E34" s="77">
        <f t="shared" si="8"/>
        <v>67.962000000000018</v>
      </c>
      <c r="F34" s="77">
        <f t="shared" si="9"/>
        <v>11.407039999999999</v>
      </c>
      <c r="G34" s="77">
        <f t="shared" si="5"/>
        <v>0.32600000000000001</v>
      </c>
      <c r="H34" s="77">
        <f t="shared" si="5"/>
        <v>0.1</v>
      </c>
      <c r="I34" s="77">
        <f t="shared" si="5"/>
        <v>0.1</v>
      </c>
      <c r="J34" s="77">
        <f t="shared" si="5"/>
        <v>2E-3</v>
      </c>
      <c r="K34" s="77">
        <f t="shared" si="5"/>
        <v>0.01</v>
      </c>
      <c r="L34" s="77">
        <f t="shared" si="5"/>
        <v>0.04</v>
      </c>
      <c r="M34" s="77">
        <f t="shared" si="5"/>
        <v>0.04</v>
      </c>
      <c r="N34" s="77">
        <f t="shared" si="5"/>
        <v>0</v>
      </c>
      <c r="O34" s="77">
        <f t="shared" si="5"/>
        <v>0</v>
      </c>
      <c r="P34" s="77">
        <f t="shared" si="5"/>
        <v>177.6</v>
      </c>
      <c r="Q34" s="77">
        <f t="shared" si="10"/>
        <v>22.25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200</v>
      </c>
      <c r="C35" s="77">
        <f t="shared" si="6"/>
        <v>80</v>
      </c>
      <c r="D35" s="77">
        <f t="shared" si="7"/>
        <v>64.14800000000001</v>
      </c>
      <c r="E35" s="77">
        <f t="shared" si="8"/>
        <v>67.962000000000018</v>
      </c>
      <c r="F35" s="77">
        <f t="shared" si="9"/>
        <v>11.407039999999999</v>
      </c>
      <c r="G35" s="77">
        <f t="shared" si="5"/>
        <v>0.32600000000000001</v>
      </c>
      <c r="H35" s="77">
        <f t="shared" si="5"/>
        <v>0.1</v>
      </c>
      <c r="I35" s="77">
        <f t="shared" si="5"/>
        <v>0.1</v>
      </c>
      <c r="J35" s="77">
        <f t="shared" si="5"/>
        <v>2E-3</v>
      </c>
      <c r="K35" s="77">
        <f t="shared" si="5"/>
        <v>0.01</v>
      </c>
      <c r="L35" s="77">
        <f t="shared" si="5"/>
        <v>0.04</v>
      </c>
      <c r="M35" s="77">
        <f t="shared" si="5"/>
        <v>0.04</v>
      </c>
      <c r="N35" s="77">
        <f t="shared" si="5"/>
        <v>0</v>
      </c>
      <c r="O35" s="77">
        <f t="shared" si="5"/>
        <v>0</v>
      </c>
      <c r="P35" s="77">
        <f t="shared" si="5"/>
        <v>177.6</v>
      </c>
      <c r="Q35" s="77">
        <f t="shared" si="10"/>
        <v>22.25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200</v>
      </c>
      <c r="C36" s="77">
        <f t="shared" si="6"/>
        <v>80</v>
      </c>
      <c r="D36" s="77">
        <f t="shared" si="7"/>
        <v>64.14800000000001</v>
      </c>
      <c r="E36" s="77">
        <f t="shared" si="8"/>
        <v>67.962000000000018</v>
      </c>
      <c r="F36" s="77">
        <f t="shared" si="9"/>
        <v>11.407039999999999</v>
      </c>
      <c r="G36" s="77">
        <f t="shared" si="5"/>
        <v>0.32600000000000001</v>
      </c>
      <c r="H36" s="77">
        <f t="shared" si="5"/>
        <v>0.1</v>
      </c>
      <c r="I36" s="77">
        <f t="shared" si="5"/>
        <v>0.1</v>
      </c>
      <c r="J36" s="77">
        <f t="shared" si="5"/>
        <v>2E-3</v>
      </c>
      <c r="K36" s="77">
        <f t="shared" si="5"/>
        <v>0.01</v>
      </c>
      <c r="L36" s="77">
        <f t="shared" si="5"/>
        <v>0.04</v>
      </c>
      <c r="M36" s="77">
        <f t="shared" si="5"/>
        <v>0.04</v>
      </c>
      <c r="N36" s="77">
        <f t="shared" si="5"/>
        <v>0</v>
      </c>
      <c r="O36" s="77">
        <f t="shared" si="5"/>
        <v>0</v>
      </c>
      <c r="P36" s="77">
        <f t="shared" si="5"/>
        <v>177.6</v>
      </c>
      <c r="Q36" s="77">
        <f t="shared" si="10"/>
        <v>22.25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8</v>
      </c>
      <c r="B37" s="15">
        <v>200</v>
      </c>
      <c r="C37" s="77">
        <f t="shared" si="6"/>
        <v>80</v>
      </c>
      <c r="D37" s="77">
        <f t="shared" si="7"/>
        <v>64.14800000000001</v>
      </c>
      <c r="E37" s="77">
        <f t="shared" si="8"/>
        <v>67.962000000000018</v>
      </c>
      <c r="F37" s="77">
        <f t="shared" si="9"/>
        <v>11.407039999999999</v>
      </c>
      <c r="G37" s="77">
        <f t="shared" si="5"/>
        <v>0.32600000000000001</v>
      </c>
      <c r="H37" s="77">
        <f t="shared" si="5"/>
        <v>0.1</v>
      </c>
      <c r="I37" s="77">
        <f t="shared" si="5"/>
        <v>0.1</v>
      </c>
      <c r="J37" s="77">
        <f t="shared" si="5"/>
        <v>2E-3</v>
      </c>
      <c r="K37" s="77">
        <f t="shared" si="5"/>
        <v>0.01</v>
      </c>
      <c r="L37" s="77">
        <f t="shared" si="5"/>
        <v>0.04</v>
      </c>
      <c r="M37" s="77">
        <f t="shared" si="5"/>
        <v>0.04</v>
      </c>
      <c r="N37" s="77">
        <f t="shared" si="5"/>
        <v>0</v>
      </c>
      <c r="O37" s="77">
        <f t="shared" si="5"/>
        <v>0</v>
      </c>
      <c r="P37" s="77">
        <f t="shared" si="5"/>
        <v>177.6</v>
      </c>
      <c r="Q37" s="77">
        <f t="shared" si="10"/>
        <v>22.25</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7</v>
      </c>
      <c r="B38" s="15">
        <v>200</v>
      </c>
      <c r="C38" s="77">
        <f t="shared" si="6"/>
        <v>80</v>
      </c>
      <c r="D38" s="77">
        <f t="shared" si="7"/>
        <v>64.14800000000001</v>
      </c>
      <c r="E38" s="77">
        <f t="shared" si="8"/>
        <v>67.962000000000018</v>
      </c>
      <c r="F38" s="77">
        <f t="shared" si="9"/>
        <v>11.407039999999999</v>
      </c>
      <c r="G38" s="77">
        <f t="shared" si="5"/>
        <v>0.32600000000000001</v>
      </c>
      <c r="H38" s="77">
        <f t="shared" si="5"/>
        <v>0.1</v>
      </c>
      <c r="I38" s="77">
        <f t="shared" si="5"/>
        <v>0.1</v>
      </c>
      <c r="J38" s="77">
        <f t="shared" si="5"/>
        <v>2E-3</v>
      </c>
      <c r="K38" s="77">
        <f t="shared" si="5"/>
        <v>0.01</v>
      </c>
      <c r="L38" s="77">
        <f t="shared" si="5"/>
        <v>0.04</v>
      </c>
      <c r="M38" s="77">
        <f t="shared" si="5"/>
        <v>0.04</v>
      </c>
      <c r="N38" s="77">
        <f t="shared" si="5"/>
        <v>0</v>
      </c>
      <c r="O38" s="77">
        <f t="shared" si="5"/>
        <v>0</v>
      </c>
      <c r="P38" s="77">
        <f t="shared" si="5"/>
        <v>177.6</v>
      </c>
      <c r="Q38" s="77">
        <f t="shared" si="10"/>
        <v>22.25</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v>200</v>
      </c>
      <c r="C39" s="77">
        <f t="shared" si="6"/>
        <v>80</v>
      </c>
      <c r="D39" s="77">
        <f t="shared" si="7"/>
        <v>64.14800000000001</v>
      </c>
      <c r="E39" s="77">
        <f t="shared" si="8"/>
        <v>67.962000000000018</v>
      </c>
      <c r="F39" s="77">
        <f t="shared" si="9"/>
        <v>11.407039999999999</v>
      </c>
      <c r="G39" s="77">
        <f t="shared" si="5"/>
        <v>0.32600000000000001</v>
      </c>
      <c r="H39" s="77">
        <f t="shared" si="5"/>
        <v>0.1</v>
      </c>
      <c r="I39" s="77">
        <f t="shared" si="5"/>
        <v>0.1</v>
      </c>
      <c r="J39" s="77">
        <f t="shared" si="5"/>
        <v>2E-3</v>
      </c>
      <c r="K39" s="77">
        <f t="shared" si="5"/>
        <v>0.01</v>
      </c>
      <c r="L39" s="77">
        <f t="shared" si="5"/>
        <v>0.04</v>
      </c>
      <c r="M39" s="77">
        <f t="shared" si="5"/>
        <v>0.04</v>
      </c>
      <c r="N39" s="77">
        <f t="shared" si="5"/>
        <v>0</v>
      </c>
      <c r="O39" s="77">
        <f t="shared" si="5"/>
        <v>0</v>
      </c>
      <c r="P39" s="77">
        <f t="shared" si="5"/>
        <v>177.6</v>
      </c>
      <c r="Q39" s="77">
        <f t="shared" si="10"/>
        <v>22.25</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v>200</v>
      </c>
      <c r="C40" s="77">
        <f t="shared" si="6"/>
        <v>80</v>
      </c>
      <c r="D40" s="77">
        <f t="shared" si="7"/>
        <v>64.14800000000001</v>
      </c>
      <c r="E40" s="77">
        <f t="shared" si="8"/>
        <v>67.962000000000018</v>
      </c>
      <c r="F40" s="77">
        <f t="shared" si="9"/>
        <v>11.407039999999999</v>
      </c>
      <c r="G40" s="77">
        <f t="shared" si="5"/>
        <v>0.32600000000000001</v>
      </c>
      <c r="H40" s="77">
        <f t="shared" si="5"/>
        <v>0.1</v>
      </c>
      <c r="I40" s="77">
        <f t="shared" si="5"/>
        <v>0.1</v>
      </c>
      <c r="J40" s="77">
        <f t="shared" si="5"/>
        <v>2E-3</v>
      </c>
      <c r="K40" s="77">
        <f t="shared" si="5"/>
        <v>0.01</v>
      </c>
      <c r="L40" s="77">
        <f t="shared" si="5"/>
        <v>0.04</v>
      </c>
      <c r="M40" s="77">
        <f t="shared" si="5"/>
        <v>0.04</v>
      </c>
      <c r="N40" s="77">
        <f t="shared" si="5"/>
        <v>0</v>
      </c>
      <c r="O40" s="77">
        <f t="shared" si="5"/>
        <v>0</v>
      </c>
      <c r="P40" s="77">
        <f t="shared" si="5"/>
        <v>177.6</v>
      </c>
      <c r="Q40" s="77">
        <f t="shared" si="10"/>
        <v>22.25</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11</v>
      </c>
      <c r="B41" s="15">
        <v>200</v>
      </c>
      <c r="C41" s="77">
        <f t="shared" si="6"/>
        <v>80</v>
      </c>
      <c r="D41" s="77">
        <f t="shared" si="7"/>
        <v>64.14800000000001</v>
      </c>
      <c r="E41" s="77">
        <f t="shared" si="8"/>
        <v>67.962000000000018</v>
      </c>
      <c r="F41" s="77">
        <f t="shared" si="9"/>
        <v>11.407039999999999</v>
      </c>
      <c r="G41" s="77">
        <f t="shared" si="5"/>
        <v>0.32600000000000001</v>
      </c>
      <c r="H41" s="77">
        <f t="shared" si="5"/>
        <v>0.1</v>
      </c>
      <c r="I41" s="77">
        <f t="shared" si="5"/>
        <v>0.1</v>
      </c>
      <c r="J41" s="77">
        <f t="shared" si="5"/>
        <v>2E-3</v>
      </c>
      <c r="K41" s="77">
        <f t="shared" si="5"/>
        <v>0.01</v>
      </c>
      <c r="L41" s="77">
        <f t="shared" si="5"/>
        <v>0.04</v>
      </c>
      <c r="M41" s="77">
        <f t="shared" si="5"/>
        <v>0.04</v>
      </c>
      <c r="N41" s="77">
        <f t="shared" si="5"/>
        <v>0</v>
      </c>
      <c r="O41" s="77">
        <f t="shared" si="5"/>
        <v>0</v>
      </c>
      <c r="P41" s="77">
        <f t="shared" si="5"/>
        <v>177.6</v>
      </c>
      <c r="Q41" s="77">
        <f t="shared" si="10"/>
        <v>22.25</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12</v>
      </c>
      <c r="B42" s="15">
        <v>200</v>
      </c>
      <c r="C42" s="77">
        <f t="shared" si="6"/>
        <v>80</v>
      </c>
      <c r="D42" s="77">
        <f t="shared" si="7"/>
        <v>64.14800000000001</v>
      </c>
      <c r="E42" s="77">
        <f t="shared" si="8"/>
        <v>67.962000000000018</v>
      </c>
      <c r="F42" s="77">
        <f t="shared" si="9"/>
        <v>11.407039999999999</v>
      </c>
      <c r="G42" s="77">
        <f t="shared" si="5"/>
        <v>0.32600000000000001</v>
      </c>
      <c r="H42" s="77">
        <f t="shared" si="5"/>
        <v>0.1</v>
      </c>
      <c r="I42" s="77">
        <f t="shared" si="5"/>
        <v>0.1</v>
      </c>
      <c r="J42" s="77">
        <f t="shared" si="5"/>
        <v>2E-3</v>
      </c>
      <c r="K42" s="77">
        <f t="shared" si="5"/>
        <v>0.01</v>
      </c>
      <c r="L42" s="77">
        <f t="shared" si="5"/>
        <v>0.04</v>
      </c>
      <c r="M42" s="77">
        <f t="shared" si="5"/>
        <v>0.04</v>
      </c>
      <c r="N42" s="77">
        <f t="shared" si="5"/>
        <v>0</v>
      </c>
      <c r="O42" s="77">
        <f t="shared" si="5"/>
        <v>0</v>
      </c>
      <c r="P42" s="77">
        <f t="shared" si="5"/>
        <v>177.6</v>
      </c>
      <c r="Q42" s="77">
        <f t="shared" si="10"/>
        <v>22.25</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13</v>
      </c>
      <c r="B43" s="15">
        <v>200</v>
      </c>
      <c r="C43" s="77">
        <f t="shared" si="6"/>
        <v>80</v>
      </c>
      <c r="D43" s="77">
        <f t="shared" si="7"/>
        <v>64.14800000000001</v>
      </c>
      <c r="E43" s="77">
        <f t="shared" si="8"/>
        <v>67.962000000000018</v>
      </c>
      <c r="F43" s="77">
        <f t="shared" si="9"/>
        <v>11.407039999999999</v>
      </c>
      <c r="G43" s="77">
        <f t="shared" si="5"/>
        <v>0.32600000000000001</v>
      </c>
      <c r="H43" s="77">
        <f t="shared" si="5"/>
        <v>0.1</v>
      </c>
      <c r="I43" s="77">
        <f t="shared" si="5"/>
        <v>0.1</v>
      </c>
      <c r="J43" s="77">
        <f t="shared" si="5"/>
        <v>2E-3</v>
      </c>
      <c r="K43" s="77">
        <f t="shared" si="5"/>
        <v>0.01</v>
      </c>
      <c r="L43" s="77">
        <f t="shared" si="5"/>
        <v>0.04</v>
      </c>
      <c r="M43" s="77">
        <f t="shared" si="5"/>
        <v>0.04</v>
      </c>
      <c r="N43" s="77">
        <f t="shared" si="5"/>
        <v>0</v>
      </c>
      <c r="O43" s="77">
        <f t="shared" si="5"/>
        <v>0</v>
      </c>
      <c r="P43" s="77">
        <f t="shared" si="5"/>
        <v>177.6</v>
      </c>
      <c r="Q43" s="77">
        <f t="shared" si="10"/>
        <v>22.25</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t="str">
        <f>P8</f>
        <v>7a</v>
      </c>
      <c r="B44" s="15">
        <v>200</v>
      </c>
      <c r="C44" s="77">
        <f t="shared" si="6"/>
        <v>80</v>
      </c>
      <c r="D44" s="77">
        <f t="shared" si="7"/>
        <v>64.14800000000001</v>
      </c>
      <c r="E44" s="77">
        <f t="shared" si="8"/>
        <v>67.962000000000018</v>
      </c>
      <c r="F44" s="77">
        <f t="shared" si="9"/>
        <v>11.407039999999999</v>
      </c>
      <c r="G44" s="77">
        <f t="shared" si="5"/>
        <v>0.32600000000000001</v>
      </c>
      <c r="H44" s="77">
        <f t="shared" si="5"/>
        <v>0.1</v>
      </c>
      <c r="I44" s="77">
        <f t="shared" si="5"/>
        <v>0.1</v>
      </c>
      <c r="J44" s="77">
        <f t="shared" si="5"/>
        <v>2E-3</v>
      </c>
      <c r="K44" s="77">
        <f t="shared" si="5"/>
        <v>0.01</v>
      </c>
      <c r="L44" s="77">
        <f t="shared" si="5"/>
        <v>0.04</v>
      </c>
      <c r="M44" s="77">
        <f t="shared" si="5"/>
        <v>0.04</v>
      </c>
      <c r="N44" s="77">
        <f t="shared" si="5"/>
        <v>0</v>
      </c>
      <c r="O44" s="77">
        <f t="shared" si="5"/>
        <v>0</v>
      </c>
      <c r="P44" s="77">
        <f t="shared" si="5"/>
        <v>177.6</v>
      </c>
      <c r="Q44" s="77">
        <f t="shared" si="10"/>
        <v>22.25</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8</v>
      </c>
      <c r="I57" s="8">
        <f t="shared" si="13"/>
        <v>7</v>
      </c>
      <c r="J57" s="8">
        <f t="shared" si="13"/>
        <v>9</v>
      </c>
      <c r="K57" s="8">
        <f t="shared" si="13"/>
        <v>10</v>
      </c>
      <c r="L57" s="8">
        <f t="shared" si="13"/>
        <v>11</v>
      </c>
      <c r="M57" s="8">
        <f t="shared" si="13"/>
        <v>12</v>
      </c>
      <c r="N57" s="8">
        <f t="shared" si="13"/>
        <v>13</v>
      </c>
      <c r="O57" s="8" t="str">
        <f t="shared" si="13"/>
        <v>7a</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"&amp;(VLOOKUP(C14,Table2458[],6,FALSE))</f>
        <v>Sandy Loam I Grass</v>
      </c>
      <c r="C58" s="13" t="str">
        <f>D16&amp;" I "&amp;(VLOOKUP(D14,Table2458[],6,FALSE))</f>
        <v>Sandy Loam I Grass</v>
      </c>
      <c r="D58" s="13" t="str">
        <f>E16&amp;" I "&amp;(VLOOKUP(E14,Table2458[],6,FALSE))</f>
        <v>Sandy Loam I Grass</v>
      </c>
      <c r="E58" s="13" t="str">
        <f>F16&amp;" I "&amp;(VLOOKUP(F14,Table2458[],6,FALSE))</f>
        <v>Sandy Loam I Arable</v>
      </c>
      <c r="F58" s="13" t="str">
        <f>G16&amp;" I "&amp;(VLOOKUP(G14,Table2458[],6,FALSE))</f>
        <v>Sandy Loam I Grass</v>
      </c>
      <c r="G58" s="13" t="str">
        <f>H16&amp;" I "&amp;(VLOOKUP(H14,Table2458[],6,FALSE))</f>
        <v>Sandy Loam I Grass</v>
      </c>
      <c r="H58" s="13" t="str">
        <f>I16&amp;" I "&amp;(VLOOKUP(I14,Table2458[],6,FALSE))</f>
        <v>Sandy Loam I Grass</v>
      </c>
      <c r="I58" s="13" t="str">
        <f>J16&amp;" I "&amp;(VLOOKUP(J14,Table2458[],6,FALSE))</f>
        <v>Sandy Loam I Grass</v>
      </c>
      <c r="J58" s="13" t="str">
        <f>K16&amp;" I "&amp;(VLOOKUP(K14,Table2458[],6,FALSE))</f>
        <v>Sandy Loam I Grass</v>
      </c>
      <c r="K58" s="13" t="str">
        <f>L16&amp;" I "&amp;(VLOOKUP(L14,Table2458[],6,FALSE))</f>
        <v>Sandy Loam I Grass</v>
      </c>
      <c r="L58" s="13" t="str">
        <f>M16&amp;" I "&amp;(VLOOKUP(M14,Table2458[],6,FALSE))</f>
        <v>Sandy Loam I Grass</v>
      </c>
      <c r="M58" s="13" t="str">
        <f>N16&amp;" I "&amp;(VLOOKUP(N14,Table2458[],6,FALSE))</f>
        <v>Sandy Loam I Grass</v>
      </c>
      <c r="N58" s="13" t="str">
        <f>O16&amp;" I "&amp;(VLOOKUP(O14,Table2458[],6,FALSE))</f>
        <v>Sandy Loam I Grass</v>
      </c>
      <c r="O58" s="13" t="str">
        <f>P16&amp;" I "&amp;(VLOOKUP(P14,Table2458[],6,FALSE))</f>
        <v>Sandy Loam I Arable</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f>VLOOKUP(C$14,Table2458[],5,FALSE)</f>
        <v>6.2</v>
      </c>
      <c r="C59" s="76">
        <f>VLOOKUP(D$14,Table2458[],5,FALSE)</f>
        <v>6.2</v>
      </c>
      <c r="D59" s="76">
        <f>VLOOKUP(E$14,Table2458[],5,FALSE)</f>
        <v>6.2</v>
      </c>
      <c r="E59" s="76">
        <f>VLOOKUP(F$14,Table2458[],5,FALSE)</f>
        <v>6.7</v>
      </c>
      <c r="F59" s="76">
        <f>VLOOKUP(G$14,Table2458[],5,FALSE)</f>
        <v>6.2</v>
      </c>
      <c r="G59" s="76">
        <f>VLOOKUP(H$14,Table2458[],5,FALSE)</f>
        <v>6.2</v>
      </c>
      <c r="H59" s="76">
        <f>VLOOKUP(I$14,Table2458[],5,FALSE)</f>
        <v>6.2</v>
      </c>
      <c r="I59" s="76">
        <f>VLOOKUP(J$14,Table2458[],5,FALSE)</f>
        <v>6.2</v>
      </c>
      <c r="J59" s="76">
        <f>VLOOKUP(K$14,Table2458[],5,FALSE)</f>
        <v>6.2</v>
      </c>
      <c r="K59" s="76">
        <f>VLOOKUP(L$14,Table2458[],5,FALSE)</f>
        <v>6.2</v>
      </c>
      <c r="L59" s="76">
        <f>VLOOKUP(M$14,Table2458[],5,FALSE)</f>
        <v>6.2</v>
      </c>
      <c r="M59" s="76">
        <f>VLOOKUP(N$14,Table2458[],5,FALSE)</f>
        <v>6.2</v>
      </c>
      <c r="N59" s="76">
        <f>VLOOKUP(O$14,Table2458[],5,FALSE)</f>
        <v>6.2</v>
      </c>
      <c r="O59" s="76">
        <f>VLOOKUP(P$14,Table2458[],5,FALSE)</f>
        <v>6.7</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6.2</v>
      </c>
      <c r="C60" s="76">
        <f t="shared" ref="C60:U60" si="14">D10</f>
        <v>6</v>
      </c>
      <c r="D60" s="76">
        <f t="shared" si="14"/>
        <v>7</v>
      </c>
      <c r="E60" s="76">
        <f t="shared" si="14"/>
        <v>6.1</v>
      </c>
      <c r="F60" s="76">
        <f t="shared" si="14"/>
        <v>6.5</v>
      </c>
      <c r="G60" s="76">
        <f t="shared" si="14"/>
        <v>6.5</v>
      </c>
      <c r="H60" s="76">
        <f t="shared" si="14"/>
        <v>6.1</v>
      </c>
      <c r="I60" s="76">
        <f t="shared" si="14"/>
        <v>6.1</v>
      </c>
      <c r="J60" s="76">
        <f t="shared" si="14"/>
        <v>6.6</v>
      </c>
      <c r="K60" s="76">
        <f t="shared" si="14"/>
        <v>6.7</v>
      </c>
      <c r="L60" s="76">
        <f t="shared" si="14"/>
        <v>6.7</v>
      </c>
      <c r="M60" s="76">
        <f t="shared" si="14"/>
        <v>6.5</v>
      </c>
      <c r="N60" s="76">
        <f t="shared" si="14"/>
        <v>6.7</v>
      </c>
      <c r="O60" s="76">
        <f t="shared" si="14"/>
        <v>6.5</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5</v>
      </c>
      <c r="C61" s="76">
        <f t="shared" si="15"/>
        <v>5</v>
      </c>
      <c r="D61" s="76">
        <f t="shared" si="15"/>
        <v>5</v>
      </c>
      <c r="E61" s="76">
        <f t="shared" si="15"/>
        <v>7</v>
      </c>
      <c r="F61" s="76">
        <f t="shared" si="15"/>
        <v>5</v>
      </c>
      <c r="G61" s="76">
        <f t="shared" si="15"/>
        <v>5</v>
      </c>
      <c r="H61" s="76">
        <f t="shared" si="15"/>
        <v>5</v>
      </c>
      <c r="I61" s="76">
        <f t="shared" si="15"/>
        <v>5</v>
      </c>
      <c r="J61" s="76">
        <f t="shared" si="15"/>
        <v>5</v>
      </c>
      <c r="K61" s="76">
        <f t="shared" si="15"/>
        <v>5</v>
      </c>
      <c r="L61" s="76">
        <f t="shared" si="15"/>
        <v>5</v>
      </c>
      <c r="M61" s="76">
        <f t="shared" si="15"/>
        <v>5</v>
      </c>
      <c r="N61" s="76">
        <f t="shared" si="15"/>
        <v>5</v>
      </c>
      <c r="O61" s="76">
        <f t="shared" si="15"/>
        <v>7</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200</v>
      </c>
      <c r="C62" s="77">
        <f>B32</f>
        <v>200</v>
      </c>
      <c r="D62" s="77">
        <f>B33</f>
        <v>200</v>
      </c>
      <c r="E62" s="77">
        <f>B34</f>
        <v>200</v>
      </c>
      <c r="F62" s="77">
        <f>B35</f>
        <v>200</v>
      </c>
      <c r="G62" s="77">
        <f>B36</f>
        <v>200</v>
      </c>
      <c r="H62" s="77">
        <f>B37</f>
        <v>200</v>
      </c>
      <c r="I62" s="77">
        <f>B38</f>
        <v>200</v>
      </c>
      <c r="J62" s="77">
        <f>B39</f>
        <v>200</v>
      </c>
      <c r="K62" s="77">
        <f>B40</f>
        <v>200</v>
      </c>
      <c r="L62" s="77">
        <f>B41</f>
        <v>200</v>
      </c>
      <c r="M62" s="77">
        <f>B42</f>
        <v>200</v>
      </c>
      <c r="N62" s="77">
        <f>B43</f>
        <v>200</v>
      </c>
      <c r="O62" s="77">
        <f>B44</f>
        <v>200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1.0000000000000009</v>
      </c>
      <c r="D64" s="77">
        <f t="shared" si="17"/>
        <v>-3.9999999999999991</v>
      </c>
      <c r="E64" s="77">
        <f t="shared" si="17"/>
        <v>4.2000000000000037</v>
      </c>
      <c r="F64" s="77">
        <f t="shared" si="17"/>
        <v>-1.4999999999999991</v>
      </c>
      <c r="G64" s="77">
        <f t="shared" si="17"/>
        <v>-1.4999999999999991</v>
      </c>
      <c r="H64" s="77">
        <f t="shared" si="17"/>
        <v>0.50000000000000266</v>
      </c>
      <c r="I64" s="77">
        <f t="shared" si="17"/>
        <v>0.50000000000000266</v>
      </c>
      <c r="J64" s="77">
        <f t="shared" si="17"/>
        <v>-1.9999999999999973</v>
      </c>
      <c r="K64" s="77">
        <f t="shared" si="17"/>
        <v>-2.5</v>
      </c>
      <c r="L64" s="77">
        <f t="shared" si="17"/>
        <v>-2.5</v>
      </c>
      <c r="M64" s="77">
        <f t="shared" si="17"/>
        <v>-1.4999999999999991</v>
      </c>
      <c r="N64" s="77">
        <f t="shared" si="17"/>
        <v>-2.5</v>
      </c>
      <c r="O64" s="77">
        <f t="shared" si="17"/>
        <v>1.4000000000000012</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-1.0000000000000009</v>
      </c>
      <c r="D65" s="77">
        <f t="shared" si="18"/>
        <v>3.9999999999999991</v>
      </c>
      <c r="E65" s="77">
        <f t="shared" si="18"/>
        <v>-4.2000000000000037</v>
      </c>
      <c r="F65" s="77">
        <f t="shared" si="18"/>
        <v>1.4999999999999991</v>
      </c>
      <c r="G65" s="77">
        <f t="shared" si="18"/>
        <v>1.4999999999999991</v>
      </c>
      <c r="H65" s="77">
        <f t="shared" si="18"/>
        <v>-0.50000000000000266</v>
      </c>
      <c r="I65" s="77">
        <f t="shared" si="18"/>
        <v>-0.50000000000000266</v>
      </c>
      <c r="J65" s="77">
        <f t="shared" si="18"/>
        <v>1.9999999999999973</v>
      </c>
      <c r="K65" s="77">
        <f t="shared" si="18"/>
        <v>2.5</v>
      </c>
      <c r="L65" s="77">
        <f t="shared" si="18"/>
        <v>2.5</v>
      </c>
      <c r="M65" s="77">
        <f t="shared" si="18"/>
        <v>1.4999999999999991</v>
      </c>
      <c r="N65" s="77">
        <f t="shared" si="18"/>
        <v>2.5</v>
      </c>
      <c r="O65" s="77">
        <f t="shared" si="18"/>
        <v>-1.4000000000000012</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OVER</v>
      </c>
      <c r="E66" s="78" t="str">
        <f t="shared" si="19"/>
        <v>UNDER</v>
      </c>
      <c r="F66" s="78" t="str">
        <f t="shared" si="19"/>
        <v>OVER</v>
      </c>
      <c r="G66" s="78" t="str">
        <f t="shared" si="19"/>
        <v>OVER</v>
      </c>
      <c r="H66" s="78" t="str">
        <f t="shared" si="19"/>
        <v>UNDER</v>
      </c>
      <c r="I66" s="78" t="str">
        <f t="shared" si="19"/>
        <v>UNDER</v>
      </c>
      <c r="J66" s="78" t="str">
        <f t="shared" si="19"/>
        <v>OVER</v>
      </c>
      <c r="K66" s="78" t="str">
        <f t="shared" si="19"/>
        <v>OVER</v>
      </c>
      <c r="L66" s="78" t="str">
        <f t="shared" si="19"/>
        <v>OVER</v>
      </c>
      <c r="M66" s="78" t="str">
        <f t="shared" si="19"/>
        <v>OVER</v>
      </c>
      <c r="N66" s="78" t="str">
        <f t="shared" si="19"/>
        <v>OVER</v>
      </c>
      <c r="O66" s="78" t="str">
        <f t="shared" si="19"/>
        <v>UNDER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62:U66 B31:B50">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B32" sqref="B32:B4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9" t="s">
        <v>41</v>
      </c>
      <c r="B1" s="129"/>
      <c r="C1" s="142" t="str">
        <f>'Field data and Waste 1'!C1:D1</f>
        <v>PAN-019532</v>
      </c>
      <c r="D1" s="143"/>
      <c r="E1" s="93" t="s">
        <v>45</v>
      </c>
      <c r="F1" s="39">
        <f>'Field data and Waste 1'!F1</f>
        <v>18.100000000000001</v>
      </c>
      <c r="G1" s="125" t="s">
        <v>43</v>
      </c>
      <c r="H1" s="126"/>
      <c r="I1" s="118">
        <v>4.0199999999999996</v>
      </c>
      <c r="J1" s="129" t="s">
        <v>153</v>
      </c>
      <c r="K1" s="129"/>
      <c r="L1" s="97">
        <v>50</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9" t="s">
        <v>87</v>
      </c>
      <c r="B2" s="129"/>
      <c r="C2" s="144" t="str">
        <f>'Field data and Waste 1'!C2:D2</f>
        <v>EPR-KP3594VE</v>
      </c>
      <c r="D2" s="145"/>
      <c r="E2" s="93" t="s">
        <v>109</v>
      </c>
      <c r="F2" s="96" t="s">
        <v>169</v>
      </c>
      <c r="G2" s="127" t="s">
        <v>110</v>
      </c>
      <c r="H2" s="128"/>
      <c r="I2" s="118">
        <v>299</v>
      </c>
      <c r="J2" s="129" t="s">
        <v>158</v>
      </c>
      <c r="K2" s="129"/>
      <c r="L2" s="97">
        <v>0.32</v>
      </c>
      <c r="AB2" s="30" t="s">
        <v>56</v>
      </c>
      <c r="AC2" s="17"/>
      <c r="AD2" s="30" t="s">
        <v>70</v>
      </c>
      <c r="AE2" s="17"/>
      <c r="AF2" s="17"/>
      <c r="AG2" s="44" t="s">
        <v>76</v>
      </c>
      <c r="AH2" s="18"/>
      <c r="AI2" s="45" t="s">
        <v>126</v>
      </c>
      <c r="AJ2" s="46">
        <v>0</v>
      </c>
      <c r="AK2" s="47">
        <v>0</v>
      </c>
      <c r="AL2" s="10">
        <v>0</v>
      </c>
      <c r="AM2" s="11">
        <v>0</v>
      </c>
      <c r="AN2" s="11">
        <v>0</v>
      </c>
    </row>
    <row r="3" spans="1:41" ht="13" x14ac:dyDescent="0.25">
      <c r="A3" s="125" t="s">
        <v>42</v>
      </c>
      <c r="B3" s="126"/>
      <c r="C3" s="144" t="str">
        <f>'Field data and Waste 1'!C3:D3</f>
        <v xml:space="preserve">Trade effluent services </v>
      </c>
      <c r="D3" s="145"/>
      <c r="E3" s="93" t="s">
        <v>108</v>
      </c>
      <c r="F3" s="31" t="s">
        <v>78</v>
      </c>
      <c r="G3" s="129" t="s">
        <v>159</v>
      </c>
      <c r="H3" s="129"/>
      <c r="I3" s="118">
        <v>200</v>
      </c>
      <c r="J3" s="125" t="s">
        <v>154</v>
      </c>
      <c r="K3" s="126"/>
      <c r="L3" s="97">
        <f>(L1/(L2*10000))*100</f>
        <v>1.5625</v>
      </c>
      <c r="AB3" s="30" t="s">
        <v>57</v>
      </c>
      <c r="AC3" s="17"/>
      <c r="AD3" s="30" t="s">
        <v>71</v>
      </c>
      <c r="AE3" s="17"/>
      <c r="AF3" s="17"/>
      <c r="AG3" s="44" t="s">
        <v>77</v>
      </c>
      <c r="AH3" s="18"/>
      <c r="AI3" s="48" t="s">
        <v>113</v>
      </c>
      <c r="AJ3" s="49">
        <v>1.7</v>
      </c>
      <c r="AK3" s="50">
        <v>6</v>
      </c>
      <c r="AL3" s="51">
        <v>1</v>
      </c>
      <c r="AM3" s="11">
        <v>6.2</v>
      </c>
      <c r="AN3" s="11" t="s">
        <v>112</v>
      </c>
    </row>
    <row r="4" spans="1:41" ht="13" x14ac:dyDescent="0.25">
      <c r="A4" s="129" t="s">
        <v>0</v>
      </c>
      <c r="B4" s="129"/>
      <c r="C4" s="142" t="str">
        <f>'Field data and Waste 1'!C4:D4</f>
        <v>Play Yn Llan, Llangynhafal, LL16 4LN</v>
      </c>
      <c r="D4" s="143"/>
      <c r="E4" s="94" t="s">
        <v>1</v>
      </c>
      <c r="F4" s="96" t="s">
        <v>177</v>
      </c>
      <c r="G4" s="125"/>
      <c r="H4" s="126"/>
      <c r="I4" s="39"/>
      <c r="J4" s="125"/>
      <c r="K4" s="126"/>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9" t="s">
        <v>47</v>
      </c>
      <c r="B5" s="129"/>
      <c r="C5" s="142" t="str">
        <f>'Field data and Waste 1'!C5:D5</f>
        <v xml:space="preserve">Ethan Banfield </v>
      </c>
      <c r="D5" s="143"/>
      <c r="E5" s="93"/>
      <c r="F5" s="39"/>
      <c r="G5" s="125"/>
      <c r="H5" s="126"/>
      <c r="I5" s="39"/>
      <c r="J5" s="125"/>
      <c r="K5" s="126"/>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9" t="s">
        <v>2</v>
      </c>
      <c r="B8" s="129"/>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8</v>
      </c>
      <c r="J8" s="60">
        <f>'Field data and Waste 1'!J8</f>
        <v>7</v>
      </c>
      <c r="K8" s="60">
        <f>'Field data and Waste 1'!K8</f>
        <v>9</v>
      </c>
      <c r="L8" s="60">
        <f>'Field data and Waste 1'!L8</f>
        <v>10</v>
      </c>
      <c r="M8" s="60">
        <f>'Field data and Waste 1'!M8</f>
        <v>11</v>
      </c>
      <c r="N8" s="60">
        <f>'Field data and Waste 1'!N8</f>
        <v>12</v>
      </c>
      <c r="O8" s="60">
        <f>'Field data and Waste 1'!O8</f>
        <v>13</v>
      </c>
      <c r="P8" s="60" t="str">
        <f>'Field data and Waste 1'!P8</f>
        <v>7a</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9" t="s">
        <v>3</v>
      </c>
      <c r="B9" s="129"/>
      <c r="C9" s="60" t="str">
        <f>'Field data and Waste 1'!C9</f>
        <v>Moderate</v>
      </c>
      <c r="D9" s="60" t="str">
        <f>'Field data and Waste 1'!D9</f>
        <v>Moderate</v>
      </c>
      <c r="E9" s="60" t="str">
        <f>'Field data and Waste 1'!E9</f>
        <v>moderate</v>
      </c>
      <c r="F9" s="60">
        <f>'Field data and Waste 1'!F9</f>
        <v>1</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f>'Field data and Waste 1'!P9</f>
        <v>1</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9" t="s">
        <v>4</v>
      </c>
      <c r="B10" s="129"/>
      <c r="C10" s="60">
        <f>'Field data and Waste 1'!C10</f>
        <v>6.2</v>
      </c>
      <c r="D10" s="60">
        <f>'Field data and Waste 1'!D10</f>
        <v>6</v>
      </c>
      <c r="E10" s="60">
        <f>'Field data and Waste 1'!E10</f>
        <v>7</v>
      </c>
      <c r="F10" s="60">
        <f>'Field data and Waste 1'!F10</f>
        <v>6.1</v>
      </c>
      <c r="G10" s="60">
        <f>'Field data and Waste 1'!G10</f>
        <v>6.5</v>
      </c>
      <c r="H10" s="60">
        <f>'Field data and Waste 1'!H10</f>
        <v>6.5</v>
      </c>
      <c r="I10" s="60">
        <f>'Field data and Waste 1'!I10</f>
        <v>6.1</v>
      </c>
      <c r="J10" s="60">
        <f>'Field data and Waste 1'!J10</f>
        <v>6.1</v>
      </c>
      <c r="K10" s="60">
        <f>'Field data and Waste 1'!K10</f>
        <v>6.6</v>
      </c>
      <c r="L10" s="60">
        <f>'Field data and Waste 1'!L10</f>
        <v>6.7</v>
      </c>
      <c r="M10" s="60">
        <f>'Field data and Waste 1'!M10</f>
        <v>6.7</v>
      </c>
      <c r="N10" s="60">
        <f>'Field data and Waste 1'!N10</f>
        <v>6.5</v>
      </c>
      <c r="O10" s="60">
        <f>'Field data and Waste 1'!O10</f>
        <v>6.7</v>
      </c>
      <c r="P10" s="60">
        <f>'Field data and Waste 1'!P10</f>
        <v>6.5</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9" t="s">
        <v>5</v>
      </c>
      <c r="B11" s="129"/>
      <c r="C11" s="60">
        <f>'Field data and Waste 1'!C11</f>
        <v>2</v>
      </c>
      <c r="D11" s="60">
        <f>'Field data and Waste 1'!D11</f>
        <v>1</v>
      </c>
      <c r="E11" s="60">
        <f>'Field data and Waste 1'!E11</f>
        <v>1</v>
      </c>
      <c r="F11" s="60">
        <f>'Field data and Waste 1'!F11</f>
        <v>2</v>
      </c>
      <c r="G11" s="60">
        <f>'Field data and Waste 1'!G11</f>
        <v>1</v>
      </c>
      <c r="H11" s="60">
        <f>'Field data and Waste 1'!H11</f>
        <v>2</v>
      </c>
      <c r="I11" s="60">
        <f>'Field data and Waste 1'!I11</f>
        <v>1</v>
      </c>
      <c r="J11" s="60">
        <f>'Field data and Waste 1'!J11</f>
        <v>1</v>
      </c>
      <c r="K11" s="60">
        <f>'Field data and Waste 1'!K11</f>
        <v>0</v>
      </c>
      <c r="L11" s="60">
        <f>'Field data and Waste 1'!L11</f>
        <v>0</v>
      </c>
      <c r="M11" s="60">
        <f>'Field data and Waste 1'!M11</f>
        <v>1</v>
      </c>
      <c r="N11" s="60">
        <f>'Field data and Waste 1'!N11</f>
        <v>1</v>
      </c>
      <c r="O11" s="60">
        <f>'Field data and Waste 1'!O11</f>
        <v>1</v>
      </c>
      <c r="P11" s="60">
        <f>'Field data and Waste 1'!P11</f>
        <v>3</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9" t="s">
        <v>6</v>
      </c>
      <c r="B12" s="129"/>
      <c r="C12" s="60">
        <f>'Field data and Waste 1'!C12</f>
        <v>2</v>
      </c>
      <c r="D12" s="60">
        <f>'Field data and Waste 1'!D12</f>
        <v>2</v>
      </c>
      <c r="E12" s="60">
        <f>'Field data and Waste 1'!E12</f>
        <v>1</v>
      </c>
      <c r="F12" s="60">
        <f>'Field data and Waste 1'!F12</f>
        <v>1</v>
      </c>
      <c r="G12" s="60">
        <f>'Field data and Waste 1'!G12</f>
        <v>2</v>
      </c>
      <c r="H12" s="60">
        <f>'Field data and Waste 1'!H12</f>
        <v>3</v>
      </c>
      <c r="I12" s="60">
        <f>'Field data and Waste 1'!I12</f>
        <v>3</v>
      </c>
      <c r="J12" s="60">
        <f>'Field data and Waste 1'!J12</f>
        <v>2</v>
      </c>
      <c r="K12" s="60">
        <f>'Field data and Waste 1'!K12</f>
        <v>2</v>
      </c>
      <c r="L12" s="60">
        <f>'Field data and Waste 1'!L12</f>
        <v>1</v>
      </c>
      <c r="M12" s="60">
        <f>'Field data and Waste 1'!M12</f>
        <v>1</v>
      </c>
      <c r="N12" s="60">
        <f>'Field data and Waste 1'!N12</f>
        <v>2</v>
      </c>
      <c r="O12" s="60">
        <f>'Field data and Waste 1'!O12</f>
        <v>2</v>
      </c>
      <c r="P12" s="60">
        <f>'Field data and Waste 1'!P12</f>
        <v>3</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9" t="s">
        <v>7</v>
      </c>
      <c r="B13" s="129"/>
      <c r="C13" s="60">
        <f>'Field data and Waste 1'!C13</f>
        <v>2</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2</v>
      </c>
      <c r="L13" s="60">
        <f>'Field data and Waste 1'!L13</f>
        <v>3</v>
      </c>
      <c r="M13" s="60">
        <f>'Field data and Waste 1'!M13</f>
        <v>2</v>
      </c>
      <c r="N13" s="60">
        <f>'Field data and Waste 1'!N13</f>
        <v>2</v>
      </c>
      <c r="O13" s="60">
        <f>'Field data and Waste 1'!O13</f>
        <v>2</v>
      </c>
      <c r="P13" s="60">
        <f>'Field data and Waste 1'!P13</f>
        <v>3</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8" t="s">
        <v>8</v>
      </c>
      <c r="B14" s="138"/>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Maize- Silage (30% DM)</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Maize- Silage (30% DM)</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7" t="s">
        <v>9</v>
      </c>
      <c r="B15" s="137"/>
      <c r="C15" s="60">
        <f>'Field data and Waste 1'!C15</f>
        <v>38</v>
      </c>
      <c r="D15" s="60">
        <f>'Field data and Waste 1'!D15</f>
        <v>38</v>
      </c>
      <c r="E15" s="60">
        <f>'Field data and Waste 1'!E15</f>
        <v>38</v>
      </c>
      <c r="F15" s="60">
        <f>'Field data and Waste 1'!F15</f>
        <v>40</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40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9" t="s">
        <v>44</v>
      </c>
      <c r="B16" s="139"/>
      <c r="C16" s="103" t="str">
        <f>'Field data and Waste 1'!C16</f>
        <v>Sandy Loam</v>
      </c>
      <c r="D16" s="103" t="str">
        <f>'Field data and Waste 1'!D16</f>
        <v>Sandy Loam</v>
      </c>
      <c r="E16" s="103" t="str">
        <f>'Field data and Waste 1'!E16</f>
        <v>Sandy Loam</v>
      </c>
      <c r="F16" s="103" t="str">
        <f>'Field data and Waste 1'!F16</f>
        <v>Sandy Loam</v>
      </c>
      <c r="G16" s="103" t="str">
        <f>'Field data and Waste 1'!G16</f>
        <v>Sandy Loam</v>
      </c>
      <c r="H16" s="103" t="str">
        <f>'Field data and Waste 1'!H16</f>
        <v>Sandy Loam</v>
      </c>
      <c r="I16" s="103" t="str">
        <f>'Field data and Waste 1'!I16</f>
        <v>Sandy Loam</v>
      </c>
      <c r="J16" s="103" t="str">
        <f>'Field data and Waste 1'!J16</f>
        <v>Sandy Loam</v>
      </c>
      <c r="K16" s="103" t="str">
        <f>'Field data and Waste 1'!K16</f>
        <v>Sandy Loam</v>
      </c>
      <c r="L16" s="103" t="str">
        <f>'Field data and Waste 1'!L16</f>
        <v>Sandy Loam</v>
      </c>
      <c r="M16" s="103" t="str">
        <f>'Field data and Waste 1'!M16</f>
        <v>Sandy Loam</v>
      </c>
      <c r="N16" s="103" t="str">
        <f>'Field data and Waste 1'!N16</f>
        <v>Sandy Loam</v>
      </c>
      <c r="O16" s="103" t="str">
        <f>'Field data and Waste 1'!O16</f>
        <v>Sandy Loam</v>
      </c>
      <c r="P16" s="103" t="str">
        <f>'Field data and Waste 1'!P16</f>
        <v>Sandy Loam</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5" t="s">
        <v>69</v>
      </c>
      <c r="B17" s="136"/>
      <c r="C17" s="28">
        <f>(VLOOKUP(C$14,$AI2:$AK26,2,FALSE))*C$15</f>
        <v>64.599999999999994</v>
      </c>
      <c r="D17" s="28">
        <f t="shared" ref="D17:V17" si="0">(VLOOKUP(D$14,$AI2:$AK26,2,FALSE))*D$15</f>
        <v>64.599999999999994</v>
      </c>
      <c r="E17" s="28">
        <f t="shared" si="0"/>
        <v>64.599999999999994</v>
      </c>
      <c r="F17" s="28">
        <f t="shared" si="0"/>
        <v>56</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56</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3" t="s">
        <v>23</v>
      </c>
      <c r="B18" s="134"/>
      <c r="C18" s="16">
        <f>$D31</f>
        <v>64.23276700000001</v>
      </c>
      <c r="D18" s="16">
        <f>$D32</f>
        <v>64.23276700000001</v>
      </c>
      <c r="E18" s="16">
        <f>$D33</f>
        <v>64.23276700000001</v>
      </c>
      <c r="F18" s="16">
        <f>$D34</f>
        <v>64.23276700000001</v>
      </c>
      <c r="G18" s="16">
        <f>$D35</f>
        <v>64.23276700000001</v>
      </c>
      <c r="H18" s="16">
        <f>$D36</f>
        <v>64.23276700000001</v>
      </c>
      <c r="I18" s="16">
        <f>$D37</f>
        <v>64.23276700000001</v>
      </c>
      <c r="J18" s="16">
        <f>$D38</f>
        <v>64.23276700000001</v>
      </c>
      <c r="K18" s="16">
        <f>$D39</f>
        <v>64.23276700000001</v>
      </c>
      <c r="L18" s="16">
        <f>$D40</f>
        <v>64.23276700000001</v>
      </c>
      <c r="M18" s="16">
        <f>$D41</f>
        <v>64.23276700000001</v>
      </c>
      <c r="N18" s="16">
        <f>$D42</f>
        <v>64.23276700000001</v>
      </c>
      <c r="O18" s="16">
        <f>$D43</f>
        <v>64.23276700000001</v>
      </c>
      <c r="P18" s="16">
        <f>$D44</f>
        <v>64.23276700000001</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3" t="s">
        <v>90</v>
      </c>
      <c r="B19" s="134"/>
      <c r="C19" s="16">
        <f>C18-C17</f>
        <v>-0.3672329999999846</v>
      </c>
      <c r="D19" s="16">
        <f t="shared" ref="D19:V19" si="1">D18-D17</f>
        <v>-0.3672329999999846</v>
      </c>
      <c r="E19" s="16">
        <f t="shared" si="1"/>
        <v>-0.3672329999999846</v>
      </c>
      <c r="F19" s="16">
        <f t="shared" si="1"/>
        <v>8.2327670000000097</v>
      </c>
      <c r="G19" s="16">
        <f t="shared" si="1"/>
        <v>-0.3672329999999846</v>
      </c>
      <c r="H19" s="16">
        <f t="shared" si="1"/>
        <v>-0.3672329999999846</v>
      </c>
      <c r="I19" s="16">
        <f t="shared" si="1"/>
        <v>-0.3672329999999846</v>
      </c>
      <c r="J19" s="16">
        <f t="shared" si="1"/>
        <v>-0.3672329999999846</v>
      </c>
      <c r="K19" s="16">
        <f t="shared" si="1"/>
        <v>-0.3672329999999846</v>
      </c>
      <c r="L19" s="16">
        <f t="shared" si="1"/>
        <v>-0.3672329999999846</v>
      </c>
      <c r="M19" s="16">
        <f t="shared" si="1"/>
        <v>-0.3672329999999846</v>
      </c>
      <c r="N19" s="16">
        <f t="shared" si="1"/>
        <v>-0.3672329999999846</v>
      </c>
      <c r="O19" s="16">
        <f t="shared" si="1"/>
        <v>-0.3672329999999846</v>
      </c>
      <c r="P19" s="16">
        <f t="shared" si="1"/>
        <v>8.2327670000000097</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1" t="s">
        <v>91</v>
      </c>
      <c r="B20" s="132"/>
      <c r="C20" s="26" t="str">
        <f>IF($B31="","",IF(C$19&gt;=0,"INCREASE","DECREASE"))</f>
        <v>DECREASE</v>
      </c>
      <c r="D20" s="26" t="str">
        <f>IF($B32="","",IF(D$19&gt;=0,"INCREASE","DECREASE"))</f>
        <v>DECREASE</v>
      </c>
      <c r="E20" s="26" t="str">
        <f>IF($B33="","",IF(E$19&gt;=0,"INCREASE","DECREASE"))</f>
        <v>DECREASE</v>
      </c>
      <c r="F20" s="26" t="str">
        <f>IF($B34="","",IF(F$19&gt;=0,"INCREASE","DECREASE"))</f>
        <v>INCREASE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INCREASE</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5" t="s">
        <v>88</v>
      </c>
      <c r="B21" s="136"/>
      <c r="C21" s="28">
        <f>(VLOOKUP(C$14,$AI2:$AK26,3,FALSE))*C$15</f>
        <v>228</v>
      </c>
      <c r="D21" s="28">
        <f t="shared" ref="D21:V21" si="2">(VLOOKUP(D$14,$AI2:$AK26,3,FALSE))*D$15</f>
        <v>228</v>
      </c>
      <c r="E21" s="28">
        <f t="shared" si="2"/>
        <v>228</v>
      </c>
      <c r="F21" s="28">
        <f t="shared" si="2"/>
        <v>176</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176</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3" t="s">
        <v>89</v>
      </c>
      <c r="B22" s="134"/>
      <c r="C22" s="16">
        <f>$E31</f>
        <v>16.093980000000002</v>
      </c>
      <c r="D22" s="16">
        <f>$E32</f>
        <v>16.093980000000002</v>
      </c>
      <c r="E22" s="16">
        <f>$E33</f>
        <v>16.093980000000002</v>
      </c>
      <c r="F22" s="16">
        <f>$E34</f>
        <v>16.093980000000002</v>
      </c>
      <c r="G22" s="16">
        <f>$E35</f>
        <v>16.093980000000002</v>
      </c>
      <c r="H22" s="16">
        <f>$E36</f>
        <v>16.093980000000002</v>
      </c>
      <c r="I22" s="16">
        <f>$E37</f>
        <v>16.093980000000002</v>
      </c>
      <c r="J22" s="16">
        <f>$E38</f>
        <v>16.093980000000002</v>
      </c>
      <c r="K22" s="16">
        <f>$E39</f>
        <v>16.093980000000002</v>
      </c>
      <c r="L22" s="16">
        <f>$E40</f>
        <v>16.093980000000002</v>
      </c>
      <c r="M22" s="16">
        <f>$E41</f>
        <v>16.093980000000002</v>
      </c>
      <c r="N22" s="16">
        <f>$E42</f>
        <v>16.093980000000002</v>
      </c>
      <c r="O22" s="16">
        <f>$E43</f>
        <v>16.093980000000002</v>
      </c>
      <c r="P22" s="16">
        <f>$E44</f>
        <v>16.093980000000002</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3" t="s">
        <v>92</v>
      </c>
      <c r="B23" s="134"/>
      <c r="C23" s="16">
        <f>C22-C21</f>
        <v>-211.90602000000001</v>
      </c>
      <c r="D23" s="16">
        <f t="shared" ref="D23:V23" si="3">D22-D21</f>
        <v>-211.90602000000001</v>
      </c>
      <c r="E23" s="16">
        <f t="shared" si="3"/>
        <v>-211.90602000000001</v>
      </c>
      <c r="F23" s="16">
        <f t="shared" si="3"/>
        <v>-159.90602000000001</v>
      </c>
      <c r="G23" s="16">
        <f t="shared" si="3"/>
        <v>-211.90602000000001</v>
      </c>
      <c r="H23" s="16">
        <f t="shared" si="3"/>
        <v>-211.90602000000001</v>
      </c>
      <c r="I23" s="16">
        <f t="shared" si="3"/>
        <v>-211.90602000000001</v>
      </c>
      <c r="J23" s="16">
        <f t="shared" si="3"/>
        <v>-211.90602000000001</v>
      </c>
      <c r="K23" s="16">
        <f t="shared" si="3"/>
        <v>-211.90602000000001</v>
      </c>
      <c r="L23" s="16">
        <f t="shared" si="3"/>
        <v>-211.90602000000001</v>
      </c>
      <c r="M23" s="16">
        <f t="shared" si="3"/>
        <v>-211.90602000000001</v>
      </c>
      <c r="N23" s="16">
        <f t="shared" si="3"/>
        <v>-211.90602000000001</v>
      </c>
      <c r="O23" s="16">
        <f t="shared" si="3"/>
        <v>-211.90602000000001</v>
      </c>
      <c r="P23" s="16">
        <f t="shared" si="3"/>
        <v>-159.90602000000001</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1" t="s">
        <v>93</v>
      </c>
      <c r="B24" s="132"/>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35">
      <c r="A28" s="108"/>
      <c r="B28" s="24">
        <v>5.99</v>
      </c>
      <c r="C28" s="15">
        <v>0.32</v>
      </c>
      <c r="D28" s="15">
        <v>529</v>
      </c>
      <c r="E28" s="15">
        <v>252</v>
      </c>
      <c r="F28" s="15">
        <v>64.5</v>
      </c>
      <c r="G28" s="15">
        <v>1.21</v>
      </c>
      <c r="H28" s="15">
        <v>2.33</v>
      </c>
      <c r="I28" s="15">
        <v>0.5</v>
      </c>
      <c r="J28" s="15">
        <v>0.01</v>
      </c>
      <c r="K28" s="23">
        <v>0.05</v>
      </c>
      <c r="L28" s="15">
        <v>0.2</v>
      </c>
      <c r="M28" s="15">
        <v>0.47</v>
      </c>
      <c r="N28" s="15"/>
      <c r="O28" s="15"/>
      <c r="P28" s="15">
        <v>61.7</v>
      </c>
      <c r="Q28" s="15">
        <v>177</v>
      </c>
      <c r="R28" s="15"/>
      <c r="S28" s="15"/>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53</v>
      </c>
      <c r="C31" s="77">
        <f>IF(C$27="%w/w SAR",((C$28*10)*$B31),IF(C$27="%w/w DM",(((C$28*10)*($B$28/100))*$B31),IF(C$27="kg/t SAR",(C$28*$B31),IF(C$27="kg/t DM",((C$28*($B$28/100))*$B31),IF(C$27="mg/kg SAR",((C$28*0.001)*$B31),IF(C$27="mg/kg DM",(((C$28*0.001)*($B$28/100))*$B31),0))))))</f>
        <v>169.60000000000002</v>
      </c>
      <c r="D31" s="77">
        <f>(IF(D$27="%w/w SAR",((D$28*10)*$B31),IF(D$27="%w/w DM",(((D$28*10)*($B$28/100))*$B31),IF(D$27="kg/t SAR",(D$28*$B31),IF(D$27="kg/t DM",((D$28*($B$28/100))*$B31),IF(D$27="mg/kg SAR",((D$28*0.001)*$B31),IF(D$27="mg/kg DM",(((D$28*0.001)*($B$28/100))*$B31),"0")))))))*2.291</f>
        <v>64.23276700000001</v>
      </c>
      <c r="E31" s="77">
        <f>(IF(E$27="%w/w SAR",((E$28*10)*$B31),IF(E$27="%w/w DM",(((E$28*10)*($B$28/100))*$B31),IF(E$27="kg/t SAR",(E$28*$B31),IF(E$27="kg/t DM",((E$28*($B$28/100))*$B31),IF(E$27="mg/kg SAR",((E$28*0.001)*$B31),IF(E$27="mg/kg DM",(((E$28*0.001)*($B$28/100))*$B31),"0")))))))*1.205</f>
        <v>16.093980000000002</v>
      </c>
      <c r="F31" s="77">
        <f>(IF(F$27="%w/w SAR",((F$28*10)*$B31),IF(F$27="%w/w DM",(((F$28*10)*($B$28/100))*$B31),IF(F$27="kg/t SAR",(F$28*$B31),IF(F$27="kg/t DM",((F$28*($B$28/100))*$B31),IF(F$27="mg/kg SAR",((F$28*0.001)*$B31),IF(F$27="mg/kg DM",(((F$28*0.001)*($B$28/100))*$B31),"0")))))))*1.658</f>
        <v>5.6678729999999993</v>
      </c>
      <c r="G31" s="77">
        <f t="shared" ref="G31:P46" si="5">IF(G$27="%w/w SAR",((G$28*10)*$B31),IF(G$27="%w/w DM",(((G$28*10)*($B$28/100))*$B31),IF(G$27="kg/t SAR",(G$28*$B31),IF(G$27="kg/t DM",((G$28*($B$28/100))*$B31),IF(G$27="mg/kg SAR",((G$28*0.001)*$B31),IF(G$27="mg/kg DM",(((G$28*0.001)*($B$28/100))*$B31),0))))))</f>
        <v>6.4129999999999993E-2</v>
      </c>
      <c r="H31" s="77">
        <f t="shared" si="5"/>
        <v>0.12349</v>
      </c>
      <c r="I31" s="77">
        <f t="shared" si="5"/>
        <v>2.6499999999999999E-2</v>
      </c>
      <c r="J31" s="77">
        <f t="shared" si="5"/>
        <v>5.3000000000000009E-4</v>
      </c>
      <c r="K31" s="77">
        <f t="shared" si="5"/>
        <v>2.65E-3</v>
      </c>
      <c r="L31" s="77">
        <f t="shared" si="5"/>
        <v>1.06E-2</v>
      </c>
      <c r="M31" s="77">
        <f t="shared" si="5"/>
        <v>2.4909999999999998E-2</v>
      </c>
      <c r="N31" s="77">
        <f t="shared" si="5"/>
        <v>0</v>
      </c>
      <c r="O31" s="77">
        <f t="shared" si="5"/>
        <v>0</v>
      </c>
      <c r="P31" s="77">
        <f t="shared" si="5"/>
        <v>3.2701000000000002</v>
      </c>
      <c r="Q31" s="77">
        <f>(IF(Q$27="%w/w SAR",((Q$28*10)*$B31),IF(Q$27="%w/w DM",(((Q$28*10)*($B$28/100))*$B31),IF(Q$27="kg/t SAR",(Q$28*$B31),IF(Q$27="kg/t DM",((Q$28*($B$28/100))*$B31),IF(Q$27="mg/kg SAR",((Q$28*0.001)*$B31),IF(Q$27="mg/kg DM",(((Q$28*0.001)*($B$28/100))*$B31),0)))))))*2.5</f>
        <v>23.452500000000001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53</v>
      </c>
      <c r="C32" s="77">
        <f t="shared" ref="C32:C50" si="6">IF(C$27="%w/w SAR",((C$28*10)*$B32),IF(C$27="%w/w DM",(((C$28*10)*($B$28/100))*$B32),IF(C$27="kg/t SAR",(C$28*$B32),IF(C$27="kg/t DM",((C$28*($B$28/100))*$B32),IF(C$27="mg/kg SAR",((C$28*0.001)*$B32),IF(C$27="mg/kg DM",(((C$28*0.001)*($B$28/100))*$B32),0))))))</f>
        <v>169.60000000000002</v>
      </c>
      <c r="D32" s="77">
        <f t="shared" ref="D32:D50" si="7">(IF(D$27="%w/w SAR",((D$28*10)*$B32),IF(D$27="%w/w DM",(((D$28*10)*($B$28/100))*$B32),IF(D$27="kg/t SAR",(D$28*$B32),IF(D$27="kg/t DM",((D$28*($B$28/100))*$B32),IF(D$27="mg/kg SAR",((D$28*0.001)*$B32),IF(D$27="mg/kg DM",(((D$28*0.001)*($B$28/100))*$B32),"0")))))))*2.291</f>
        <v>64.23276700000001</v>
      </c>
      <c r="E32" s="77">
        <f t="shared" ref="E32:E50" si="8">(IF(E$27="%w/w SAR",((E$28*10)*$B32),IF(E$27="%w/w DM",(((E$28*10)*($B$28/100))*$B32),IF(E$27="kg/t SAR",(E$28*$B32),IF(E$27="kg/t DM",((E$28*($B$28/100))*$B32),IF(E$27="mg/kg SAR",((E$28*0.001)*$B32),IF(E$27="mg/kg DM",(((E$28*0.001)*($B$28/100))*$B32),"0")))))))*1.205</f>
        <v>16.093980000000002</v>
      </c>
      <c r="F32" s="77">
        <f t="shared" ref="F32:F50" si="9">(IF(F$27="%w/w SAR",((F$28*10)*$B32),IF(F$27="%w/w DM",(((F$28*10)*($B$28/100))*$B32),IF(F$27="kg/t SAR",(F$28*$B32),IF(F$27="kg/t DM",((F$28*($B$28/100))*$B32),IF(F$27="mg/kg SAR",((F$28*0.001)*$B32),IF(F$27="mg/kg DM",(((F$28*0.001)*($B$28/100))*$B32),"0")))))))*1.658</f>
        <v>5.6678729999999993</v>
      </c>
      <c r="G32" s="77">
        <f t="shared" si="5"/>
        <v>6.4129999999999993E-2</v>
      </c>
      <c r="H32" s="77">
        <f t="shared" si="5"/>
        <v>0.12349</v>
      </c>
      <c r="I32" s="77">
        <f t="shared" si="5"/>
        <v>2.6499999999999999E-2</v>
      </c>
      <c r="J32" s="77">
        <f t="shared" si="5"/>
        <v>5.3000000000000009E-4</v>
      </c>
      <c r="K32" s="77">
        <f t="shared" si="5"/>
        <v>2.65E-3</v>
      </c>
      <c r="L32" s="77">
        <f t="shared" si="5"/>
        <v>1.06E-2</v>
      </c>
      <c r="M32" s="77">
        <f t="shared" si="5"/>
        <v>2.4909999999999998E-2</v>
      </c>
      <c r="N32" s="77">
        <f t="shared" si="5"/>
        <v>0</v>
      </c>
      <c r="O32" s="77">
        <f t="shared" si="5"/>
        <v>0</v>
      </c>
      <c r="P32" s="77">
        <f t="shared" si="5"/>
        <v>3.2701000000000002</v>
      </c>
      <c r="Q32" s="77">
        <f t="shared" ref="Q32:Q50" si="10">(IF(Q$27="%w/w SAR",((Q$28*10)*$B32),IF(Q$27="%w/w DM",(((Q$28*10)*($B$28/100))*$B32),IF(Q$27="kg/t SAR",(Q$28*$B32),IF(Q$27="kg/t DM",((Q$28*($B$28/100))*$B32),IF(Q$27="mg/kg SAR",((Q$28*0.001)*$B32),IF(Q$27="mg/kg DM",(((Q$28*0.001)*($B$28/100))*$B32),0)))))))*2.5</f>
        <v>23.452500000000001</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53</v>
      </c>
      <c r="C33" s="77">
        <f t="shared" si="6"/>
        <v>169.60000000000002</v>
      </c>
      <c r="D33" s="77">
        <f t="shared" si="7"/>
        <v>64.23276700000001</v>
      </c>
      <c r="E33" s="77">
        <f t="shared" si="8"/>
        <v>16.093980000000002</v>
      </c>
      <c r="F33" s="77">
        <f t="shared" si="9"/>
        <v>5.6678729999999993</v>
      </c>
      <c r="G33" s="77">
        <f t="shared" si="5"/>
        <v>6.4129999999999993E-2</v>
      </c>
      <c r="H33" s="77">
        <f t="shared" si="5"/>
        <v>0.12349</v>
      </c>
      <c r="I33" s="77">
        <f t="shared" si="5"/>
        <v>2.6499999999999999E-2</v>
      </c>
      <c r="J33" s="77">
        <f t="shared" si="5"/>
        <v>5.3000000000000009E-4</v>
      </c>
      <c r="K33" s="77">
        <f t="shared" si="5"/>
        <v>2.65E-3</v>
      </c>
      <c r="L33" s="77">
        <f t="shared" si="5"/>
        <v>1.06E-2</v>
      </c>
      <c r="M33" s="77">
        <f t="shared" si="5"/>
        <v>2.4909999999999998E-2</v>
      </c>
      <c r="N33" s="77">
        <f t="shared" si="5"/>
        <v>0</v>
      </c>
      <c r="O33" s="77">
        <f t="shared" si="5"/>
        <v>0</v>
      </c>
      <c r="P33" s="77">
        <f t="shared" si="5"/>
        <v>3.2701000000000002</v>
      </c>
      <c r="Q33" s="77">
        <f t="shared" si="10"/>
        <v>23.452500000000001</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53</v>
      </c>
      <c r="C34" s="77">
        <f t="shared" si="6"/>
        <v>169.60000000000002</v>
      </c>
      <c r="D34" s="77">
        <f t="shared" si="7"/>
        <v>64.23276700000001</v>
      </c>
      <c r="E34" s="77">
        <f t="shared" si="8"/>
        <v>16.093980000000002</v>
      </c>
      <c r="F34" s="77">
        <f t="shared" si="9"/>
        <v>5.6678729999999993</v>
      </c>
      <c r="G34" s="77">
        <f t="shared" si="5"/>
        <v>6.4129999999999993E-2</v>
      </c>
      <c r="H34" s="77">
        <f t="shared" si="5"/>
        <v>0.12349</v>
      </c>
      <c r="I34" s="77">
        <f t="shared" si="5"/>
        <v>2.6499999999999999E-2</v>
      </c>
      <c r="J34" s="77">
        <f t="shared" si="5"/>
        <v>5.3000000000000009E-4</v>
      </c>
      <c r="K34" s="77">
        <f t="shared" si="5"/>
        <v>2.65E-3</v>
      </c>
      <c r="L34" s="77">
        <f t="shared" si="5"/>
        <v>1.06E-2</v>
      </c>
      <c r="M34" s="77">
        <f t="shared" si="5"/>
        <v>2.4909999999999998E-2</v>
      </c>
      <c r="N34" s="77">
        <f t="shared" si="5"/>
        <v>0</v>
      </c>
      <c r="O34" s="77">
        <f t="shared" si="5"/>
        <v>0</v>
      </c>
      <c r="P34" s="77">
        <f t="shared" si="5"/>
        <v>3.2701000000000002</v>
      </c>
      <c r="Q34" s="77">
        <f t="shared" si="10"/>
        <v>23.452500000000001</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53</v>
      </c>
      <c r="C35" s="77">
        <f t="shared" si="6"/>
        <v>169.60000000000002</v>
      </c>
      <c r="D35" s="77">
        <f t="shared" si="7"/>
        <v>64.23276700000001</v>
      </c>
      <c r="E35" s="77">
        <f t="shared" si="8"/>
        <v>16.093980000000002</v>
      </c>
      <c r="F35" s="77">
        <f t="shared" si="9"/>
        <v>5.6678729999999993</v>
      </c>
      <c r="G35" s="77">
        <f t="shared" si="5"/>
        <v>6.4129999999999993E-2</v>
      </c>
      <c r="H35" s="77">
        <f t="shared" si="5"/>
        <v>0.12349</v>
      </c>
      <c r="I35" s="77">
        <f t="shared" si="5"/>
        <v>2.6499999999999999E-2</v>
      </c>
      <c r="J35" s="77">
        <f t="shared" si="5"/>
        <v>5.3000000000000009E-4</v>
      </c>
      <c r="K35" s="77">
        <f t="shared" si="5"/>
        <v>2.65E-3</v>
      </c>
      <c r="L35" s="77">
        <f t="shared" si="5"/>
        <v>1.06E-2</v>
      </c>
      <c r="M35" s="77">
        <f t="shared" si="5"/>
        <v>2.4909999999999998E-2</v>
      </c>
      <c r="N35" s="77">
        <f t="shared" si="5"/>
        <v>0</v>
      </c>
      <c r="O35" s="77">
        <f t="shared" si="5"/>
        <v>0</v>
      </c>
      <c r="P35" s="77">
        <f t="shared" si="5"/>
        <v>3.2701000000000002</v>
      </c>
      <c r="Q35" s="77">
        <f t="shared" si="10"/>
        <v>23.452500000000001</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53</v>
      </c>
      <c r="C36" s="77">
        <f t="shared" si="6"/>
        <v>169.60000000000002</v>
      </c>
      <c r="D36" s="77">
        <f t="shared" si="7"/>
        <v>64.23276700000001</v>
      </c>
      <c r="E36" s="77">
        <f t="shared" si="8"/>
        <v>16.093980000000002</v>
      </c>
      <c r="F36" s="77">
        <f t="shared" si="9"/>
        <v>5.6678729999999993</v>
      </c>
      <c r="G36" s="77">
        <f t="shared" si="5"/>
        <v>6.4129999999999993E-2</v>
      </c>
      <c r="H36" s="77">
        <f t="shared" si="5"/>
        <v>0.12349</v>
      </c>
      <c r="I36" s="77">
        <f t="shared" si="5"/>
        <v>2.6499999999999999E-2</v>
      </c>
      <c r="J36" s="77">
        <f t="shared" si="5"/>
        <v>5.3000000000000009E-4</v>
      </c>
      <c r="K36" s="77">
        <f t="shared" si="5"/>
        <v>2.65E-3</v>
      </c>
      <c r="L36" s="77">
        <f t="shared" si="5"/>
        <v>1.06E-2</v>
      </c>
      <c r="M36" s="77">
        <f t="shared" si="5"/>
        <v>2.4909999999999998E-2</v>
      </c>
      <c r="N36" s="77">
        <f t="shared" si="5"/>
        <v>0</v>
      </c>
      <c r="O36" s="77">
        <f t="shared" si="5"/>
        <v>0</v>
      </c>
      <c r="P36" s="77">
        <f t="shared" si="5"/>
        <v>3.2701000000000002</v>
      </c>
      <c r="Q36" s="77">
        <f t="shared" si="10"/>
        <v>23.452500000000001</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8</v>
      </c>
      <c r="B37" s="15">
        <v>53</v>
      </c>
      <c r="C37" s="77">
        <f t="shared" si="6"/>
        <v>169.60000000000002</v>
      </c>
      <c r="D37" s="77">
        <f t="shared" si="7"/>
        <v>64.23276700000001</v>
      </c>
      <c r="E37" s="77">
        <f t="shared" si="8"/>
        <v>16.093980000000002</v>
      </c>
      <c r="F37" s="77">
        <f t="shared" si="9"/>
        <v>5.6678729999999993</v>
      </c>
      <c r="G37" s="77">
        <f t="shared" si="5"/>
        <v>6.4129999999999993E-2</v>
      </c>
      <c r="H37" s="77">
        <f t="shared" si="5"/>
        <v>0.12349</v>
      </c>
      <c r="I37" s="77">
        <f t="shared" si="5"/>
        <v>2.6499999999999999E-2</v>
      </c>
      <c r="J37" s="77">
        <f t="shared" si="5"/>
        <v>5.3000000000000009E-4</v>
      </c>
      <c r="K37" s="77">
        <f t="shared" si="5"/>
        <v>2.65E-3</v>
      </c>
      <c r="L37" s="77">
        <f t="shared" si="5"/>
        <v>1.06E-2</v>
      </c>
      <c r="M37" s="77">
        <f t="shared" si="5"/>
        <v>2.4909999999999998E-2</v>
      </c>
      <c r="N37" s="77">
        <f t="shared" si="5"/>
        <v>0</v>
      </c>
      <c r="O37" s="77">
        <f t="shared" si="5"/>
        <v>0</v>
      </c>
      <c r="P37" s="77">
        <f t="shared" si="5"/>
        <v>3.2701000000000002</v>
      </c>
      <c r="Q37" s="77">
        <f t="shared" si="10"/>
        <v>23.452500000000001</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7</v>
      </c>
      <c r="B38" s="15">
        <v>53</v>
      </c>
      <c r="C38" s="77">
        <f t="shared" si="6"/>
        <v>169.60000000000002</v>
      </c>
      <c r="D38" s="77">
        <f t="shared" si="7"/>
        <v>64.23276700000001</v>
      </c>
      <c r="E38" s="77">
        <f t="shared" si="8"/>
        <v>16.093980000000002</v>
      </c>
      <c r="F38" s="77">
        <f t="shared" si="9"/>
        <v>5.6678729999999993</v>
      </c>
      <c r="G38" s="77">
        <f t="shared" si="5"/>
        <v>6.4129999999999993E-2</v>
      </c>
      <c r="H38" s="77">
        <f t="shared" si="5"/>
        <v>0.12349</v>
      </c>
      <c r="I38" s="77">
        <f t="shared" si="5"/>
        <v>2.6499999999999999E-2</v>
      </c>
      <c r="J38" s="77">
        <f t="shared" si="5"/>
        <v>5.3000000000000009E-4</v>
      </c>
      <c r="K38" s="77">
        <f t="shared" si="5"/>
        <v>2.65E-3</v>
      </c>
      <c r="L38" s="77">
        <f t="shared" si="5"/>
        <v>1.06E-2</v>
      </c>
      <c r="M38" s="77">
        <f t="shared" si="5"/>
        <v>2.4909999999999998E-2</v>
      </c>
      <c r="N38" s="77">
        <f t="shared" si="5"/>
        <v>0</v>
      </c>
      <c r="O38" s="77">
        <f t="shared" si="5"/>
        <v>0</v>
      </c>
      <c r="P38" s="77">
        <f t="shared" si="5"/>
        <v>3.2701000000000002</v>
      </c>
      <c r="Q38" s="77">
        <f t="shared" si="10"/>
        <v>23.452500000000001</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v>53</v>
      </c>
      <c r="C39" s="77">
        <f t="shared" si="6"/>
        <v>169.60000000000002</v>
      </c>
      <c r="D39" s="77">
        <f t="shared" si="7"/>
        <v>64.23276700000001</v>
      </c>
      <c r="E39" s="77">
        <f t="shared" si="8"/>
        <v>16.093980000000002</v>
      </c>
      <c r="F39" s="77">
        <f t="shared" si="9"/>
        <v>5.6678729999999993</v>
      </c>
      <c r="G39" s="77">
        <f t="shared" si="5"/>
        <v>6.4129999999999993E-2</v>
      </c>
      <c r="H39" s="77">
        <f t="shared" si="5"/>
        <v>0.12349</v>
      </c>
      <c r="I39" s="77">
        <f t="shared" si="5"/>
        <v>2.6499999999999999E-2</v>
      </c>
      <c r="J39" s="77">
        <f t="shared" si="5"/>
        <v>5.3000000000000009E-4</v>
      </c>
      <c r="K39" s="77">
        <f t="shared" si="5"/>
        <v>2.65E-3</v>
      </c>
      <c r="L39" s="77">
        <f t="shared" si="5"/>
        <v>1.06E-2</v>
      </c>
      <c r="M39" s="77">
        <f t="shared" si="5"/>
        <v>2.4909999999999998E-2</v>
      </c>
      <c r="N39" s="77">
        <f t="shared" si="5"/>
        <v>0</v>
      </c>
      <c r="O39" s="77">
        <f t="shared" si="5"/>
        <v>0</v>
      </c>
      <c r="P39" s="77">
        <f t="shared" si="5"/>
        <v>3.2701000000000002</v>
      </c>
      <c r="Q39" s="77">
        <f t="shared" si="10"/>
        <v>23.452500000000001</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v>53</v>
      </c>
      <c r="C40" s="77">
        <f t="shared" si="6"/>
        <v>169.60000000000002</v>
      </c>
      <c r="D40" s="77">
        <f t="shared" si="7"/>
        <v>64.23276700000001</v>
      </c>
      <c r="E40" s="77">
        <f t="shared" si="8"/>
        <v>16.093980000000002</v>
      </c>
      <c r="F40" s="77">
        <f t="shared" si="9"/>
        <v>5.6678729999999993</v>
      </c>
      <c r="G40" s="77">
        <f t="shared" si="5"/>
        <v>6.4129999999999993E-2</v>
      </c>
      <c r="H40" s="77">
        <f t="shared" si="5"/>
        <v>0.12349</v>
      </c>
      <c r="I40" s="77">
        <f t="shared" si="5"/>
        <v>2.6499999999999999E-2</v>
      </c>
      <c r="J40" s="77">
        <f t="shared" si="5"/>
        <v>5.3000000000000009E-4</v>
      </c>
      <c r="K40" s="77">
        <f t="shared" si="5"/>
        <v>2.65E-3</v>
      </c>
      <c r="L40" s="77">
        <f t="shared" si="5"/>
        <v>1.06E-2</v>
      </c>
      <c r="M40" s="77">
        <f t="shared" si="5"/>
        <v>2.4909999999999998E-2</v>
      </c>
      <c r="N40" s="77">
        <f t="shared" si="5"/>
        <v>0</v>
      </c>
      <c r="O40" s="77">
        <f t="shared" si="5"/>
        <v>0</v>
      </c>
      <c r="P40" s="77">
        <f t="shared" si="5"/>
        <v>3.2701000000000002</v>
      </c>
      <c r="Q40" s="77">
        <f t="shared" si="10"/>
        <v>23.452500000000001</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11</v>
      </c>
      <c r="B41" s="15">
        <v>53</v>
      </c>
      <c r="C41" s="77">
        <f t="shared" si="6"/>
        <v>169.60000000000002</v>
      </c>
      <c r="D41" s="77">
        <f t="shared" si="7"/>
        <v>64.23276700000001</v>
      </c>
      <c r="E41" s="77">
        <f t="shared" si="8"/>
        <v>16.093980000000002</v>
      </c>
      <c r="F41" s="77">
        <f t="shared" si="9"/>
        <v>5.6678729999999993</v>
      </c>
      <c r="G41" s="77">
        <f t="shared" si="5"/>
        <v>6.4129999999999993E-2</v>
      </c>
      <c r="H41" s="77">
        <f t="shared" si="5"/>
        <v>0.12349</v>
      </c>
      <c r="I41" s="77">
        <f t="shared" si="5"/>
        <v>2.6499999999999999E-2</v>
      </c>
      <c r="J41" s="77">
        <f t="shared" si="5"/>
        <v>5.3000000000000009E-4</v>
      </c>
      <c r="K41" s="77">
        <f t="shared" si="5"/>
        <v>2.65E-3</v>
      </c>
      <c r="L41" s="77">
        <f t="shared" si="5"/>
        <v>1.06E-2</v>
      </c>
      <c r="M41" s="77">
        <f t="shared" si="5"/>
        <v>2.4909999999999998E-2</v>
      </c>
      <c r="N41" s="77">
        <f t="shared" si="5"/>
        <v>0</v>
      </c>
      <c r="O41" s="77">
        <f t="shared" si="5"/>
        <v>0</v>
      </c>
      <c r="P41" s="77">
        <f t="shared" si="5"/>
        <v>3.2701000000000002</v>
      </c>
      <c r="Q41" s="77">
        <f t="shared" si="10"/>
        <v>23.452500000000001</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12</v>
      </c>
      <c r="B42" s="15">
        <v>53</v>
      </c>
      <c r="C42" s="77">
        <f t="shared" si="6"/>
        <v>169.60000000000002</v>
      </c>
      <c r="D42" s="77">
        <f t="shared" si="7"/>
        <v>64.23276700000001</v>
      </c>
      <c r="E42" s="77">
        <f t="shared" si="8"/>
        <v>16.093980000000002</v>
      </c>
      <c r="F42" s="77">
        <f t="shared" si="9"/>
        <v>5.6678729999999993</v>
      </c>
      <c r="G42" s="77">
        <f t="shared" si="5"/>
        <v>6.4129999999999993E-2</v>
      </c>
      <c r="H42" s="77">
        <f t="shared" si="5"/>
        <v>0.12349</v>
      </c>
      <c r="I42" s="77">
        <f t="shared" si="5"/>
        <v>2.6499999999999999E-2</v>
      </c>
      <c r="J42" s="77">
        <f t="shared" si="5"/>
        <v>5.3000000000000009E-4</v>
      </c>
      <c r="K42" s="77">
        <f t="shared" si="5"/>
        <v>2.65E-3</v>
      </c>
      <c r="L42" s="77">
        <f t="shared" si="5"/>
        <v>1.06E-2</v>
      </c>
      <c r="M42" s="77">
        <f t="shared" si="5"/>
        <v>2.4909999999999998E-2</v>
      </c>
      <c r="N42" s="77">
        <f t="shared" si="5"/>
        <v>0</v>
      </c>
      <c r="O42" s="77">
        <f t="shared" si="5"/>
        <v>0</v>
      </c>
      <c r="P42" s="77">
        <f t="shared" si="5"/>
        <v>3.2701000000000002</v>
      </c>
      <c r="Q42" s="77">
        <f t="shared" si="10"/>
        <v>23.452500000000001</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13</v>
      </c>
      <c r="B43" s="15">
        <v>53</v>
      </c>
      <c r="C43" s="77">
        <f t="shared" si="6"/>
        <v>169.60000000000002</v>
      </c>
      <c r="D43" s="77">
        <f t="shared" si="7"/>
        <v>64.23276700000001</v>
      </c>
      <c r="E43" s="77">
        <f t="shared" si="8"/>
        <v>16.093980000000002</v>
      </c>
      <c r="F43" s="77">
        <f t="shared" si="9"/>
        <v>5.6678729999999993</v>
      </c>
      <c r="G43" s="77">
        <f t="shared" si="5"/>
        <v>6.4129999999999993E-2</v>
      </c>
      <c r="H43" s="77">
        <f t="shared" si="5"/>
        <v>0.12349</v>
      </c>
      <c r="I43" s="77">
        <f t="shared" si="5"/>
        <v>2.6499999999999999E-2</v>
      </c>
      <c r="J43" s="77">
        <f t="shared" si="5"/>
        <v>5.3000000000000009E-4</v>
      </c>
      <c r="K43" s="77">
        <f t="shared" si="5"/>
        <v>2.65E-3</v>
      </c>
      <c r="L43" s="77">
        <f t="shared" si="5"/>
        <v>1.06E-2</v>
      </c>
      <c r="M43" s="77">
        <f t="shared" si="5"/>
        <v>2.4909999999999998E-2</v>
      </c>
      <c r="N43" s="77">
        <f t="shared" si="5"/>
        <v>0</v>
      </c>
      <c r="O43" s="77">
        <f t="shared" si="5"/>
        <v>0</v>
      </c>
      <c r="P43" s="77">
        <f t="shared" si="5"/>
        <v>3.2701000000000002</v>
      </c>
      <c r="Q43" s="77">
        <f t="shared" si="10"/>
        <v>23.452500000000001</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t="str">
        <f>P8</f>
        <v>7a</v>
      </c>
      <c r="B44" s="15">
        <v>53</v>
      </c>
      <c r="C44" s="77">
        <f t="shared" si="6"/>
        <v>169.60000000000002</v>
      </c>
      <c r="D44" s="77">
        <f t="shared" si="7"/>
        <v>64.23276700000001</v>
      </c>
      <c r="E44" s="77">
        <f t="shared" si="8"/>
        <v>16.093980000000002</v>
      </c>
      <c r="F44" s="77">
        <f t="shared" si="9"/>
        <v>5.6678729999999993</v>
      </c>
      <c r="G44" s="77">
        <f t="shared" si="5"/>
        <v>6.4129999999999993E-2</v>
      </c>
      <c r="H44" s="77">
        <f t="shared" si="5"/>
        <v>0.12349</v>
      </c>
      <c r="I44" s="77">
        <f t="shared" si="5"/>
        <v>2.6499999999999999E-2</v>
      </c>
      <c r="J44" s="77">
        <f t="shared" si="5"/>
        <v>5.3000000000000009E-4</v>
      </c>
      <c r="K44" s="77">
        <f t="shared" si="5"/>
        <v>2.65E-3</v>
      </c>
      <c r="L44" s="77">
        <f t="shared" si="5"/>
        <v>1.06E-2</v>
      </c>
      <c r="M44" s="77">
        <f t="shared" si="5"/>
        <v>2.4909999999999998E-2</v>
      </c>
      <c r="N44" s="77">
        <f t="shared" si="5"/>
        <v>0</v>
      </c>
      <c r="O44" s="77">
        <f t="shared" si="5"/>
        <v>0</v>
      </c>
      <c r="P44" s="77">
        <f t="shared" si="5"/>
        <v>3.2701000000000002</v>
      </c>
      <c r="Q44" s="77">
        <f t="shared" si="10"/>
        <v>23.452500000000001</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8</v>
      </c>
      <c r="I57" s="8">
        <f t="shared" si="13"/>
        <v>7</v>
      </c>
      <c r="J57" s="8">
        <f t="shared" si="13"/>
        <v>9</v>
      </c>
      <c r="K57" s="8">
        <f t="shared" si="13"/>
        <v>10</v>
      </c>
      <c r="L57" s="8">
        <f t="shared" si="13"/>
        <v>11</v>
      </c>
      <c r="M57" s="8">
        <f t="shared" si="13"/>
        <v>12</v>
      </c>
      <c r="N57" s="8">
        <f t="shared" si="13"/>
        <v>13</v>
      </c>
      <c r="O57" s="8" t="str">
        <f t="shared" si="13"/>
        <v>7a</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"&amp;(VLOOKUP(C14,Table24581113[],6,FALSE))</f>
        <v>Sandy Loam I Grass</v>
      </c>
      <c r="C58" s="13" t="str">
        <f>D16&amp;" I "&amp;(VLOOKUP(D14,Table24581113[],6,FALSE))</f>
        <v>Sandy Loam I Grass</v>
      </c>
      <c r="D58" s="13" t="str">
        <f>E16&amp;" I "&amp;(VLOOKUP(E14,Table24581113[],6,FALSE))</f>
        <v>Sandy Loam I Grass</v>
      </c>
      <c r="E58" s="13" t="str">
        <f>F16&amp;" I "&amp;(VLOOKUP(F14,Table24581113[],6,FALSE))</f>
        <v>Sandy Loam I Arable</v>
      </c>
      <c r="F58" s="13" t="str">
        <f>G16&amp;" I "&amp;(VLOOKUP(G14,Table24581113[],6,FALSE))</f>
        <v>Sandy Loam I Grass</v>
      </c>
      <c r="G58" s="13" t="str">
        <f>H16&amp;" I "&amp;(VLOOKUP(H14,Table24581113[],6,FALSE))</f>
        <v>Sandy Loam I Grass</v>
      </c>
      <c r="H58" s="13" t="str">
        <f>I16&amp;" I "&amp;(VLOOKUP(I14,Table24581113[],6,FALSE))</f>
        <v>Sandy Loam I Grass</v>
      </c>
      <c r="I58" s="13" t="str">
        <f>J16&amp;" I "&amp;(VLOOKUP(J14,Table24581113[],6,FALSE))</f>
        <v>Sandy Loam I Grass</v>
      </c>
      <c r="J58" s="13" t="str">
        <f>K16&amp;" I "&amp;(VLOOKUP(K14,Table24581113[],6,FALSE))</f>
        <v>Sandy Loam I Grass</v>
      </c>
      <c r="K58" s="13" t="str">
        <f>L16&amp;" I "&amp;(VLOOKUP(L14,Table24581113[],6,FALSE))</f>
        <v>Sandy Loam I Grass</v>
      </c>
      <c r="L58" s="13" t="str">
        <f>M16&amp;" I "&amp;(VLOOKUP(M14,Table24581113[],6,FALSE))</f>
        <v>Sandy Loam I Grass</v>
      </c>
      <c r="M58" s="13" t="str">
        <f>N16&amp;" I "&amp;(VLOOKUP(N14,Table24581113[],6,FALSE))</f>
        <v>Sandy Loam I Grass</v>
      </c>
      <c r="N58" s="13" t="str">
        <f>O16&amp;" I "&amp;(VLOOKUP(O14,Table24581113[],6,FALSE))</f>
        <v>Sandy Loam I Grass</v>
      </c>
      <c r="O58" s="13" t="str">
        <f>P16&amp;" I "&amp;(VLOOKUP(P14,Table24581113[],6,FALSE))</f>
        <v>Sandy Loam I Arable</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132</v>
      </c>
      <c r="B59" s="76">
        <f>VLOOKUP(C$14,Table24581113[],5,FALSE)</f>
        <v>6.2</v>
      </c>
      <c r="C59" s="76">
        <f>VLOOKUP(D$14,Table24581113[],5,FALSE)</f>
        <v>6.2</v>
      </c>
      <c r="D59" s="76">
        <f>VLOOKUP(E$14,Table24581113[],5,FALSE)</f>
        <v>6.2</v>
      </c>
      <c r="E59" s="76">
        <f>VLOOKUP(F$14,Table24581113[],5,FALSE)</f>
        <v>6.7</v>
      </c>
      <c r="F59" s="76">
        <f>VLOOKUP(G$14,Table24581113[],5,FALSE)</f>
        <v>6.2</v>
      </c>
      <c r="G59" s="76">
        <f>VLOOKUP(H$14,Table24581113[],5,FALSE)</f>
        <v>6.2</v>
      </c>
      <c r="H59" s="76">
        <f>VLOOKUP(I$14,Table24581113[],5,FALSE)</f>
        <v>6.2</v>
      </c>
      <c r="I59" s="76">
        <f>VLOOKUP(J$14,Table24581113[],5,FALSE)</f>
        <v>6.2</v>
      </c>
      <c r="J59" s="76">
        <f>VLOOKUP(K$14,Table24581113[],5,FALSE)</f>
        <v>6.2</v>
      </c>
      <c r="K59" s="76">
        <f>VLOOKUP(L$14,Table24581113[],5,FALSE)</f>
        <v>6.2</v>
      </c>
      <c r="L59" s="76">
        <f>VLOOKUP(M$14,Table24581113[],5,FALSE)</f>
        <v>6.2</v>
      </c>
      <c r="M59" s="76">
        <f>VLOOKUP(N$14,Table24581113[],5,FALSE)</f>
        <v>6.2</v>
      </c>
      <c r="N59" s="76">
        <f>VLOOKUP(O$14,Table24581113[],5,FALSE)</f>
        <v>6.2</v>
      </c>
      <c r="O59" s="76">
        <f>VLOOKUP(P$14,Table24581113[],5,FALSE)</f>
        <v>6.7</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6.2</v>
      </c>
      <c r="C60" s="76">
        <f t="shared" ref="C60:U60" si="14">D10</f>
        <v>6</v>
      </c>
      <c r="D60" s="76">
        <f t="shared" si="14"/>
        <v>7</v>
      </c>
      <c r="E60" s="76">
        <f t="shared" si="14"/>
        <v>6.1</v>
      </c>
      <c r="F60" s="76">
        <f t="shared" si="14"/>
        <v>6.5</v>
      </c>
      <c r="G60" s="76">
        <f t="shared" si="14"/>
        <v>6.5</v>
      </c>
      <c r="H60" s="76">
        <f t="shared" si="14"/>
        <v>6.1</v>
      </c>
      <c r="I60" s="76">
        <f t="shared" si="14"/>
        <v>6.1</v>
      </c>
      <c r="J60" s="76">
        <f t="shared" si="14"/>
        <v>6.6</v>
      </c>
      <c r="K60" s="76">
        <f t="shared" si="14"/>
        <v>6.7</v>
      </c>
      <c r="L60" s="76">
        <f t="shared" si="14"/>
        <v>6.7</v>
      </c>
      <c r="M60" s="76">
        <f t="shared" si="14"/>
        <v>6.5</v>
      </c>
      <c r="N60" s="76">
        <f t="shared" si="14"/>
        <v>6.7</v>
      </c>
      <c r="O60" s="76">
        <f t="shared" si="14"/>
        <v>6.5</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5</v>
      </c>
      <c r="C61" s="76">
        <f t="shared" si="15"/>
        <v>5</v>
      </c>
      <c r="D61" s="76">
        <f t="shared" si="15"/>
        <v>5</v>
      </c>
      <c r="E61" s="76">
        <f t="shared" si="15"/>
        <v>7</v>
      </c>
      <c r="F61" s="76">
        <f t="shared" si="15"/>
        <v>5</v>
      </c>
      <c r="G61" s="76">
        <f t="shared" si="15"/>
        <v>5</v>
      </c>
      <c r="H61" s="76">
        <f t="shared" si="15"/>
        <v>5</v>
      </c>
      <c r="I61" s="76">
        <f t="shared" si="15"/>
        <v>5</v>
      </c>
      <c r="J61" s="76">
        <f t="shared" si="15"/>
        <v>5</v>
      </c>
      <c r="K61" s="76">
        <f t="shared" si="15"/>
        <v>5</v>
      </c>
      <c r="L61" s="76">
        <f t="shared" si="15"/>
        <v>5</v>
      </c>
      <c r="M61" s="76">
        <f t="shared" si="15"/>
        <v>5</v>
      </c>
      <c r="N61" s="76">
        <f t="shared" si="15"/>
        <v>5</v>
      </c>
      <c r="O61" s="76">
        <f t="shared" si="15"/>
        <v>7</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53</v>
      </c>
      <c r="C62" s="77">
        <f>B32</f>
        <v>53</v>
      </c>
      <c r="D62" s="77">
        <f>B33</f>
        <v>53</v>
      </c>
      <c r="E62" s="77">
        <f>B34</f>
        <v>53</v>
      </c>
      <c r="F62" s="77">
        <f>B35</f>
        <v>53</v>
      </c>
      <c r="G62" s="77">
        <f>B36</f>
        <v>53</v>
      </c>
      <c r="H62" s="77">
        <f>B37</f>
        <v>53</v>
      </c>
      <c r="I62" s="77">
        <f>B38</f>
        <v>53</v>
      </c>
      <c r="J62" s="77">
        <f>B39</f>
        <v>53</v>
      </c>
      <c r="K62" s="77">
        <f>B40</f>
        <v>53</v>
      </c>
      <c r="L62" s="77">
        <f>B41</f>
        <v>53</v>
      </c>
      <c r="M62" s="77">
        <f>B42</f>
        <v>53</v>
      </c>
      <c r="N62" s="77">
        <f>B43</f>
        <v>53</v>
      </c>
      <c r="O62" s="77">
        <f>B44</f>
        <v>53</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1.0000000000000009</v>
      </c>
      <c r="D64" s="77">
        <f t="shared" si="17"/>
        <v>-3.9999999999999991</v>
      </c>
      <c r="E64" s="77">
        <f t="shared" si="17"/>
        <v>4.2000000000000037</v>
      </c>
      <c r="F64" s="77">
        <f t="shared" si="17"/>
        <v>-1.4999999999999991</v>
      </c>
      <c r="G64" s="77">
        <f t="shared" si="17"/>
        <v>-1.4999999999999991</v>
      </c>
      <c r="H64" s="77">
        <f t="shared" si="17"/>
        <v>0.50000000000000266</v>
      </c>
      <c r="I64" s="77">
        <f t="shared" si="17"/>
        <v>0.50000000000000266</v>
      </c>
      <c r="J64" s="77">
        <f t="shared" si="17"/>
        <v>-1.9999999999999973</v>
      </c>
      <c r="K64" s="77">
        <f t="shared" si="17"/>
        <v>-2.5</v>
      </c>
      <c r="L64" s="77">
        <f t="shared" si="17"/>
        <v>-2.5</v>
      </c>
      <c r="M64" s="77">
        <f t="shared" si="17"/>
        <v>-1.4999999999999991</v>
      </c>
      <c r="N64" s="77">
        <f t="shared" si="17"/>
        <v>-2.5</v>
      </c>
      <c r="O64" s="77">
        <f t="shared" si="17"/>
        <v>1.4000000000000012</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-1.0000000000000009</v>
      </c>
      <c r="D65" s="77">
        <f t="shared" si="18"/>
        <v>3.9999999999999991</v>
      </c>
      <c r="E65" s="77">
        <f t="shared" si="18"/>
        <v>-4.2000000000000037</v>
      </c>
      <c r="F65" s="77">
        <f t="shared" si="18"/>
        <v>1.4999999999999991</v>
      </c>
      <c r="G65" s="77">
        <f t="shared" si="18"/>
        <v>1.4999999999999991</v>
      </c>
      <c r="H65" s="77">
        <f t="shared" si="18"/>
        <v>-0.50000000000000266</v>
      </c>
      <c r="I65" s="77">
        <f t="shared" si="18"/>
        <v>-0.50000000000000266</v>
      </c>
      <c r="J65" s="77">
        <f t="shared" si="18"/>
        <v>1.9999999999999973</v>
      </c>
      <c r="K65" s="77">
        <f t="shared" si="18"/>
        <v>2.5</v>
      </c>
      <c r="L65" s="77">
        <f t="shared" si="18"/>
        <v>2.5</v>
      </c>
      <c r="M65" s="77">
        <f t="shared" si="18"/>
        <v>1.4999999999999991</v>
      </c>
      <c r="N65" s="77">
        <f t="shared" si="18"/>
        <v>2.5</v>
      </c>
      <c r="O65" s="77">
        <f t="shared" si="18"/>
        <v>-1.4000000000000012</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OVER</v>
      </c>
      <c r="E66" s="78" t="str">
        <f t="shared" si="19"/>
        <v>UNDER</v>
      </c>
      <c r="F66" s="78" t="str">
        <f t="shared" si="19"/>
        <v>OVER</v>
      </c>
      <c r="G66" s="78" t="str">
        <f t="shared" si="19"/>
        <v>OVER</v>
      </c>
      <c r="H66" s="78" t="str">
        <f t="shared" si="19"/>
        <v>UNDER</v>
      </c>
      <c r="I66" s="78" t="str">
        <f t="shared" si="19"/>
        <v>UNDER</v>
      </c>
      <c r="J66" s="78" t="str">
        <f t="shared" si="19"/>
        <v>OVER</v>
      </c>
      <c r="K66" s="78" t="str">
        <f t="shared" si="19"/>
        <v>OVER</v>
      </c>
      <c r="L66" s="78" t="str">
        <f t="shared" si="19"/>
        <v>OVER</v>
      </c>
      <c r="M66" s="78" t="str">
        <f t="shared" si="19"/>
        <v>OVER</v>
      </c>
      <c r="N66" s="78" t="str">
        <f t="shared" si="19"/>
        <v>OVER</v>
      </c>
      <c r="O66" s="78" t="str">
        <f t="shared" si="19"/>
        <v>UNDER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62:U66 B31:B50">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topLeftCell="A25" zoomScale="90" zoomScaleNormal="90" workbookViewId="0">
      <selection activeCell="B32" sqref="B32:B4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9" t="s">
        <v>41</v>
      </c>
      <c r="B1" s="129"/>
      <c r="C1" s="142" t="str">
        <f>'Field data and Waste 1'!C1:D1</f>
        <v>PAN-019532</v>
      </c>
      <c r="D1" s="143"/>
      <c r="E1" s="93" t="s">
        <v>45</v>
      </c>
      <c r="F1" s="39">
        <f>'Field data and Waste 1'!F1</f>
        <v>18.100000000000001</v>
      </c>
      <c r="G1" s="125" t="s">
        <v>43</v>
      </c>
      <c r="H1" s="126"/>
      <c r="I1" s="120">
        <v>3.82</v>
      </c>
      <c r="J1" s="129" t="s">
        <v>153</v>
      </c>
      <c r="K1" s="129"/>
      <c r="L1" s="120">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9" t="s">
        <v>87</v>
      </c>
      <c r="B2" s="129"/>
      <c r="C2" s="144" t="str">
        <f>'Field data and Waste 1'!C2:D2</f>
        <v>EPR-KP3594VE</v>
      </c>
      <c r="D2" s="145"/>
      <c r="E2" s="93" t="s">
        <v>109</v>
      </c>
      <c r="F2" s="120" t="s">
        <v>169</v>
      </c>
      <c r="G2" s="127" t="s">
        <v>110</v>
      </c>
      <c r="H2" s="128"/>
      <c r="I2" s="120">
        <v>598</v>
      </c>
      <c r="J2" s="129" t="s">
        <v>158</v>
      </c>
      <c r="K2" s="129"/>
      <c r="L2" s="120">
        <v>0.17</v>
      </c>
      <c r="AB2" s="30" t="s">
        <v>56</v>
      </c>
      <c r="AC2" s="17"/>
      <c r="AD2" s="30" t="s">
        <v>70</v>
      </c>
      <c r="AE2" s="17"/>
      <c r="AF2" s="17"/>
      <c r="AG2" s="44" t="s">
        <v>76</v>
      </c>
      <c r="AH2" s="18"/>
      <c r="AI2" s="45" t="s">
        <v>126</v>
      </c>
      <c r="AJ2" s="46">
        <v>0</v>
      </c>
      <c r="AK2" s="47">
        <v>0</v>
      </c>
      <c r="AL2" s="10">
        <v>0</v>
      </c>
      <c r="AM2" s="11">
        <v>0</v>
      </c>
      <c r="AN2" s="11">
        <v>0</v>
      </c>
    </row>
    <row r="3" spans="1:41" ht="13" x14ac:dyDescent="0.25">
      <c r="A3" s="125" t="s">
        <v>42</v>
      </c>
      <c r="B3" s="126"/>
      <c r="C3" s="144" t="str">
        <f>'Field data and Waste 1'!C3:D3</f>
        <v xml:space="preserve">Trade effluent services </v>
      </c>
      <c r="D3" s="145"/>
      <c r="E3" s="93" t="s">
        <v>108</v>
      </c>
      <c r="F3" s="31" t="s">
        <v>78</v>
      </c>
      <c r="G3" s="129" t="s">
        <v>159</v>
      </c>
      <c r="H3" s="129"/>
      <c r="I3" s="120">
        <v>31020</v>
      </c>
      <c r="J3" s="125" t="s">
        <v>154</v>
      </c>
      <c r="K3" s="126"/>
      <c r="L3" s="97">
        <f>(L1/(L2*10000))*100</f>
        <v>1.4705882352941175</v>
      </c>
      <c r="AB3" s="30" t="s">
        <v>57</v>
      </c>
      <c r="AC3" s="17"/>
      <c r="AD3" s="30" t="s">
        <v>71</v>
      </c>
      <c r="AE3" s="17"/>
      <c r="AF3" s="17"/>
      <c r="AG3" s="44" t="s">
        <v>77</v>
      </c>
      <c r="AH3" s="18"/>
      <c r="AI3" s="48" t="s">
        <v>113</v>
      </c>
      <c r="AJ3" s="49">
        <v>1.7</v>
      </c>
      <c r="AK3" s="50">
        <v>6</v>
      </c>
      <c r="AL3" s="51">
        <v>1</v>
      </c>
      <c r="AM3" s="11">
        <v>6.2</v>
      </c>
      <c r="AN3" s="11" t="s">
        <v>112</v>
      </c>
    </row>
    <row r="4" spans="1:41" ht="13" x14ac:dyDescent="0.25">
      <c r="A4" s="129" t="s">
        <v>0</v>
      </c>
      <c r="B4" s="129"/>
      <c r="C4" s="142" t="str">
        <f>'Field data and Waste 1'!C4:D4</f>
        <v>Play Yn Llan, Llangynhafal, LL16 4LN</v>
      </c>
      <c r="D4" s="143"/>
      <c r="E4" s="94" t="s">
        <v>1</v>
      </c>
      <c r="F4" s="120" t="s">
        <v>178</v>
      </c>
      <c r="G4" s="125"/>
      <c r="H4" s="126"/>
      <c r="I4" s="39"/>
      <c r="J4" s="125"/>
      <c r="K4" s="126"/>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9" t="s">
        <v>47</v>
      </c>
      <c r="B5" s="129"/>
      <c r="C5" s="142" t="str">
        <f>'Field data and Waste 1'!C5:D5</f>
        <v xml:space="preserve">Ethan Banfield </v>
      </c>
      <c r="D5" s="143"/>
      <c r="E5" s="93"/>
      <c r="F5" s="39"/>
      <c r="G5" s="125"/>
      <c r="H5" s="126"/>
      <c r="I5" s="39"/>
      <c r="J5" s="125"/>
      <c r="K5" s="126"/>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9" t="s">
        <v>2</v>
      </c>
      <c r="B8" s="129"/>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8</v>
      </c>
      <c r="J8" s="60">
        <f>'Field data and Waste 1'!J8</f>
        <v>7</v>
      </c>
      <c r="K8" s="60">
        <f>'Field data and Waste 1'!K8</f>
        <v>9</v>
      </c>
      <c r="L8" s="60">
        <f>'Field data and Waste 1'!L8</f>
        <v>10</v>
      </c>
      <c r="M8" s="60">
        <f>'Field data and Waste 1'!M8</f>
        <v>11</v>
      </c>
      <c r="N8" s="60">
        <f>'Field data and Waste 1'!N8</f>
        <v>12</v>
      </c>
      <c r="O8" s="60">
        <f>'Field data and Waste 1'!O8</f>
        <v>13</v>
      </c>
      <c r="P8" s="60" t="str">
        <f>'Field data and Waste 1'!P8</f>
        <v>7a</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9" t="s">
        <v>3</v>
      </c>
      <c r="B9" s="129"/>
      <c r="C9" s="60" t="str">
        <f>'Field data and Waste 1'!C9</f>
        <v>Moderate</v>
      </c>
      <c r="D9" s="60" t="str">
        <f>'Field data and Waste 1'!D9</f>
        <v>Moderate</v>
      </c>
      <c r="E9" s="60" t="str">
        <f>'Field data and Waste 1'!E9</f>
        <v>moderate</v>
      </c>
      <c r="F9" s="60">
        <f>'Field data and Waste 1'!F9</f>
        <v>1</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f>'Field data and Waste 1'!P9</f>
        <v>1</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9" t="s">
        <v>4</v>
      </c>
      <c r="B10" s="129"/>
      <c r="C10" s="60">
        <f>'Field data and Waste 1'!C10</f>
        <v>6.2</v>
      </c>
      <c r="D10" s="60">
        <f>'Field data and Waste 1'!D10</f>
        <v>6</v>
      </c>
      <c r="E10" s="60">
        <f>'Field data and Waste 1'!E10</f>
        <v>7</v>
      </c>
      <c r="F10" s="60">
        <f>'Field data and Waste 1'!F10</f>
        <v>6.1</v>
      </c>
      <c r="G10" s="60">
        <f>'Field data and Waste 1'!G10</f>
        <v>6.5</v>
      </c>
      <c r="H10" s="60">
        <f>'Field data and Waste 1'!H10</f>
        <v>6.5</v>
      </c>
      <c r="I10" s="60">
        <f>'Field data and Waste 1'!I10</f>
        <v>6.1</v>
      </c>
      <c r="J10" s="60">
        <f>'Field data and Waste 1'!J10</f>
        <v>6.1</v>
      </c>
      <c r="K10" s="60">
        <f>'Field data and Waste 1'!K10</f>
        <v>6.6</v>
      </c>
      <c r="L10" s="60">
        <f>'Field data and Waste 1'!L10</f>
        <v>6.7</v>
      </c>
      <c r="M10" s="60">
        <f>'Field data and Waste 1'!M10</f>
        <v>6.7</v>
      </c>
      <c r="N10" s="60">
        <f>'Field data and Waste 1'!N10</f>
        <v>6.5</v>
      </c>
      <c r="O10" s="60">
        <f>'Field data and Waste 1'!O10</f>
        <v>6.7</v>
      </c>
      <c r="P10" s="60">
        <f>'Field data and Waste 1'!P10</f>
        <v>6.5</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9" t="s">
        <v>5</v>
      </c>
      <c r="B11" s="129"/>
      <c r="C11" s="60">
        <f>'Field data and Waste 1'!C11</f>
        <v>2</v>
      </c>
      <c r="D11" s="60">
        <f>'Field data and Waste 1'!D11</f>
        <v>1</v>
      </c>
      <c r="E11" s="60">
        <f>'Field data and Waste 1'!E11</f>
        <v>1</v>
      </c>
      <c r="F11" s="60">
        <f>'Field data and Waste 1'!F11</f>
        <v>2</v>
      </c>
      <c r="G11" s="60">
        <f>'Field data and Waste 1'!G11</f>
        <v>1</v>
      </c>
      <c r="H11" s="60">
        <f>'Field data and Waste 1'!H11</f>
        <v>2</v>
      </c>
      <c r="I11" s="60">
        <f>'Field data and Waste 1'!I11</f>
        <v>1</v>
      </c>
      <c r="J11" s="60">
        <f>'Field data and Waste 1'!J11</f>
        <v>1</v>
      </c>
      <c r="K11" s="60">
        <f>'Field data and Waste 1'!K11</f>
        <v>0</v>
      </c>
      <c r="L11" s="60">
        <f>'Field data and Waste 1'!L11</f>
        <v>0</v>
      </c>
      <c r="M11" s="60">
        <f>'Field data and Waste 1'!M11</f>
        <v>1</v>
      </c>
      <c r="N11" s="60">
        <f>'Field data and Waste 1'!N11</f>
        <v>1</v>
      </c>
      <c r="O11" s="60">
        <f>'Field data and Waste 1'!O11</f>
        <v>1</v>
      </c>
      <c r="P11" s="60">
        <f>'Field data and Waste 1'!P11</f>
        <v>3</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9" t="s">
        <v>6</v>
      </c>
      <c r="B12" s="129"/>
      <c r="C12" s="60">
        <f>'Field data and Waste 1'!C12</f>
        <v>2</v>
      </c>
      <c r="D12" s="60">
        <f>'Field data and Waste 1'!D12</f>
        <v>2</v>
      </c>
      <c r="E12" s="60">
        <f>'Field data and Waste 1'!E12</f>
        <v>1</v>
      </c>
      <c r="F12" s="60">
        <f>'Field data and Waste 1'!F12</f>
        <v>1</v>
      </c>
      <c r="G12" s="60">
        <f>'Field data and Waste 1'!G12</f>
        <v>2</v>
      </c>
      <c r="H12" s="60">
        <f>'Field data and Waste 1'!H12</f>
        <v>3</v>
      </c>
      <c r="I12" s="60">
        <f>'Field data and Waste 1'!I12</f>
        <v>3</v>
      </c>
      <c r="J12" s="60">
        <f>'Field data and Waste 1'!J12</f>
        <v>2</v>
      </c>
      <c r="K12" s="60">
        <f>'Field data and Waste 1'!K12</f>
        <v>2</v>
      </c>
      <c r="L12" s="60">
        <f>'Field data and Waste 1'!L12</f>
        <v>1</v>
      </c>
      <c r="M12" s="60">
        <f>'Field data and Waste 1'!M12</f>
        <v>1</v>
      </c>
      <c r="N12" s="60">
        <f>'Field data and Waste 1'!N12</f>
        <v>2</v>
      </c>
      <c r="O12" s="60">
        <f>'Field data and Waste 1'!O12</f>
        <v>2</v>
      </c>
      <c r="P12" s="60">
        <f>'Field data and Waste 1'!P12</f>
        <v>3</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9" t="s">
        <v>7</v>
      </c>
      <c r="B13" s="129"/>
      <c r="C13" s="60">
        <f>'Field data and Waste 1'!C13</f>
        <v>2</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2</v>
      </c>
      <c r="L13" s="60">
        <f>'Field data and Waste 1'!L13</f>
        <v>3</v>
      </c>
      <c r="M13" s="60">
        <f>'Field data and Waste 1'!M13</f>
        <v>2</v>
      </c>
      <c r="N13" s="60">
        <f>'Field data and Waste 1'!N13</f>
        <v>2</v>
      </c>
      <c r="O13" s="60">
        <f>'Field data and Waste 1'!O13</f>
        <v>2</v>
      </c>
      <c r="P13" s="60">
        <f>'Field data and Waste 1'!P13</f>
        <v>3</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8" t="s">
        <v>8</v>
      </c>
      <c r="B14" s="138"/>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Maize- Silage (30% DM)</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Maize- Silage (30% DM)</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7" t="s">
        <v>9</v>
      </c>
      <c r="B15" s="137"/>
      <c r="C15" s="60">
        <f>'Field data and Waste 1'!C15</f>
        <v>38</v>
      </c>
      <c r="D15" s="60">
        <f>'Field data and Waste 1'!D15</f>
        <v>38</v>
      </c>
      <c r="E15" s="60">
        <f>'Field data and Waste 1'!E15</f>
        <v>38</v>
      </c>
      <c r="F15" s="60">
        <f>'Field data and Waste 1'!F15</f>
        <v>40</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40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9" t="s">
        <v>44</v>
      </c>
      <c r="B16" s="139"/>
      <c r="C16" s="103" t="str">
        <f>'Field data and Waste 1'!C16</f>
        <v>Sandy Loam</v>
      </c>
      <c r="D16" s="103" t="str">
        <f>'Field data and Waste 1'!D16</f>
        <v>Sandy Loam</v>
      </c>
      <c r="E16" s="103" t="str">
        <f>'Field data and Waste 1'!E16</f>
        <v>Sandy Loam</v>
      </c>
      <c r="F16" s="103" t="str">
        <f>'Field data and Waste 1'!F16</f>
        <v>Sandy Loam</v>
      </c>
      <c r="G16" s="103" t="str">
        <f>'Field data and Waste 1'!G16</f>
        <v>Sandy Loam</v>
      </c>
      <c r="H16" s="103" t="str">
        <f>'Field data and Waste 1'!H16</f>
        <v>Sandy Loam</v>
      </c>
      <c r="I16" s="103" t="str">
        <f>'Field data and Waste 1'!I16</f>
        <v>Sandy Loam</v>
      </c>
      <c r="J16" s="103" t="str">
        <f>'Field data and Waste 1'!J16</f>
        <v>Sandy Loam</v>
      </c>
      <c r="K16" s="103" t="str">
        <f>'Field data and Waste 1'!K16</f>
        <v>Sandy Loam</v>
      </c>
      <c r="L16" s="103" t="str">
        <f>'Field data and Waste 1'!L16</f>
        <v>Sandy Loam</v>
      </c>
      <c r="M16" s="103" t="str">
        <f>'Field data and Waste 1'!M16</f>
        <v>Sandy Loam</v>
      </c>
      <c r="N16" s="103" t="str">
        <f>'Field data and Waste 1'!N16</f>
        <v>Sandy Loam</v>
      </c>
      <c r="O16" s="103" t="str">
        <f>'Field data and Waste 1'!O16</f>
        <v>Sandy Loam</v>
      </c>
      <c r="P16" s="103" t="str">
        <f>'Field data and Waste 1'!P16</f>
        <v>Sandy Loam</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5" t="s">
        <v>69</v>
      </c>
      <c r="B17" s="136"/>
      <c r="C17" s="28">
        <f>(VLOOKUP(C$14,$AI2:$AK26,2,FALSE))*C$15</f>
        <v>64.599999999999994</v>
      </c>
      <c r="D17" s="28">
        <f t="shared" ref="D17:V17" si="0">(VLOOKUP(D$14,$AI2:$AK26,2,FALSE))*D$15</f>
        <v>64.599999999999994</v>
      </c>
      <c r="E17" s="28">
        <f t="shared" si="0"/>
        <v>64.599999999999994</v>
      </c>
      <c r="F17" s="28">
        <f t="shared" si="0"/>
        <v>56</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56</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3" t="s">
        <v>23</v>
      </c>
      <c r="B18" s="134"/>
      <c r="C18" s="16">
        <f>$D31</f>
        <v>64.468739999999997</v>
      </c>
      <c r="D18" s="16">
        <f>$D32</f>
        <v>64.468739999999997</v>
      </c>
      <c r="E18" s="16">
        <f>$D33</f>
        <v>64.468739999999997</v>
      </c>
      <c r="F18" s="16">
        <f>$D34</f>
        <v>64.468739999999997</v>
      </c>
      <c r="G18" s="16">
        <f>$D35</f>
        <v>64.468739999999997</v>
      </c>
      <c r="H18" s="16">
        <f>$D36</f>
        <v>64.468739999999997</v>
      </c>
      <c r="I18" s="16">
        <f>$D37</f>
        <v>64.468739999999997</v>
      </c>
      <c r="J18" s="16">
        <f>$D38</f>
        <v>64.468739999999997</v>
      </c>
      <c r="K18" s="16">
        <f>$D39</f>
        <v>64.468739999999997</v>
      </c>
      <c r="L18" s="16">
        <f>$D40</f>
        <v>64.468739999999997</v>
      </c>
      <c r="M18" s="16">
        <f>$D41</f>
        <v>64.468739999999997</v>
      </c>
      <c r="N18" s="16">
        <f>$D42</f>
        <v>64.468739999999997</v>
      </c>
      <c r="O18" s="16">
        <f>$D43</f>
        <v>64.468739999999997</v>
      </c>
      <c r="P18" s="16">
        <f>$D44</f>
        <v>64.468739999999997</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3" t="s">
        <v>90</v>
      </c>
      <c r="B19" s="134"/>
      <c r="C19" s="16">
        <f>C18-C17</f>
        <v>-0.13125999999999749</v>
      </c>
      <c r="D19" s="16">
        <f t="shared" ref="D19:V19" si="1">D18-D17</f>
        <v>-0.13125999999999749</v>
      </c>
      <c r="E19" s="16">
        <f t="shared" si="1"/>
        <v>-0.13125999999999749</v>
      </c>
      <c r="F19" s="16">
        <f t="shared" si="1"/>
        <v>8.4687399999999968</v>
      </c>
      <c r="G19" s="16">
        <f t="shared" si="1"/>
        <v>-0.13125999999999749</v>
      </c>
      <c r="H19" s="16">
        <f t="shared" si="1"/>
        <v>-0.13125999999999749</v>
      </c>
      <c r="I19" s="16">
        <f t="shared" si="1"/>
        <v>-0.13125999999999749</v>
      </c>
      <c r="J19" s="16">
        <f t="shared" si="1"/>
        <v>-0.13125999999999749</v>
      </c>
      <c r="K19" s="16">
        <f t="shared" si="1"/>
        <v>-0.13125999999999749</v>
      </c>
      <c r="L19" s="16">
        <f t="shared" si="1"/>
        <v>-0.13125999999999749</v>
      </c>
      <c r="M19" s="16">
        <f t="shared" si="1"/>
        <v>-0.13125999999999749</v>
      </c>
      <c r="N19" s="16">
        <f t="shared" si="1"/>
        <v>-0.13125999999999749</v>
      </c>
      <c r="O19" s="16">
        <f t="shared" si="1"/>
        <v>-0.13125999999999749</v>
      </c>
      <c r="P19" s="16">
        <f t="shared" si="1"/>
        <v>8.4687399999999968</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1" t="s">
        <v>91</v>
      </c>
      <c r="B20" s="132"/>
      <c r="C20" s="26" t="str">
        <f>IF($B31="","",IF(C$19&gt;=0,"INCREASE","DECREASE"))</f>
        <v>DECREASE</v>
      </c>
      <c r="D20" s="26" t="str">
        <f>IF($B32="","",IF(D$19&gt;=0,"INCREASE","DECREASE"))</f>
        <v>DECREASE</v>
      </c>
      <c r="E20" s="26" t="str">
        <f>IF($B33="","",IF(E$19&gt;=0,"INCREASE","DECREASE"))</f>
        <v>DECREASE</v>
      </c>
      <c r="F20" s="26" t="str">
        <f>IF($B34="","",IF(F$19&gt;=0,"INCREASE","DECREASE"))</f>
        <v>INCREASE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INCREASE</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5" t="s">
        <v>88</v>
      </c>
      <c r="B21" s="136"/>
      <c r="C21" s="28">
        <f>(VLOOKUP(C$14,$AI2:$AK26,3,FALSE))*C$15</f>
        <v>228</v>
      </c>
      <c r="D21" s="28">
        <f t="shared" ref="D21:V21" si="2">(VLOOKUP(D$14,$AI2:$AK26,3,FALSE))*D$15</f>
        <v>228</v>
      </c>
      <c r="E21" s="28">
        <f t="shared" si="2"/>
        <v>228</v>
      </c>
      <c r="F21" s="28">
        <f t="shared" si="2"/>
        <v>176</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176</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3" t="s">
        <v>89</v>
      </c>
      <c r="B22" s="134"/>
      <c r="C22" s="16">
        <f>$E31</f>
        <v>34.752200000000009</v>
      </c>
      <c r="D22" s="16">
        <f>$E32</f>
        <v>34.752200000000009</v>
      </c>
      <c r="E22" s="16">
        <f>$E33</f>
        <v>34.752200000000009</v>
      </c>
      <c r="F22" s="16">
        <f>$E34</f>
        <v>34.752200000000009</v>
      </c>
      <c r="G22" s="16">
        <f>$E35</f>
        <v>34.752200000000009</v>
      </c>
      <c r="H22" s="16">
        <f>$E36</f>
        <v>34.752200000000009</v>
      </c>
      <c r="I22" s="16">
        <f>$E37</f>
        <v>34.752200000000009</v>
      </c>
      <c r="J22" s="16">
        <f>$E38</f>
        <v>34.752200000000009</v>
      </c>
      <c r="K22" s="16">
        <f>$E39</f>
        <v>34.752200000000009</v>
      </c>
      <c r="L22" s="16">
        <f>$E40</f>
        <v>34.752200000000009</v>
      </c>
      <c r="M22" s="16">
        <f>$E41</f>
        <v>34.752200000000009</v>
      </c>
      <c r="N22" s="16">
        <f>$E42</f>
        <v>34.752200000000009</v>
      </c>
      <c r="O22" s="16">
        <f>$E43</f>
        <v>34.752200000000009</v>
      </c>
      <c r="P22" s="16">
        <f>$E44</f>
        <v>34.752200000000009</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3" t="s">
        <v>92</v>
      </c>
      <c r="B23" s="134"/>
      <c r="C23" s="16">
        <f>C22-C21</f>
        <v>-193.24779999999998</v>
      </c>
      <c r="D23" s="16">
        <f t="shared" ref="D23:V23" si="3">D22-D21</f>
        <v>-193.24779999999998</v>
      </c>
      <c r="E23" s="16">
        <f t="shared" si="3"/>
        <v>-193.24779999999998</v>
      </c>
      <c r="F23" s="16">
        <f t="shared" si="3"/>
        <v>-141.24779999999998</v>
      </c>
      <c r="G23" s="16">
        <f t="shared" si="3"/>
        <v>-193.24779999999998</v>
      </c>
      <c r="H23" s="16">
        <f t="shared" si="3"/>
        <v>-193.24779999999998</v>
      </c>
      <c r="I23" s="16">
        <f t="shared" si="3"/>
        <v>-193.24779999999998</v>
      </c>
      <c r="J23" s="16">
        <f t="shared" si="3"/>
        <v>-193.24779999999998</v>
      </c>
      <c r="K23" s="16">
        <f t="shared" si="3"/>
        <v>-193.24779999999998</v>
      </c>
      <c r="L23" s="16">
        <f t="shared" si="3"/>
        <v>-193.24779999999998</v>
      </c>
      <c r="M23" s="16">
        <f t="shared" si="3"/>
        <v>-193.24779999999998</v>
      </c>
      <c r="N23" s="16">
        <f t="shared" si="3"/>
        <v>-193.24779999999998</v>
      </c>
      <c r="O23" s="16">
        <f t="shared" si="3"/>
        <v>-193.24779999999998</v>
      </c>
      <c r="P23" s="16">
        <f t="shared" si="3"/>
        <v>-141.24779999999998</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1" t="s">
        <v>93</v>
      </c>
      <c r="B24" s="132"/>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35">
      <c r="A28" s="108"/>
      <c r="B28" s="24">
        <v>7.29</v>
      </c>
      <c r="C28" s="15">
        <v>0.17</v>
      </c>
      <c r="D28" s="15">
        <v>201</v>
      </c>
      <c r="E28" s="15">
        <v>206</v>
      </c>
      <c r="F28" s="15">
        <v>52.5</v>
      </c>
      <c r="G28" s="15">
        <v>0.35499999999999998</v>
      </c>
      <c r="H28" s="15">
        <v>2.33</v>
      </c>
      <c r="I28" s="15">
        <v>0.5</v>
      </c>
      <c r="J28" s="15">
        <v>0.01</v>
      </c>
      <c r="K28" s="23">
        <v>0.05</v>
      </c>
      <c r="L28" s="15">
        <v>0.214</v>
      </c>
      <c r="M28" s="15">
        <v>0.51400000000000001</v>
      </c>
      <c r="N28" s="15"/>
      <c r="O28" s="15"/>
      <c r="P28" s="15">
        <v>414</v>
      </c>
      <c r="Q28" s="15">
        <v>229</v>
      </c>
      <c r="R28" s="15"/>
      <c r="S28" s="15"/>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140</v>
      </c>
      <c r="C31" s="77">
        <f>IF(C$27="%w/w SAR",((C$28*10)*$B31),IF(C$27="%w/w DM",(((C$28*10)*($B$28/100))*$B31),IF(C$27="kg/t SAR",(C$28*$B31),IF(C$27="kg/t DM",((C$28*($B$28/100))*$B31),IF(C$27="mg/kg SAR",((C$28*0.001)*$B31),IF(C$27="mg/kg DM",(((C$28*0.001)*($B$28/100))*$B31),0))))))</f>
        <v>238.00000000000003</v>
      </c>
      <c r="D31" s="77">
        <f>(IF(D$27="%w/w SAR",((D$28*10)*$B31),IF(D$27="%w/w DM",(((D$28*10)*($B$28/100))*$B31),IF(D$27="kg/t SAR",(D$28*$B31),IF(D$27="kg/t DM",((D$28*($B$28/100))*$B31),IF(D$27="mg/kg SAR",((D$28*0.001)*$B31),IF(D$27="mg/kg DM",(((D$28*0.001)*($B$28/100))*$B31),"0")))))))*2.291</f>
        <v>64.468739999999997</v>
      </c>
      <c r="E31" s="77">
        <f>(IF(E$27="%w/w SAR",((E$28*10)*$B31),IF(E$27="%w/w DM",(((E$28*10)*($B$28/100))*$B31),IF(E$27="kg/t SAR",(E$28*$B31),IF(E$27="kg/t DM",((E$28*($B$28/100))*$B31),IF(E$27="mg/kg SAR",((E$28*0.001)*$B31),IF(E$27="mg/kg DM",(((E$28*0.001)*($B$28/100))*$B31),"0")))))))*1.205</f>
        <v>34.752200000000009</v>
      </c>
      <c r="F31" s="77">
        <f>(IF(F$27="%w/w SAR",((F$28*10)*$B31),IF(F$27="%w/w DM",(((F$28*10)*($B$28/100))*$B31),IF(F$27="kg/t SAR",(F$28*$B31),IF(F$27="kg/t DM",((F$28*($B$28/100))*$B31),IF(F$27="mg/kg SAR",((F$28*0.001)*$B31),IF(F$27="mg/kg DM",(((F$28*0.001)*($B$28/100))*$B31),"0")))))))*1.658</f>
        <v>12.186299999999999</v>
      </c>
      <c r="G31" s="77">
        <f t="shared" ref="G31:P46" si="5">IF(G$27="%w/w SAR",((G$28*10)*$B31),IF(G$27="%w/w DM",(((G$28*10)*($B$28/100))*$B31),IF(G$27="kg/t SAR",(G$28*$B31),IF(G$27="kg/t DM",((G$28*($B$28/100))*$B31),IF(G$27="mg/kg SAR",((G$28*0.001)*$B31),IF(G$27="mg/kg DM",(((G$28*0.001)*($B$28/100))*$B31),0))))))</f>
        <v>4.9700000000000001E-2</v>
      </c>
      <c r="H31" s="77">
        <f t="shared" si="5"/>
        <v>0.32619999999999999</v>
      </c>
      <c r="I31" s="77">
        <f t="shared" si="5"/>
        <v>7.0000000000000007E-2</v>
      </c>
      <c r="J31" s="77">
        <f t="shared" si="5"/>
        <v>1.4000000000000002E-3</v>
      </c>
      <c r="K31" s="77">
        <f t="shared" si="5"/>
        <v>7.0000000000000001E-3</v>
      </c>
      <c r="L31" s="77">
        <f t="shared" si="5"/>
        <v>2.9960000000000001E-2</v>
      </c>
      <c r="M31" s="77">
        <f t="shared" si="5"/>
        <v>7.196000000000001E-2</v>
      </c>
      <c r="N31" s="77">
        <f t="shared" si="5"/>
        <v>0</v>
      </c>
      <c r="O31" s="77">
        <f t="shared" si="5"/>
        <v>0</v>
      </c>
      <c r="P31" s="77">
        <f t="shared" si="5"/>
        <v>57.960000000000008</v>
      </c>
      <c r="Q31" s="77">
        <f>(IF(Q$27="%w/w SAR",((Q$28*10)*$B31),IF(Q$27="%w/w DM",(((Q$28*10)*($B$28/100))*$B31),IF(Q$27="kg/t SAR",(Q$28*$B31),IF(Q$27="kg/t DM",((Q$28*($B$28/100))*$B31),IF(Q$27="mg/kg SAR",((Q$28*0.001)*$B31),IF(Q$27="mg/kg DM",(((Q$28*0.001)*($B$28/100))*$B31),0)))))))*2.5</f>
        <v>80.150000000000006</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140</v>
      </c>
      <c r="C32" s="77">
        <f t="shared" ref="C32:C50" si="6">IF(C$27="%w/w SAR",((C$28*10)*$B32),IF(C$27="%w/w DM",(((C$28*10)*($B$28/100))*$B32),IF(C$27="kg/t SAR",(C$28*$B32),IF(C$27="kg/t DM",((C$28*($B$28/100))*$B32),IF(C$27="mg/kg SAR",((C$28*0.001)*$B32),IF(C$27="mg/kg DM",(((C$28*0.001)*($B$28/100))*$B32),0))))))</f>
        <v>238.00000000000003</v>
      </c>
      <c r="D32" s="77">
        <f t="shared" ref="D32:D50" si="7">(IF(D$27="%w/w SAR",((D$28*10)*$B32),IF(D$27="%w/w DM",(((D$28*10)*($B$28/100))*$B32),IF(D$27="kg/t SAR",(D$28*$B32),IF(D$27="kg/t DM",((D$28*($B$28/100))*$B32),IF(D$27="mg/kg SAR",((D$28*0.001)*$B32),IF(D$27="mg/kg DM",(((D$28*0.001)*($B$28/100))*$B32),"0")))))))*2.291</f>
        <v>64.468739999999997</v>
      </c>
      <c r="E32" s="77">
        <f t="shared" ref="E32:E50" si="8">(IF(E$27="%w/w SAR",((E$28*10)*$B32),IF(E$27="%w/w DM",(((E$28*10)*($B$28/100))*$B32),IF(E$27="kg/t SAR",(E$28*$B32),IF(E$27="kg/t DM",((E$28*($B$28/100))*$B32),IF(E$27="mg/kg SAR",((E$28*0.001)*$B32),IF(E$27="mg/kg DM",(((E$28*0.001)*($B$28/100))*$B32),"0")))))))*1.205</f>
        <v>34.752200000000009</v>
      </c>
      <c r="F32" s="77">
        <f t="shared" ref="F32:F50" si="9">(IF(F$27="%w/w SAR",((F$28*10)*$B32),IF(F$27="%w/w DM",(((F$28*10)*($B$28/100))*$B32),IF(F$27="kg/t SAR",(F$28*$B32),IF(F$27="kg/t DM",((F$28*($B$28/100))*$B32),IF(F$27="mg/kg SAR",((F$28*0.001)*$B32),IF(F$27="mg/kg DM",(((F$28*0.001)*($B$28/100))*$B32),"0")))))))*1.658</f>
        <v>12.186299999999999</v>
      </c>
      <c r="G32" s="77">
        <f t="shared" si="5"/>
        <v>4.9700000000000001E-2</v>
      </c>
      <c r="H32" s="77">
        <f t="shared" si="5"/>
        <v>0.32619999999999999</v>
      </c>
      <c r="I32" s="77">
        <f t="shared" si="5"/>
        <v>7.0000000000000007E-2</v>
      </c>
      <c r="J32" s="77">
        <f t="shared" si="5"/>
        <v>1.4000000000000002E-3</v>
      </c>
      <c r="K32" s="77">
        <f t="shared" si="5"/>
        <v>7.0000000000000001E-3</v>
      </c>
      <c r="L32" s="77">
        <f t="shared" si="5"/>
        <v>2.9960000000000001E-2</v>
      </c>
      <c r="M32" s="77">
        <f t="shared" si="5"/>
        <v>7.196000000000001E-2</v>
      </c>
      <c r="N32" s="77">
        <f t="shared" si="5"/>
        <v>0</v>
      </c>
      <c r="O32" s="77">
        <f t="shared" si="5"/>
        <v>0</v>
      </c>
      <c r="P32" s="77">
        <f t="shared" si="5"/>
        <v>57.960000000000008</v>
      </c>
      <c r="Q32" s="77">
        <f t="shared" ref="Q32:Q50" si="10">(IF(Q$27="%w/w SAR",((Q$28*10)*$B32),IF(Q$27="%w/w DM",(((Q$28*10)*($B$28/100))*$B32),IF(Q$27="kg/t SAR",(Q$28*$B32),IF(Q$27="kg/t DM",((Q$28*($B$28/100))*$B32),IF(Q$27="mg/kg SAR",((Q$28*0.001)*$B32),IF(Q$27="mg/kg DM",(((Q$28*0.001)*($B$28/100))*$B32),0)))))))*2.5</f>
        <v>80.150000000000006</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140</v>
      </c>
      <c r="C33" s="77">
        <f t="shared" si="6"/>
        <v>238.00000000000003</v>
      </c>
      <c r="D33" s="77">
        <f t="shared" si="7"/>
        <v>64.468739999999997</v>
      </c>
      <c r="E33" s="77">
        <f t="shared" si="8"/>
        <v>34.752200000000009</v>
      </c>
      <c r="F33" s="77">
        <f t="shared" si="9"/>
        <v>12.186299999999999</v>
      </c>
      <c r="G33" s="77">
        <f t="shared" si="5"/>
        <v>4.9700000000000001E-2</v>
      </c>
      <c r="H33" s="77">
        <f t="shared" si="5"/>
        <v>0.32619999999999999</v>
      </c>
      <c r="I33" s="77">
        <f t="shared" si="5"/>
        <v>7.0000000000000007E-2</v>
      </c>
      <c r="J33" s="77">
        <f t="shared" si="5"/>
        <v>1.4000000000000002E-3</v>
      </c>
      <c r="K33" s="77">
        <f t="shared" si="5"/>
        <v>7.0000000000000001E-3</v>
      </c>
      <c r="L33" s="77">
        <f t="shared" si="5"/>
        <v>2.9960000000000001E-2</v>
      </c>
      <c r="M33" s="77">
        <f t="shared" si="5"/>
        <v>7.196000000000001E-2</v>
      </c>
      <c r="N33" s="77">
        <f t="shared" si="5"/>
        <v>0</v>
      </c>
      <c r="O33" s="77">
        <f t="shared" si="5"/>
        <v>0</v>
      </c>
      <c r="P33" s="77">
        <f t="shared" si="5"/>
        <v>57.960000000000008</v>
      </c>
      <c r="Q33" s="77">
        <f t="shared" si="10"/>
        <v>80.150000000000006</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140</v>
      </c>
      <c r="C34" s="77">
        <f t="shared" si="6"/>
        <v>238.00000000000003</v>
      </c>
      <c r="D34" s="77">
        <f t="shared" si="7"/>
        <v>64.468739999999997</v>
      </c>
      <c r="E34" s="77">
        <f t="shared" si="8"/>
        <v>34.752200000000009</v>
      </c>
      <c r="F34" s="77">
        <f t="shared" si="9"/>
        <v>12.186299999999999</v>
      </c>
      <c r="G34" s="77">
        <f t="shared" si="5"/>
        <v>4.9700000000000001E-2</v>
      </c>
      <c r="H34" s="77">
        <f t="shared" si="5"/>
        <v>0.32619999999999999</v>
      </c>
      <c r="I34" s="77">
        <f t="shared" si="5"/>
        <v>7.0000000000000007E-2</v>
      </c>
      <c r="J34" s="77">
        <f t="shared" si="5"/>
        <v>1.4000000000000002E-3</v>
      </c>
      <c r="K34" s="77">
        <f t="shared" si="5"/>
        <v>7.0000000000000001E-3</v>
      </c>
      <c r="L34" s="77">
        <f t="shared" si="5"/>
        <v>2.9960000000000001E-2</v>
      </c>
      <c r="M34" s="77">
        <f t="shared" si="5"/>
        <v>7.196000000000001E-2</v>
      </c>
      <c r="N34" s="77">
        <f t="shared" si="5"/>
        <v>0</v>
      </c>
      <c r="O34" s="77">
        <f t="shared" si="5"/>
        <v>0</v>
      </c>
      <c r="P34" s="77">
        <f t="shared" si="5"/>
        <v>57.960000000000008</v>
      </c>
      <c r="Q34" s="77">
        <f t="shared" si="10"/>
        <v>80.150000000000006</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140</v>
      </c>
      <c r="C35" s="77">
        <f t="shared" si="6"/>
        <v>238.00000000000003</v>
      </c>
      <c r="D35" s="77">
        <f t="shared" si="7"/>
        <v>64.468739999999997</v>
      </c>
      <c r="E35" s="77">
        <f t="shared" si="8"/>
        <v>34.752200000000009</v>
      </c>
      <c r="F35" s="77">
        <f t="shared" si="9"/>
        <v>12.186299999999999</v>
      </c>
      <c r="G35" s="77">
        <f t="shared" si="5"/>
        <v>4.9700000000000001E-2</v>
      </c>
      <c r="H35" s="77">
        <f t="shared" si="5"/>
        <v>0.32619999999999999</v>
      </c>
      <c r="I35" s="77">
        <f t="shared" si="5"/>
        <v>7.0000000000000007E-2</v>
      </c>
      <c r="J35" s="77">
        <f t="shared" si="5"/>
        <v>1.4000000000000002E-3</v>
      </c>
      <c r="K35" s="77">
        <f t="shared" si="5"/>
        <v>7.0000000000000001E-3</v>
      </c>
      <c r="L35" s="77">
        <f t="shared" si="5"/>
        <v>2.9960000000000001E-2</v>
      </c>
      <c r="M35" s="77">
        <f t="shared" si="5"/>
        <v>7.196000000000001E-2</v>
      </c>
      <c r="N35" s="77">
        <f t="shared" si="5"/>
        <v>0</v>
      </c>
      <c r="O35" s="77">
        <f t="shared" si="5"/>
        <v>0</v>
      </c>
      <c r="P35" s="77">
        <f t="shared" si="5"/>
        <v>57.960000000000008</v>
      </c>
      <c r="Q35" s="77">
        <f t="shared" si="10"/>
        <v>80.150000000000006</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140</v>
      </c>
      <c r="C36" s="77">
        <f t="shared" si="6"/>
        <v>238.00000000000003</v>
      </c>
      <c r="D36" s="77">
        <f t="shared" si="7"/>
        <v>64.468739999999997</v>
      </c>
      <c r="E36" s="77">
        <f t="shared" si="8"/>
        <v>34.752200000000009</v>
      </c>
      <c r="F36" s="77">
        <f t="shared" si="9"/>
        <v>12.186299999999999</v>
      </c>
      <c r="G36" s="77">
        <f t="shared" si="5"/>
        <v>4.9700000000000001E-2</v>
      </c>
      <c r="H36" s="77">
        <f t="shared" si="5"/>
        <v>0.32619999999999999</v>
      </c>
      <c r="I36" s="77">
        <f t="shared" si="5"/>
        <v>7.0000000000000007E-2</v>
      </c>
      <c r="J36" s="77">
        <f t="shared" si="5"/>
        <v>1.4000000000000002E-3</v>
      </c>
      <c r="K36" s="77">
        <f t="shared" si="5"/>
        <v>7.0000000000000001E-3</v>
      </c>
      <c r="L36" s="77">
        <f t="shared" si="5"/>
        <v>2.9960000000000001E-2</v>
      </c>
      <c r="M36" s="77">
        <f t="shared" si="5"/>
        <v>7.196000000000001E-2</v>
      </c>
      <c r="N36" s="77">
        <f t="shared" si="5"/>
        <v>0</v>
      </c>
      <c r="O36" s="77">
        <f t="shared" si="5"/>
        <v>0</v>
      </c>
      <c r="P36" s="77">
        <f t="shared" si="5"/>
        <v>57.960000000000008</v>
      </c>
      <c r="Q36" s="77">
        <f t="shared" si="10"/>
        <v>80.150000000000006</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8</v>
      </c>
      <c r="B37" s="15">
        <v>140</v>
      </c>
      <c r="C37" s="77">
        <f t="shared" si="6"/>
        <v>238.00000000000003</v>
      </c>
      <c r="D37" s="77">
        <f t="shared" si="7"/>
        <v>64.468739999999997</v>
      </c>
      <c r="E37" s="77">
        <f t="shared" si="8"/>
        <v>34.752200000000009</v>
      </c>
      <c r="F37" s="77">
        <f t="shared" si="9"/>
        <v>12.186299999999999</v>
      </c>
      <c r="G37" s="77">
        <f t="shared" si="5"/>
        <v>4.9700000000000001E-2</v>
      </c>
      <c r="H37" s="77">
        <f t="shared" si="5"/>
        <v>0.32619999999999999</v>
      </c>
      <c r="I37" s="77">
        <f t="shared" si="5"/>
        <v>7.0000000000000007E-2</v>
      </c>
      <c r="J37" s="77">
        <f t="shared" si="5"/>
        <v>1.4000000000000002E-3</v>
      </c>
      <c r="K37" s="77">
        <f t="shared" si="5"/>
        <v>7.0000000000000001E-3</v>
      </c>
      <c r="L37" s="77">
        <f t="shared" si="5"/>
        <v>2.9960000000000001E-2</v>
      </c>
      <c r="M37" s="77">
        <f t="shared" si="5"/>
        <v>7.196000000000001E-2</v>
      </c>
      <c r="N37" s="77">
        <f t="shared" si="5"/>
        <v>0</v>
      </c>
      <c r="O37" s="77">
        <f t="shared" si="5"/>
        <v>0</v>
      </c>
      <c r="P37" s="77">
        <f t="shared" si="5"/>
        <v>57.960000000000008</v>
      </c>
      <c r="Q37" s="77">
        <f t="shared" si="10"/>
        <v>80.150000000000006</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7</v>
      </c>
      <c r="B38" s="15">
        <v>140</v>
      </c>
      <c r="C38" s="77">
        <f t="shared" si="6"/>
        <v>238.00000000000003</v>
      </c>
      <c r="D38" s="77">
        <f t="shared" si="7"/>
        <v>64.468739999999997</v>
      </c>
      <c r="E38" s="77">
        <f t="shared" si="8"/>
        <v>34.752200000000009</v>
      </c>
      <c r="F38" s="77">
        <f t="shared" si="9"/>
        <v>12.186299999999999</v>
      </c>
      <c r="G38" s="77">
        <f t="shared" si="5"/>
        <v>4.9700000000000001E-2</v>
      </c>
      <c r="H38" s="77">
        <f t="shared" si="5"/>
        <v>0.32619999999999999</v>
      </c>
      <c r="I38" s="77">
        <f t="shared" si="5"/>
        <v>7.0000000000000007E-2</v>
      </c>
      <c r="J38" s="77">
        <f t="shared" si="5"/>
        <v>1.4000000000000002E-3</v>
      </c>
      <c r="K38" s="77">
        <f t="shared" si="5"/>
        <v>7.0000000000000001E-3</v>
      </c>
      <c r="L38" s="77">
        <f t="shared" si="5"/>
        <v>2.9960000000000001E-2</v>
      </c>
      <c r="M38" s="77">
        <f t="shared" si="5"/>
        <v>7.196000000000001E-2</v>
      </c>
      <c r="N38" s="77">
        <f t="shared" si="5"/>
        <v>0</v>
      </c>
      <c r="O38" s="77">
        <f t="shared" si="5"/>
        <v>0</v>
      </c>
      <c r="P38" s="77">
        <f t="shared" si="5"/>
        <v>57.960000000000008</v>
      </c>
      <c r="Q38" s="77">
        <f t="shared" si="10"/>
        <v>80.150000000000006</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v>140</v>
      </c>
      <c r="C39" s="77">
        <f t="shared" si="6"/>
        <v>238.00000000000003</v>
      </c>
      <c r="D39" s="77">
        <f t="shared" si="7"/>
        <v>64.468739999999997</v>
      </c>
      <c r="E39" s="77">
        <f t="shared" si="8"/>
        <v>34.752200000000009</v>
      </c>
      <c r="F39" s="77">
        <f t="shared" si="9"/>
        <v>12.186299999999999</v>
      </c>
      <c r="G39" s="77">
        <f t="shared" si="5"/>
        <v>4.9700000000000001E-2</v>
      </c>
      <c r="H39" s="77">
        <f t="shared" si="5"/>
        <v>0.32619999999999999</v>
      </c>
      <c r="I39" s="77">
        <f t="shared" si="5"/>
        <v>7.0000000000000007E-2</v>
      </c>
      <c r="J39" s="77">
        <f t="shared" si="5"/>
        <v>1.4000000000000002E-3</v>
      </c>
      <c r="K39" s="77">
        <f t="shared" si="5"/>
        <v>7.0000000000000001E-3</v>
      </c>
      <c r="L39" s="77">
        <f t="shared" si="5"/>
        <v>2.9960000000000001E-2</v>
      </c>
      <c r="M39" s="77">
        <f t="shared" si="5"/>
        <v>7.196000000000001E-2</v>
      </c>
      <c r="N39" s="77">
        <f t="shared" si="5"/>
        <v>0</v>
      </c>
      <c r="O39" s="77">
        <f t="shared" si="5"/>
        <v>0</v>
      </c>
      <c r="P39" s="77">
        <f t="shared" si="5"/>
        <v>57.960000000000008</v>
      </c>
      <c r="Q39" s="77">
        <f t="shared" si="10"/>
        <v>80.150000000000006</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v>140</v>
      </c>
      <c r="C40" s="77">
        <f t="shared" si="6"/>
        <v>238.00000000000003</v>
      </c>
      <c r="D40" s="77">
        <f t="shared" si="7"/>
        <v>64.468739999999997</v>
      </c>
      <c r="E40" s="77">
        <f t="shared" si="8"/>
        <v>34.752200000000009</v>
      </c>
      <c r="F40" s="77">
        <f t="shared" si="9"/>
        <v>12.186299999999999</v>
      </c>
      <c r="G40" s="77">
        <f t="shared" si="5"/>
        <v>4.9700000000000001E-2</v>
      </c>
      <c r="H40" s="77">
        <f t="shared" si="5"/>
        <v>0.32619999999999999</v>
      </c>
      <c r="I40" s="77">
        <f t="shared" si="5"/>
        <v>7.0000000000000007E-2</v>
      </c>
      <c r="J40" s="77">
        <f t="shared" si="5"/>
        <v>1.4000000000000002E-3</v>
      </c>
      <c r="K40" s="77">
        <f t="shared" si="5"/>
        <v>7.0000000000000001E-3</v>
      </c>
      <c r="L40" s="77">
        <f t="shared" si="5"/>
        <v>2.9960000000000001E-2</v>
      </c>
      <c r="M40" s="77">
        <f t="shared" si="5"/>
        <v>7.196000000000001E-2</v>
      </c>
      <c r="N40" s="77">
        <f t="shared" si="5"/>
        <v>0</v>
      </c>
      <c r="O40" s="77">
        <f t="shared" si="5"/>
        <v>0</v>
      </c>
      <c r="P40" s="77">
        <f t="shared" si="5"/>
        <v>57.960000000000008</v>
      </c>
      <c r="Q40" s="77">
        <f t="shared" si="10"/>
        <v>80.150000000000006</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11</v>
      </c>
      <c r="B41" s="15">
        <v>140</v>
      </c>
      <c r="C41" s="77">
        <f t="shared" si="6"/>
        <v>238.00000000000003</v>
      </c>
      <c r="D41" s="77">
        <f t="shared" si="7"/>
        <v>64.468739999999997</v>
      </c>
      <c r="E41" s="77">
        <f t="shared" si="8"/>
        <v>34.752200000000009</v>
      </c>
      <c r="F41" s="77">
        <f t="shared" si="9"/>
        <v>12.186299999999999</v>
      </c>
      <c r="G41" s="77">
        <f t="shared" si="5"/>
        <v>4.9700000000000001E-2</v>
      </c>
      <c r="H41" s="77">
        <f t="shared" si="5"/>
        <v>0.32619999999999999</v>
      </c>
      <c r="I41" s="77">
        <f t="shared" si="5"/>
        <v>7.0000000000000007E-2</v>
      </c>
      <c r="J41" s="77">
        <f t="shared" si="5"/>
        <v>1.4000000000000002E-3</v>
      </c>
      <c r="K41" s="77">
        <f t="shared" si="5"/>
        <v>7.0000000000000001E-3</v>
      </c>
      <c r="L41" s="77">
        <f t="shared" si="5"/>
        <v>2.9960000000000001E-2</v>
      </c>
      <c r="M41" s="77">
        <f t="shared" si="5"/>
        <v>7.196000000000001E-2</v>
      </c>
      <c r="N41" s="77">
        <f t="shared" si="5"/>
        <v>0</v>
      </c>
      <c r="O41" s="77">
        <f t="shared" si="5"/>
        <v>0</v>
      </c>
      <c r="P41" s="77">
        <f t="shared" si="5"/>
        <v>57.960000000000008</v>
      </c>
      <c r="Q41" s="77">
        <f t="shared" si="10"/>
        <v>80.150000000000006</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12</v>
      </c>
      <c r="B42" s="15">
        <v>140</v>
      </c>
      <c r="C42" s="77">
        <f t="shared" si="6"/>
        <v>238.00000000000003</v>
      </c>
      <c r="D42" s="77">
        <f t="shared" si="7"/>
        <v>64.468739999999997</v>
      </c>
      <c r="E42" s="77">
        <f t="shared" si="8"/>
        <v>34.752200000000009</v>
      </c>
      <c r="F42" s="77">
        <f t="shared" si="9"/>
        <v>12.186299999999999</v>
      </c>
      <c r="G42" s="77">
        <f t="shared" si="5"/>
        <v>4.9700000000000001E-2</v>
      </c>
      <c r="H42" s="77">
        <f t="shared" si="5"/>
        <v>0.32619999999999999</v>
      </c>
      <c r="I42" s="77">
        <f t="shared" si="5"/>
        <v>7.0000000000000007E-2</v>
      </c>
      <c r="J42" s="77">
        <f t="shared" si="5"/>
        <v>1.4000000000000002E-3</v>
      </c>
      <c r="K42" s="77">
        <f t="shared" si="5"/>
        <v>7.0000000000000001E-3</v>
      </c>
      <c r="L42" s="77">
        <f t="shared" si="5"/>
        <v>2.9960000000000001E-2</v>
      </c>
      <c r="M42" s="77">
        <f t="shared" si="5"/>
        <v>7.196000000000001E-2</v>
      </c>
      <c r="N42" s="77">
        <f t="shared" si="5"/>
        <v>0</v>
      </c>
      <c r="O42" s="77">
        <f t="shared" si="5"/>
        <v>0</v>
      </c>
      <c r="P42" s="77">
        <f t="shared" si="5"/>
        <v>57.960000000000008</v>
      </c>
      <c r="Q42" s="77">
        <f t="shared" si="10"/>
        <v>80.150000000000006</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13</v>
      </c>
      <c r="B43" s="15">
        <v>140</v>
      </c>
      <c r="C43" s="77">
        <f t="shared" si="6"/>
        <v>238.00000000000003</v>
      </c>
      <c r="D43" s="77">
        <f t="shared" si="7"/>
        <v>64.468739999999997</v>
      </c>
      <c r="E43" s="77">
        <f t="shared" si="8"/>
        <v>34.752200000000009</v>
      </c>
      <c r="F43" s="77">
        <f t="shared" si="9"/>
        <v>12.186299999999999</v>
      </c>
      <c r="G43" s="77">
        <f t="shared" si="5"/>
        <v>4.9700000000000001E-2</v>
      </c>
      <c r="H43" s="77">
        <f t="shared" si="5"/>
        <v>0.32619999999999999</v>
      </c>
      <c r="I43" s="77">
        <f t="shared" si="5"/>
        <v>7.0000000000000007E-2</v>
      </c>
      <c r="J43" s="77">
        <f t="shared" si="5"/>
        <v>1.4000000000000002E-3</v>
      </c>
      <c r="K43" s="77">
        <f t="shared" si="5"/>
        <v>7.0000000000000001E-3</v>
      </c>
      <c r="L43" s="77">
        <f t="shared" si="5"/>
        <v>2.9960000000000001E-2</v>
      </c>
      <c r="M43" s="77">
        <f t="shared" si="5"/>
        <v>7.196000000000001E-2</v>
      </c>
      <c r="N43" s="77">
        <f t="shared" si="5"/>
        <v>0</v>
      </c>
      <c r="O43" s="77">
        <f t="shared" si="5"/>
        <v>0</v>
      </c>
      <c r="P43" s="77">
        <f t="shared" si="5"/>
        <v>57.960000000000008</v>
      </c>
      <c r="Q43" s="77">
        <f t="shared" si="10"/>
        <v>80.150000000000006</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t="str">
        <f>P8</f>
        <v>7a</v>
      </c>
      <c r="B44" s="15">
        <v>140</v>
      </c>
      <c r="C44" s="77">
        <f t="shared" si="6"/>
        <v>238.00000000000003</v>
      </c>
      <c r="D44" s="77">
        <f t="shared" si="7"/>
        <v>64.468739999999997</v>
      </c>
      <c r="E44" s="77">
        <f t="shared" si="8"/>
        <v>34.752200000000009</v>
      </c>
      <c r="F44" s="77">
        <f t="shared" si="9"/>
        <v>12.186299999999999</v>
      </c>
      <c r="G44" s="77">
        <f t="shared" si="5"/>
        <v>4.9700000000000001E-2</v>
      </c>
      <c r="H44" s="77">
        <f t="shared" si="5"/>
        <v>0.32619999999999999</v>
      </c>
      <c r="I44" s="77">
        <f t="shared" si="5"/>
        <v>7.0000000000000007E-2</v>
      </c>
      <c r="J44" s="77">
        <f t="shared" si="5"/>
        <v>1.4000000000000002E-3</v>
      </c>
      <c r="K44" s="77">
        <f t="shared" si="5"/>
        <v>7.0000000000000001E-3</v>
      </c>
      <c r="L44" s="77">
        <f t="shared" si="5"/>
        <v>2.9960000000000001E-2</v>
      </c>
      <c r="M44" s="77">
        <f t="shared" si="5"/>
        <v>7.196000000000001E-2</v>
      </c>
      <c r="N44" s="77">
        <f t="shared" si="5"/>
        <v>0</v>
      </c>
      <c r="O44" s="77">
        <f t="shared" si="5"/>
        <v>0</v>
      </c>
      <c r="P44" s="77">
        <f t="shared" si="5"/>
        <v>57.960000000000008</v>
      </c>
      <c r="Q44" s="77">
        <f t="shared" si="10"/>
        <v>80.150000000000006</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8</v>
      </c>
      <c r="I57" s="8">
        <f t="shared" si="13"/>
        <v>7</v>
      </c>
      <c r="J57" s="8">
        <f t="shared" si="13"/>
        <v>9</v>
      </c>
      <c r="K57" s="8">
        <f t="shared" si="13"/>
        <v>10</v>
      </c>
      <c r="L57" s="8">
        <f t="shared" si="13"/>
        <v>11</v>
      </c>
      <c r="M57" s="8">
        <f t="shared" si="13"/>
        <v>12</v>
      </c>
      <c r="N57" s="8">
        <f t="shared" si="13"/>
        <v>13</v>
      </c>
      <c r="O57" s="8" t="str">
        <f t="shared" si="13"/>
        <v>7a</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"&amp;(VLOOKUP(C14,Table24567[],6,FALSE))</f>
        <v>Sandy Loam I Grass</v>
      </c>
      <c r="C58" s="13" t="str">
        <f>D16&amp;" I "&amp;(VLOOKUP(D14,Table24567[],6,FALSE))</f>
        <v>Sandy Loam I Grass</v>
      </c>
      <c r="D58" s="13" t="str">
        <f>E16&amp;" I "&amp;(VLOOKUP(E14,Table24567[],6,FALSE))</f>
        <v>Sandy Loam I Grass</v>
      </c>
      <c r="E58" s="13" t="str">
        <f>F16&amp;" I "&amp;(VLOOKUP(F14,Table24567[],6,FALSE))</f>
        <v>Sandy Loam I Arable</v>
      </c>
      <c r="F58" s="13" t="str">
        <f>G16&amp;" I "&amp;(VLOOKUP(G14,Table24567[],6,FALSE))</f>
        <v>Sandy Loam I Grass</v>
      </c>
      <c r="G58" s="13" t="str">
        <f>H16&amp;" I "&amp;(VLOOKUP(H14,Table24567[],6,FALSE))</f>
        <v>Sandy Loam I Grass</v>
      </c>
      <c r="H58" s="13" t="str">
        <f>I16&amp;" I "&amp;(VLOOKUP(I14,Table24567[],6,FALSE))</f>
        <v>Sandy Loam I Grass</v>
      </c>
      <c r="I58" s="13" t="str">
        <f>J16&amp;" I "&amp;(VLOOKUP(J14,Table24567[],6,FALSE))</f>
        <v>Sandy Loam I Grass</v>
      </c>
      <c r="J58" s="13" t="str">
        <f>K16&amp;" I "&amp;(VLOOKUP(K14,Table24567[],6,FALSE))</f>
        <v>Sandy Loam I Grass</v>
      </c>
      <c r="K58" s="13" t="str">
        <f>L16&amp;" I "&amp;(VLOOKUP(L14,Table24567[],6,FALSE))</f>
        <v>Sandy Loam I Grass</v>
      </c>
      <c r="L58" s="13" t="str">
        <f>M16&amp;" I "&amp;(VLOOKUP(M14,Table24567[],6,FALSE))</f>
        <v>Sandy Loam I Grass</v>
      </c>
      <c r="M58" s="13" t="str">
        <f>N16&amp;" I "&amp;(VLOOKUP(N14,Table24567[],6,FALSE))</f>
        <v>Sandy Loam I Grass</v>
      </c>
      <c r="N58" s="13" t="str">
        <f>O16&amp;" I "&amp;(VLOOKUP(O14,Table24567[],6,FALSE))</f>
        <v>Sandy Loam I Grass</v>
      </c>
      <c r="O58" s="13" t="str">
        <f>P16&amp;" I "&amp;(VLOOKUP(P14,Table24567[],6,FALSE))</f>
        <v>Sandy Loam I Arable</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132</v>
      </c>
      <c r="B59" s="76">
        <f>VLOOKUP(C$14,Table24567[],5,FALSE)</f>
        <v>6.2</v>
      </c>
      <c r="C59" s="76">
        <f>VLOOKUP(D$14,Table24567[],5,FALSE)</f>
        <v>6.2</v>
      </c>
      <c r="D59" s="76">
        <f>VLOOKUP(E$14,Table24567[],5,FALSE)</f>
        <v>6.2</v>
      </c>
      <c r="E59" s="76">
        <f>VLOOKUP(F$14,Table24567[],5,FALSE)</f>
        <v>6.7</v>
      </c>
      <c r="F59" s="76">
        <f>VLOOKUP(G$14,Table24567[],5,FALSE)</f>
        <v>6.2</v>
      </c>
      <c r="G59" s="76">
        <f>VLOOKUP(H$14,Table24567[],5,FALSE)</f>
        <v>6.2</v>
      </c>
      <c r="H59" s="76">
        <f>VLOOKUP(I$14,Table24567[],5,FALSE)</f>
        <v>6.2</v>
      </c>
      <c r="I59" s="76">
        <f>VLOOKUP(J$14,Table24567[],5,FALSE)</f>
        <v>6.2</v>
      </c>
      <c r="J59" s="76">
        <f>VLOOKUP(K$14,Table24567[],5,FALSE)</f>
        <v>6.2</v>
      </c>
      <c r="K59" s="76">
        <f>VLOOKUP(L$14,Table24567[],5,FALSE)</f>
        <v>6.2</v>
      </c>
      <c r="L59" s="76">
        <f>VLOOKUP(M$14,Table24567[],5,FALSE)</f>
        <v>6.2</v>
      </c>
      <c r="M59" s="76">
        <f>VLOOKUP(N$14,Table24567[],5,FALSE)</f>
        <v>6.2</v>
      </c>
      <c r="N59" s="76">
        <f>VLOOKUP(O$14,Table24567[],5,FALSE)</f>
        <v>6.2</v>
      </c>
      <c r="O59" s="76">
        <f>VLOOKUP(P$14,Table24567[],5,FALSE)</f>
        <v>6.7</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6.2</v>
      </c>
      <c r="C60" s="76">
        <f t="shared" ref="C60:U60" si="14">D10</f>
        <v>6</v>
      </c>
      <c r="D60" s="76">
        <f t="shared" si="14"/>
        <v>7</v>
      </c>
      <c r="E60" s="76">
        <f t="shared" si="14"/>
        <v>6.1</v>
      </c>
      <c r="F60" s="76">
        <f t="shared" si="14"/>
        <v>6.5</v>
      </c>
      <c r="G60" s="76">
        <f t="shared" si="14"/>
        <v>6.5</v>
      </c>
      <c r="H60" s="76">
        <f t="shared" si="14"/>
        <v>6.1</v>
      </c>
      <c r="I60" s="76">
        <f t="shared" si="14"/>
        <v>6.1</v>
      </c>
      <c r="J60" s="76">
        <f t="shared" si="14"/>
        <v>6.6</v>
      </c>
      <c r="K60" s="76">
        <f t="shared" si="14"/>
        <v>6.7</v>
      </c>
      <c r="L60" s="76">
        <f t="shared" si="14"/>
        <v>6.7</v>
      </c>
      <c r="M60" s="76">
        <f t="shared" si="14"/>
        <v>6.5</v>
      </c>
      <c r="N60" s="76">
        <f t="shared" si="14"/>
        <v>6.7</v>
      </c>
      <c r="O60" s="76">
        <f t="shared" si="14"/>
        <v>6.5</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5</v>
      </c>
      <c r="C61" s="76">
        <f t="shared" si="15"/>
        <v>5</v>
      </c>
      <c r="D61" s="76">
        <f t="shared" si="15"/>
        <v>5</v>
      </c>
      <c r="E61" s="76">
        <f t="shared" si="15"/>
        <v>7</v>
      </c>
      <c r="F61" s="76">
        <f t="shared" si="15"/>
        <v>5</v>
      </c>
      <c r="G61" s="76">
        <f t="shared" si="15"/>
        <v>5</v>
      </c>
      <c r="H61" s="76">
        <f t="shared" si="15"/>
        <v>5</v>
      </c>
      <c r="I61" s="76">
        <f t="shared" si="15"/>
        <v>5</v>
      </c>
      <c r="J61" s="76">
        <f t="shared" si="15"/>
        <v>5</v>
      </c>
      <c r="K61" s="76">
        <f t="shared" si="15"/>
        <v>5</v>
      </c>
      <c r="L61" s="76">
        <f t="shared" si="15"/>
        <v>5</v>
      </c>
      <c r="M61" s="76">
        <f t="shared" si="15"/>
        <v>5</v>
      </c>
      <c r="N61" s="76">
        <f t="shared" si="15"/>
        <v>5</v>
      </c>
      <c r="O61" s="76">
        <f t="shared" si="15"/>
        <v>7</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140</v>
      </c>
      <c r="C62" s="77">
        <f>B32</f>
        <v>140</v>
      </c>
      <c r="D62" s="77">
        <f>B33</f>
        <v>140</v>
      </c>
      <c r="E62" s="77">
        <f>B34</f>
        <v>140</v>
      </c>
      <c r="F62" s="77">
        <f>B35</f>
        <v>140</v>
      </c>
      <c r="G62" s="77">
        <f>B36</f>
        <v>140</v>
      </c>
      <c r="H62" s="77">
        <f>B37</f>
        <v>140</v>
      </c>
      <c r="I62" s="77">
        <f>B38</f>
        <v>140</v>
      </c>
      <c r="J62" s="77">
        <f>B39</f>
        <v>140</v>
      </c>
      <c r="K62" s="77">
        <f>B40</f>
        <v>140</v>
      </c>
      <c r="L62" s="77">
        <f>B41</f>
        <v>140</v>
      </c>
      <c r="M62" s="77">
        <f>B42</f>
        <v>140</v>
      </c>
      <c r="N62" s="77">
        <f>B43</f>
        <v>140</v>
      </c>
      <c r="O62" s="77">
        <f>B44</f>
        <v>140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1.0000000000000009</v>
      </c>
      <c r="D64" s="77">
        <f t="shared" si="17"/>
        <v>-3.9999999999999991</v>
      </c>
      <c r="E64" s="77">
        <f t="shared" si="17"/>
        <v>4.2000000000000037</v>
      </c>
      <c r="F64" s="77">
        <f t="shared" si="17"/>
        <v>-1.4999999999999991</v>
      </c>
      <c r="G64" s="77">
        <f t="shared" si="17"/>
        <v>-1.4999999999999991</v>
      </c>
      <c r="H64" s="77">
        <f t="shared" si="17"/>
        <v>0.50000000000000266</v>
      </c>
      <c r="I64" s="77">
        <f t="shared" si="17"/>
        <v>0.50000000000000266</v>
      </c>
      <c r="J64" s="77">
        <f t="shared" si="17"/>
        <v>-1.9999999999999973</v>
      </c>
      <c r="K64" s="77">
        <f t="shared" si="17"/>
        <v>-2.5</v>
      </c>
      <c r="L64" s="77">
        <f t="shared" si="17"/>
        <v>-2.5</v>
      </c>
      <c r="M64" s="77">
        <f t="shared" si="17"/>
        <v>-1.4999999999999991</v>
      </c>
      <c r="N64" s="77">
        <f t="shared" si="17"/>
        <v>-2.5</v>
      </c>
      <c r="O64" s="77">
        <f t="shared" si="17"/>
        <v>1.4000000000000012</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-1.0000000000000009</v>
      </c>
      <c r="D65" s="77">
        <f t="shared" si="18"/>
        <v>3.9999999999999991</v>
      </c>
      <c r="E65" s="77">
        <f t="shared" si="18"/>
        <v>-4.2000000000000037</v>
      </c>
      <c r="F65" s="77">
        <f t="shared" si="18"/>
        <v>1.4999999999999991</v>
      </c>
      <c r="G65" s="77">
        <f t="shared" si="18"/>
        <v>1.4999999999999991</v>
      </c>
      <c r="H65" s="77">
        <f t="shared" si="18"/>
        <v>-0.50000000000000266</v>
      </c>
      <c r="I65" s="77">
        <f t="shared" si="18"/>
        <v>-0.50000000000000266</v>
      </c>
      <c r="J65" s="77">
        <f t="shared" si="18"/>
        <v>1.9999999999999973</v>
      </c>
      <c r="K65" s="77">
        <f t="shared" si="18"/>
        <v>2.5</v>
      </c>
      <c r="L65" s="77">
        <f t="shared" si="18"/>
        <v>2.5</v>
      </c>
      <c r="M65" s="77">
        <f t="shared" si="18"/>
        <v>1.4999999999999991</v>
      </c>
      <c r="N65" s="77">
        <f t="shared" si="18"/>
        <v>2.5</v>
      </c>
      <c r="O65" s="77">
        <f t="shared" si="18"/>
        <v>-1.4000000000000012</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OVER</v>
      </c>
      <c r="E66" s="78" t="str">
        <f t="shared" si="19"/>
        <v>UNDER</v>
      </c>
      <c r="F66" s="78" t="str">
        <f t="shared" si="19"/>
        <v>OVER</v>
      </c>
      <c r="G66" s="78" t="str">
        <f t="shared" si="19"/>
        <v>OVER</v>
      </c>
      <c r="H66" s="78" t="str">
        <f t="shared" si="19"/>
        <v>UNDER</v>
      </c>
      <c r="I66" s="78" t="str">
        <f t="shared" si="19"/>
        <v>UNDER</v>
      </c>
      <c r="J66" s="78" t="str">
        <f t="shared" si="19"/>
        <v>OVER</v>
      </c>
      <c r="K66" s="78" t="str">
        <f t="shared" si="19"/>
        <v>OVER</v>
      </c>
      <c r="L66" s="78" t="str">
        <f t="shared" si="19"/>
        <v>OVER</v>
      </c>
      <c r="M66" s="78" t="str">
        <f t="shared" si="19"/>
        <v>OVER</v>
      </c>
      <c r="N66" s="78" t="str">
        <f t="shared" si="19"/>
        <v>OVER</v>
      </c>
      <c r="O66" s="78" t="str">
        <f t="shared" si="19"/>
        <v>UNDER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40" operator="equal">
      <formula>"DECREASE"</formula>
    </cfRule>
    <cfRule type="cellIs" dxfId="82" priority="41" operator="equal">
      <formula>"INCREASE"</formula>
    </cfRule>
  </conditionalFormatting>
  <conditionalFormatting sqref="B62:U66 B31:B50">
    <cfRule type="cellIs" dxfId="81" priority="39" operator="greaterThan">
      <formula>$B$51</formula>
    </cfRule>
  </conditionalFormatting>
  <conditionalFormatting sqref="C31:C50">
    <cfRule type="cellIs" dxfId="80" priority="38" operator="greaterThan">
      <formula>$C$51</formula>
    </cfRule>
  </conditionalFormatting>
  <conditionalFormatting sqref="C18:V18">
    <cfRule type="cellIs" dxfId="79" priority="37" operator="equal">
      <formula>0</formula>
    </cfRule>
  </conditionalFormatting>
  <conditionalFormatting sqref="C17:V17">
    <cfRule type="cellIs" dxfId="78" priority="36" operator="equal">
      <formula>0</formula>
    </cfRule>
  </conditionalFormatting>
  <conditionalFormatting sqref="C19:V19">
    <cfRule type="cellIs" dxfId="77" priority="35" operator="equal">
      <formula>0</formula>
    </cfRule>
  </conditionalFormatting>
  <conditionalFormatting sqref="G31:G50">
    <cfRule type="cellIs" dxfId="76" priority="34" operator="greaterThan">
      <formula>$G$51</formula>
    </cfRule>
  </conditionalFormatting>
  <conditionalFormatting sqref="H31:H50">
    <cfRule type="cellIs" dxfId="75" priority="33" operator="greaterThan">
      <formula>$H$51</formula>
    </cfRule>
  </conditionalFormatting>
  <conditionalFormatting sqref="I31:I50">
    <cfRule type="cellIs" dxfId="74" priority="32" operator="greaterThan">
      <formula>$I$51</formula>
    </cfRule>
  </conditionalFormatting>
  <conditionalFormatting sqref="K31:K50">
    <cfRule type="cellIs" dxfId="73" priority="31" operator="greaterThan">
      <formula>$K$51</formula>
    </cfRule>
  </conditionalFormatting>
  <conditionalFormatting sqref="L31:L50">
    <cfRule type="cellIs" dxfId="72" priority="30" operator="greaterThan">
      <formula>$L$51</formula>
    </cfRule>
  </conditionalFormatting>
  <conditionalFormatting sqref="M31:M50">
    <cfRule type="cellIs" dxfId="71" priority="29" operator="greaterThan">
      <formula>$M$51</formula>
    </cfRule>
  </conditionalFormatting>
  <conditionalFormatting sqref="P31:P50">
    <cfRule type="cellIs" dxfId="70" priority="28" operator="greaterThan">
      <formula>$P$51</formula>
    </cfRule>
  </conditionalFormatting>
  <conditionalFormatting sqref="R31:R50">
    <cfRule type="cellIs" dxfId="69" priority="27" operator="greaterThan">
      <formula>$R$51</formula>
    </cfRule>
  </conditionalFormatting>
  <conditionalFormatting sqref="S31:S50">
    <cfRule type="cellIs" dxfId="68" priority="26" operator="greaterThan">
      <formula>$S$51</formula>
    </cfRule>
  </conditionalFormatting>
  <conditionalFormatting sqref="T31:T50">
    <cfRule type="cellIs" dxfId="67" priority="25" operator="greaterThan">
      <formula>$T$51</formula>
    </cfRule>
  </conditionalFormatting>
  <conditionalFormatting sqref="U31:U50">
    <cfRule type="cellIs" dxfId="66" priority="24" operator="greaterThan">
      <formula>$U$51</formula>
    </cfRule>
  </conditionalFormatting>
  <conditionalFormatting sqref="C22:V22">
    <cfRule type="cellIs" dxfId="65" priority="23" operator="equal">
      <formula>0</formula>
    </cfRule>
  </conditionalFormatting>
  <conditionalFormatting sqref="C24:V24">
    <cfRule type="cellIs" dxfId="64" priority="21" operator="equal">
      <formula>"DECREASE"</formula>
    </cfRule>
    <cfRule type="cellIs" dxfId="63" priority="22" operator="equal">
      <formula>"INCREASE"</formula>
    </cfRule>
  </conditionalFormatting>
  <conditionalFormatting sqref="C23:V23">
    <cfRule type="cellIs" dxfId="62" priority="20" operator="equal">
      <formula>0</formula>
    </cfRule>
  </conditionalFormatting>
  <conditionalFormatting sqref="C21:V21">
    <cfRule type="cellIs" dxfId="61" priority="16" operator="equal">
      <formula>0</formula>
    </cfRule>
  </conditionalFormatting>
  <conditionalFormatting sqref="B66:U66">
    <cfRule type="cellIs" dxfId="60" priority="14" operator="equal">
      <formula>"UNDER"</formula>
    </cfRule>
    <cfRule type="cellIs" dxfId="59" priority="15" operator="equal">
      <formula>"OVER"</formula>
    </cfRule>
  </conditionalFormatting>
  <conditionalFormatting sqref="J31:J50">
    <cfRule type="cellIs" dxfId="58" priority="11" operator="greaterThan">
      <formula>$J$51</formula>
    </cfRule>
  </conditionalFormatting>
  <conditionalFormatting sqref="L3">
    <cfRule type="cellIs" dxfId="57" priority="7" operator="lessThan">
      <formula>30</formula>
    </cfRule>
    <cfRule type="cellIs" dxfId="56" priority="8"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9" t="s">
        <v>41</v>
      </c>
      <c r="B1" s="129"/>
      <c r="C1" s="142" t="str">
        <f>'Field data and Waste 1'!C1:D1</f>
        <v>PAN-019532</v>
      </c>
      <c r="D1" s="143"/>
      <c r="E1" s="93" t="s">
        <v>45</v>
      </c>
      <c r="F1" s="39">
        <f>'Field data and Waste 1'!F1</f>
        <v>18.100000000000001</v>
      </c>
      <c r="G1" s="125" t="s">
        <v>43</v>
      </c>
      <c r="H1" s="126"/>
      <c r="I1" s="118"/>
      <c r="J1" s="129" t="s">
        <v>153</v>
      </c>
      <c r="K1" s="12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9" t="s">
        <v>87</v>
      </c>
      <c r="B2" s="129"/>
      <c r="C2" s="144" t="str">
        <f>'Field data and Waste 1'!C2:D2</f>
        <v>EPR-KP3594VE</v>
      </c>
      <c r="D2" s="145"/>
      <c r="E2" s="93" t="s">
        <v>109</v>
      </c>
      <c r="F2" s="96"/>
      <c r="G2" s="127" t="s">
        <v>110</v>
      </c>
      <c r="H2" s="128"/>
      <c r="I2" s="118"/>
      <c r="J2" s="129" t="s">
        <v>158</v>
      </c>
      <c r="K2" s="129"/>
      <c r="L2" s="97"/>
      <c r="AB2" s="30" t="s">
        <v>56</v>
      </c>
      <c r="AC2" s="17"/>
      <c r="AD2" s="30" t="s">
        <v>70</v>
      </c>
      <c r="AE2" s="17"/>
      <c r="AF2" s="17"/>
      <c r="AG2" s="44" t="s">
        <v>76</v>
      </c>
      <c r="AH2" s="18"/>
      <c r="AI2" s="45" t="s">
        <v>126</v>
      </c>
      <c r="AJ2" s="46">
        <v>0</v>
      </c>
      <c r="AK2" s="47">
        <v>0</v>
      </c>
      <c r="AL2" s="10">
        <v>0</v>
      </c>
      <c r="AM2" s="11">
        <v>0</v>
      </c>
      <c r="AN2" s="11">
        <v>0</v>
      </c>
    </row>
    <row r="3" spans="1:41" ht="13" x14ac:dyDescent="0.25">
      <c r="A3" s="125" t="s">
        <v>42</v>
      </c>
      <c r="B3" s="126"/>
      <c r="C3" s="144" t="str">
        <f>'Field data and Waste 1'!C3:D3</f>
        <v xml:space="preserve">Trade effluent services </v>
      </c>
      <c r="D3" s="145"/>
      <c r="E3" s="93" t="s">
        <v>108</v>
      </c>
      <c r="F3" s="31"/>
      <c r="G3" s="129" t="s">
        <v>159</v>
      </c>
      <c r="H3" s="129"/>
      <c r="I3" s="118"/>
      <c r="J3" s="125" t="s">
        <v>154</v>
      </c>
      <c r="K3" s="126"/>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9" t="s">
        <v>0</v>
      </c>
      <c r="B4" s="129"/>
      <c r="C4" s="142" t="str">
        <f>'Field data and Waste 1'!C4:D4</f>
        <v>Play Yn Llan, Llangynhafal, LL16 4LN</v>
      </c>
      <c r="D4" s="143"/>
      <c r="E4" s="94" t="s">
        <v>1</v>
      </c>
      <c r="F4" s="96"/>
      <c r="G4" s="125"/>
      <c r="H4" s="126"/>
      <c r="I4" s="39"/>
      <c r="J4" s="125"/>
      <c r="K4" s="126"/>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9" t="s">
        <v>47</v>
      </c>
      <c r="B5" s="129"/>
      <c r="C5" s="142" t="str">
        <f>'Field data and Waste 1'!C5:D5</f>
        <v xml:space="preserve">Ethan Banfield </v>
      </c>
      <c r="D5" s="143"/>
      <c r="E5" s="93"/>
      <c r="F5" s="39"/>
      <c r="G5" s="125"/>
      <c r="H5" s="126"/>
      <c r="I5" s="39"/>
      <c r="J5" s="125"/>
      <c r="K5" s="126"/>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9" t="s">
        <v>2</v>
      </c>
      <c r="B8" s="129"/>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8</v>
      </c>
      <c r="J8" s="60">
        <f>'Field data and Waste 1'!J8</f>
        <v>7</v>
      </c>
      <c r="K8" s="60">
        <f>'Field data and Waste 1'!K8</f>
        <v>9</v>
      </c>
      <c r="L8" s="60">
        <f>'Field data and Waste 1'!L8</f>
        <v>10</v>
      </c>
      <c r="M8" s="60">
        <f>'Field data and Waste 1'!M8</f>
        <v>11</v>
      </c>
      <c r="N8" s="60">
        <f>'Field data and Waste 1'!N8</f>
        <v>12</v>
      </c>
      <c r="O8" s="60">
        <f>'Field data and Waste 1'!O8</f>
        <v>13</v>
      </c>
      <c r="P8" s="60" t="str">
        <f>'Field data and Waste 1'!P8</f>
        <v>7a</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9" t="s">
        <v>3</v>
      </c>
      <c r="B9" s="129"/>
      <c r="C9" s="60" t="str">
        <f>'Field data and Waste 1'!C9</f>
        <v>Moderate</v>
      </c>
      <c r="D9" s="60" t="str">
        <f>'Field data and Waste 1'!D9</f>
        <v>Moderate</v>
      </c>
      <c r="E9" s="60" t="str">
        <f>'Field data and Waste 1'!E9</f>
        <v>moderate</v>
      </c>
      <c r="F9" s="60">
        <f>'Field data and Waste 1'!F9</f>
        <v>1</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f>'Field data and Waste 1'!P9</f>
        <v>1</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9" t="s">
        <v>4</v>
      </c>
      <c r="B10" s="129"/>
      <c r="C10" s="60">
        <f>'Field data and Waste 1'!C10</f>
        <v>6.2</v>
      </c>
      <c r="D10" s="60">
        <f>'Field data and Waste 1'!D10</f>
        <v>6</v>
      </c>
      <c r="E10" s="60">
        <f>'Field data and Waste 1'!E10</f>
        <v>7</v>
      </c>
      <c r="F10" s="60">
        <f>'Field data and Waste 1'!F10</f>
        <v>6.1</v>
      </c>
      <c r="G10" s="60">
        <f>'Field data and Waste 1'!G10</f>
        <v>6.5</v>
      </c>
      <c r="H10" s="60">
        <f>'Field data and Waste 1'!H10</f>
        <v>6.5</v>
      </c>
      <c r="I10" s="60">
        <f>'Field data and Waste 1'!I10</f>
        <v>6.1</v>
      </c>
      <c r="J10" s="60">
        <f>'Field data and Waste 1'!J10</f>
        <v>6.1</v>
      </c>
      <c r="K10" s="60">
        <f>'Field data and Waste 1'!K10</f>
        <v>6.6</v>
      </c>
      <c r="L10" s="60">
        <f>'Field data and Waste 1'!L10</f>
        <v>6.7</v>
      </c>
      <c r="M10" s="60">
        <f>'Field data and Waste 1'!M10</f>
        <v>6.7</v>
      </c>
      <c r="N10" s="60">
        <f>'Field data and Waste 1'!N10</f>
        <v>6.5</v>
      </c>
      <c r="O10" s="60">
        <f>'Field data and Waste 1'!O10</f>
        <v>6.7</v>
      </c>
      <c r="P10" s="60">
        <f>'Field data and Waste 1'!P10</f>
        <v>6.5</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9" t="s">
        <v>5</v>
      </c>
      <c r="B11" s="129"/>
      <c r="C11" s="60">
        <f>'Field data and Waste 1'!C11</f>
        <v>2</v>
      </c>
      <c r="D11" s="60">
        <f>'Field data and Waste 1'!D11</f>
        <v>1</v>
      </c>
      <c r="E11" s="60">
        <f>'Field data and Waste 1'!E11</f>
        <v>1</v>
      </c>
      <c r="F11" s="60">
        <f>'Field data and Waste 1'!F11</f>
        <v>2</v>
      </c>
      <c r="G11" s="60">
        <f>'Field data and Waste 1'!G11</f>
        <v>1</v>
      </c>
      <c r="H11" s="60">
        <f>'Field data and Waste 1'!H11</f>
        <v>2</v>
      </c>
      <c r="I11" s="60">
        <f>'Field data and Waste 1'!I11</f>
        <v>1</v>
      </c>
      <c r="J11" s="60">
        <f>'Field data and Waste 1'!J11</f>
        <v>1</v>
      </c>
      <c r="K11" s="60">
        <f>'Field data and Waste 1'!K11</f>
        <v>0</v>
      </c>
      <c r="L11" s="60">
        <f>'Field data and Waste 1'!L11</f>
        <v>0</v>
      </c>
      <c r="M11" s="60">
        <f>'Field data and Waste 1'!M11</f>
        <v>1</v>
      </c>
      <c r="N11" s="60">
        <f>'Field data and Waste 1'!N11</f>
        <v>1</v>
      </c>
      <c r="O11" s="60">
        <f>'Field data and Waste 1'!O11</f>
        <v>1</v>
      </c>
      <c r="P11" s="60">
        <f>'Field data and Waste 1'!P11</f>
        <v>3</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9" t="s">
        <v>6</v>
      </c>
      <c r="B12" s="129"/>
      <c r="C12" s="60">
        <f>'Field data and Waste 1'!C12</f>
        <v>2</v>
      </c>
      <c r="D12" s="60">
        <f>'Field data and Waste 1'!D12</f>
        <v>2</v>
      </c>
      <c r="E12" s="60">
        <f>'Field data and Waste 1'!E12</f>
        <v>1</v>
      </c>
      <c r="F12" s="60">
        <f>'Field data and Waste 1'!F12</f>
        <v>1</v>
      </c>
      <c r="G12" s="60">
        <f>'Field data and Waste 1'!G12</f>
        <v>2</v>
      </c>
      <c r="H12" s="60">
        <f>'Field data and Waste 1'!H12</f>
        <v>3</v>
      </c>
      <c r="I12" s="60">
        <f>'Field data and Waste 1'!I12</f>
        <v>3</v>
      </c>
      <c r="J12" s="60">
        <f>'Field data and Waste 1'!J12</f>
        <v>2</v>
      </c>
      <c r="K12" s="60">
        <f>'Field data and Waste 1'!K12</f>
        <v>2</v>
      </c>
      <c r="L12" s="60">
        <f>'Field data and Waste 1'!L12</f>
        <v>1</v>
      </c>
      <c r="M12" s="60">
        <f>'Field data and Waste 1'!M12</f>
        <v>1</v>
      </c>
      <c r="N12" s="60">
        <f>'Field data and Waste 1'!N12</f>
        <v>2</v>
      </c>
      <c r="O12" s="60">
        <f>'Field data and Waste 1'!O12</f>
        <v>2</v>
      </c>
      <c r="P12" s="60">
        <f>'Field data and Waste 1'!P12</f>
        <v>3</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9" t="s">
        <v>7</v>
      </c>
      <c r="B13" s="129"/>
      <c r="C13" s="60">
        <f>'Field data and Waste 1'!C13</f>
        <v>2</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2</v>
      </c>
      <c r="L13" s="60">
        <f>'Field data and Waste 1'!L13</f>
        <v>3</v>
      </c>
      <c r="M13" s="60">
        <f>'Field data and Waste 1'!M13</f>
        <v>2</v>
      </c>
      <c r="N13" s="60">
        <f>'Field data and Waste 1'!N13</f>
        <v>2</v>
      </c>
      <c r="O13" s="60">
        <f>'Field data and Waste 1'!O13</f>
        <v>2</v>
      </c>
      <c r="P13" s="60">
        <f>'Field data and Waste 1'!P13</f>
        <v>3</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8" t="s">
        <v>8</v>
      </c>
      <c r="B14" s="138"/>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Maize- Silage (30% DM)</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Maize- Silage (30% DM)</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7" t="s">
        <v>9</v>
      </c>
      <c r="B15" s="137"/>
      <c r="C15" s="60">
        <f>'Field data and Waste 1'!C15</f>
        <v>38</v>
      </c>
      <c r="D15" s="60">
        <f>'Field data and Waste 1'!D15</f>
        <v>38</v>
      </c>
      <c r="E15" s="60">
        <f>'Field data and Waste 1'!E15</f>
        <v>38</v>
      </c>
      <c r="F15" s="60">
        <f>'Field data and Waste 1'!F15</f>
        <v>40</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40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9" t="s">
        <v>44</v>
      </c>
      <c r="B16" s="139"/>
      <c r="C16" s="103" t="str">
        <f>'Field data and Waste 1'!C16</f>
        <v>Sandy Loam</v>
      </c>
      <c r="D16" s="103" t="str">
        <f>'Field data and Waste 1'!D16</f>
        <v>Sandy Loam</v>
      </c>
      <c r="E16" s="103" t="str">
        <f>'Field data and Waste 1'!E16</f>
        <v>Sandy Loam</v>
      </c>
      <c r="F16" s="103" t="str">
        <f>'Field data and Waste 1'!F16</f>
        <v>Sandy Loam</v>
      </c>
      <c r="G16" s="103" t="str">
        <f>'Field data and Waste 1'!G16</f>
        <v>Sandy Loam</v>
      </c>
      <c r="H16" s="103" t="str">
        <f>'Field data and Waste 1'!H16</f>
        <v>Sandy Loam</v>
      </c>
      <c r="I16" s="103" t="str">
        <f>'Field data and Waste 1'!I16</f>
        <v>Sandy Loam</v>
      </c>
      <c r="J16" s="103" t="str">
        <f>'Field data and Waste 1'!J16</f>
        <v>Sandy Loam</v>
      </c>
      <c r="K16" s="103" t="str">
        <f>'Field data and Waste 1'!K16</f>
        <v>Sandy Loam</v>
      </c>
      <c r="L16" s="103" t="str">
        <f>'Field data and Waste 1'!L16</f>
        <v>Sandy Loam</v>
      </c>
      <c r="M16" s="103" t="str">
        <f>'Field data and Waste 1'!M16</f>
        <v>Sandy Loam</v>
      </c>
      <c r="N16" s="103" t="str">
        <f>'Field data and Waste 1'!N16</f>
        <v>Sandy Loam</v>
      </c>
      <c r="O16" s="103" t="str">
        <f>'Field data and Waste 1'!O16</f>
        <v>Sandy Loam</v>
      </c>
      <c r="P16" s="103" t="str">
        <f>'Field data and Waste 1'!P16</f>
        <v>Sandy Loam</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5" t="s">
        <v>69</v>
      </c>
      <c r="B17" s="136"/>
      <c r="C17" s="28">
        <f>(VLOOKUP(C$14,$AI2:$AK26,2,FALSE))*C$15</f>
        <v>64.599999999999994</v>
      </c>
      <c r="D17" s="28">
        <f t="shared" ref="D17:V17" si="0">(VLOOKUP(D$14,$AI2:$AK26,2,FALSE))*D$15</f>
        <v>64.599999999999994</v>
      </c>
      <c r="E17" s="28">
        <f t="shared" si="0"/>
        <v>64.599999999999994</v>
      </c>
      <c r="F17" s="28">
        <f t="shared" si="0"/>
        <v>56</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56</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3" t="s">
        <v>23</v>
      </c>
      <c r="B18" s="134"/>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3" t="s">
        <v>90</v>
      </c>
      <c r="B19" s="134"/>
      <c r="C19" s="16">
        <f>C18-C17</f>
        <v>-64.599999999999994</v>
      </c>
      <c r="D19" s="16">
        <f t="shared" ref="D19:V19" si="1">D18-D17</f>
        <v>-64.599999999999994</v>
      </c>
      <c r="E19" s="16">
        <f t="shared" si="1"/>
        <v>-64.599999999999994</v>
      </c>
      <c r="F19" s="16">
        <f t="shared" si="1"/>
        <v>-56</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-64.599999999999994</v>
      </c>
      <c r="N19" s="16">
        <f t="shared" si="1"/>
        <v>-64.599999999999994</v>
      </c>
      <c r="O19" s="16">
        <f t="shared" si="1"/>
        <v>-64.599999999999994</v>
      </c>
      <c r="P19" s="16">
        <f t="shared" si="1"/>
        <v>-56</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31" t="s">
        <v>91</v>
      </c>
      <c r="B20" s="132"/>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5" t="s">
        <v>88</v>
      </c>
      <c r="B21" s="136"/>
      <c r="C21" s="28">
        <f>(VLOOKUP(C$14,$AI2:$AK26,3,FALSE))*C$15</f>
        <v>228</v>
      </c>
      <c r="D21" s="28">
        <f t="shared" ref="D21:V21" si="2">(VLOOKUP(D$14,$AI2:$AK26,3,FALSE))*D$15</f>
        <v>228</v>
      </c>
      <c r="E21" s="28">
        <f t="shared" si="2"/>
        <v>228</v>
      </c>
      <c r="F21" s="28">
        <f t="shared" si="2"/>
        <v>176</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176</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3" t="s">
        <v>89</v>
      </c>
      <c r="B22" s="134"/>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3" t="s">
        <v>92</v>
      </c>
      <c r="B23" s="134"/>
      <c r="C23" s="16">
        <f>C22-C21</f>
        <v>-228</v>
      </c>
      <c r="D23" s="16">
        <f t="shared" ref="D23:V23" si="3">D22-D21</f>
        <v>-228</v>
      </c>
      <c r="E23" s="16">
        <f t="shared" si="3"/>
        <v>-228</v>
      </c>
      <c r="F23" s="16">
        <f t="shared" si="3"/>
        <v>-176</v>
      </c>
      <c r="G23" s="16">
        <f t="shared" si="3"/>
        <v>-228</v>
      </c>
      <c r="H23" s="16">
        <f t="shared" si="3"/>
        <v>-228</v>
      </c>
      <c r="I23" s="16">
        <f t="shared" si="3"/>
        <v>-228</v>
      </c>
      <c r="J23" s="16">
        <f t="shared" si="3"/>
        <v>-228</v>
      </c>
      <c r="K23" s="16">
        <f t="shared" si="3"/>
        <v>-228</v>
      </c>
      <c r="L23" s="16">
        <f t="shared" si="3"/>
        <v>-228</v>
      </c>
      <c r="M23" s="16">
        <f t="shared" si="3"/>
        <v>-228</v>
      </c>
      <c r="N23" s="16">
        <f t="shared" si="3"/>
        <v>-228</v>
      </c>
      <c r="O23" s="16">
        <f t="shared" si="3"/>
        <v>-228</v>
      </c>
      <c r="P23" s="16">
        <f t="shared" si="3"/>
        <v>-176</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31" t="s">
        <v>93</v>
      </c>
      <c r="B24" s="132"/>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8</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7</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11</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12</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13</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t="str">
        <f>P8</f>
        <v>7a</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8</v>
      </c>
      <c r="I57" s="8">
        <f t="shared" si="13"/>
        <v>7</v>
      </c>
      <c r="J57" s="8">
        <f t="shared" si="13"/>
        <v>9</v>
      </c>
      <c r="K57" s="8">
        <f t="shared" si="13"/>
        <v>10</v>
      </c>
      <c r="L57" s="8">
        <f t="shared" si="13"/>
        <v>11</v>
      </c>
      <c r="M57" s="8">
        <f t="shared" si="13"/>
        <v>12</v>
      </c>
      <c r="N57" s="8">
        <f t="shared" si="13"/>
        <v>13</v>
      </c>
      <c r="O57" s="8" t="str">
        <f t="shared" si="13"/>
        <v>7a</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"&amp;(VLOOKUP(C14,Table2456[],6,FALSE))</f>
        <v>Sandy Loam I Grass</v>
      </c>
      <c r="C58" s="13" t="str">
        <f>D16&amp;" I "&amp;(VLOOKUP(D14,Table2456[],6,FALSE))</f>
        <v>Sandy Loam I Grass</v>
      </c>
      <c r="D58" s="13" t="str">
        <f>E16&amp;" I "&amp;(VLOOKUP(E14,Table2456[],6,FALSE))</f>
        <v>Sandy Loam I Grass</v>
      </c>
      <c r="E58" s="13" t="str">
        <f>F16&amp;" I "&amp;(VLOOKUP(F14,Table2456[],6,FALSE))</f>
        <v>Sandy Loam I Arable</v>
      </c>
      <c r="F58" s="13" t="str">
        <f>G16&amp;" I "&amp;(VLOOKUP(G14,Table2456[],6,FALSE))</f>
        <v>Sandy Loam I Grass</v>
      </c>
      <c r="G58" s="13" t="str">
        <f>H16&amp;" I "&amp;(VLOOKUP(H14,Table2456[],6,FALSE))</f>
        <v>Sandy Loam I Grass</v>
      </c>
      <c r="H58" s="13" t="str">
        <f>I16&amp;" I "&amp;(VLOOKUP(I14,Table2456[],6,FALSE))</f>
        <v>Sandy Loam I Grass</v>
      </c>
      <c r="I58" s="13" t="str">
        <f>J16&amp;" I "&amp;(VLOOKUP(J14,Table2456[],6,FALSE))</f>
        <v>Sandy Loam I Grass</v>
      </c>
      <c r="J58" s="13" t="str">
        <f>K16&amp;" I "&amp;(VLOOKUP(K14,Table2456[],6,FALSE))</f>
        <v>Sandy Loam I Grass</v>
      </c>
      <c r="K58" s="13" t="str">
        <f>L16&amp;" I "&amp;(VLOOKUP(L14,Table2456[],6,FALSE))</f>
        <v>Sandy Loam I Grass</v>
      </c>
      <c r="L58" s="13" t="str">
        <f>M16&amp;" I "&amp;(VLOOKUP(M14,Table2456[],6,FALSE))</f>
        <v>Sandy Loam I Grass</v>
      </c>
      <c r="M58" s="13" t="str">
        <f>N16&amp;" I "&amp;(VLOOKUP(N14,Table2456[],6,FALSE))</f>
        <v>Sandy Loam I Grass</v>
      </c>
      <c r="N58" s="13" t="str">
        <f>O16&amp;" I "&amp;(VLOOKUP(O14,Table2456[],6,FALSE))</f>
        <v>Sandy Loam I Grass</v>
      </c>
      <c r="O58" s="13" t="str">
        <f>P16&amp;" I "&amp;(VLOOKUP(P14,Table2456[],6,FALSE))</f>
        <v>Sandy Loam I Arable</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1" t="s">
        <v>132</v>
      </c>
      <c r="B59" s="76">
        <f>VLOOKUP(C$14,Table2456[],5,FALSE)</f>
        <v>6.2</v>
      </c>
      <c r="C59" s="76">
        <f>VLOOKUP(D$14,Table2456[],5,FALSE)</f>
        <v>6.2</v>
      </c>
      <c r="D59" s="76">
        <f>VLOOKUP(E$14,Table2456[],5,FALSE)</f>
        <v>6.2</v>
      </c>
      <c r="E59" s="76">
        <f>VLOOKUP(F$14,Table2456[],5,FALSE)</f>
        <v>6.7</v>
      </c>
      <c r="F59" s="76">
        <f>VLOOKUP(G$14,Table2456[],5,FALSE)</f>
        <v>6.2</v>
      </c>
      <c r="G59" s="76">
        <f>VLOOKUP(H$14,Table2456[],5,FALSE)</f>
        <v>6.2</v>
      </c>
      <c r="H59" s="76">
        <f>VLOOKUP(I$14,Table2456[],5,FALSE)</f>
        <v>6.2</v>
      </c>
      <c r="I59" s="76">
        <f>VLOOKUP(J$14,Table2456[],5,FALSE)</f>
        <v>6.2</v>
      </c>
      <c r="J59" s="76">
        <f>VLOOKUP(K$14,Table2456[],5,FALSE)</f>
        <v>6.2</v>
      </c>
      <c r="K59" s="76">
        <f>VLOOKUP(L$14,Table2456[],5,FALSE)</f>
        <v>6.2</v>
      </c>
      <c r="L59" s="76">
        <f>VLOOKUP(M$14,Table2456[],5,FALSE)</f>
        <v>6.2</v>
      </c>
      <c r="M59" s="76">
        <f>VLOOKUP(N$14,Table2456[],5,FALSE)</f>
        <v>6.2</v>
      </c>
      <c r="N59" s="76">
        <f>VLOOKUP(O$14,Table2456[],5,FALSE)</f>
        <v>6.2</v>
      </c>
      <c r="O59" s="76">
        <f>VLOOKUP(P$14,Table2456[],5,FALSE)</f>
        <v>6.7</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ht="13" x14ac:dyDescent="0.3">
      <c r="A60" s="111" t="s">
        <v>4</v>
      </c>
      <c r="B60" s="76">
        <f>C10</f>
        <v>6.2</v>
      </c>
      <c r="C60" s="76">
        <f t="shared" ref="C60:U60" si="14">D10</f>
        <v>6</v>
      </c>
      <c r="D60" s="76">
        <f t="shared" si="14"/>
        <v>7</v>
      </c>
      <c r="E60" s="76">
        <f t="shared" si="14"/>
        <v>6.1</v>
      </c>
      <c r="F60" s="76">
        <f t="shared" si="14"/>
        <v>6.5</v>
      </c>
      <c r="G60" s="76">
        <f t="shared" si="14"/>
        <v>6.5</v>
      </c>
      <c r="H60" s="76">
        <f t="shared" si="14"/>
        <v>6.1</v>
      </c>
      <c r="I60" s="76">
        <f t="shared" si="14"/>
        <v>6.1</v>
      </c>
      <c r="J60" s="76">
        <f t="shared" si="14"/>
        <v>6.6</v>
      </c>
      <c r="K60" s="76">
        <f t="shared" si="14"/>
        <v>6.7</v>
      </c>
      <c r="L60" s="76">
        <f t="shared" si="14"/>
        <v>6.7</v>
      </c>
      <c r="M60" s="76">
        <f t="shared" si="14"/>
        <v>6.5</v>
      </c>
      <c r="N60" s="76">
        <f t="shared" si="14"/>
        <v>6.7</v>
      </c>
      <c r="O60" s="76">
        <f t="shared" si="14"/>
        <v>6.5</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5</v>
      </c>
      <c r="C61" s="76">
        <f t="shared" si="15"/>
        <v>5</v>
      </c>
      <c r="D61" s="76">
        <f t="shared" si="15"/>
        <v>5</v>
      </c>
      <c r="E61" s="76">
        <f t="shared" si="15"/>
        <v>7</v>
      </c>
      <c r="F61" s="76">
        <f t="shared" si="15"/>
        <v>5</v>
      </c>
      <c r="G61" s="76">
        <f t="shared" si="15"/>
        <v>5</v>
      </c>
      <c r="H61" s="76">
        <f t="shared" si="15"/>
        <v>5</v>
      </c>
      <c r="I61" s="76">
        <f t="shared" si="15"/>
        <v>5</v>
      </c>
      <c r="J61" s="76">
        <f t="shared" si="15"/>
        <v>5</v>
      </c>
      <c r="K61" s="76">
        <f t="shared" si="15"/>
        <v>5</v>
      </c>
      <c r="L61" s="76">
        <f t="shared" si="15"/>
        <v>5</v>
      </c>
      <c r="M61" s="76">
        <f t="shared" si="15"/>
        <v>5</v>
      </c>
      <c r="N61" s="76">
        <f t="shared" si="15"/>
        <v>5</v>
      </c>
      <c r="O61" s="76">
        <f t="shared" si="15"/>
        <v>7</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1.0000000000000009</v>
      </c>
      <c r="D64" s="77">
        <f t="shared" si="17"/>
        <v>-3.9999999999999991</v>
      </c>
      <c r="E64" s="77">
        <f t="shared" si="17"/>
        <v>4.2000000000000037</v>
      </c>
      <c r="F64" s="77">
        <f t="shared" si="17"/>
        <v>-1.4999999999999991</v>
      </c>
      <c r="G64" s="77">
        <f t="shared" si="17"/>
        <v>-1.4999999999999991</v>
      </c>
      <c r="H64" s="77">
        <f t="shared" si="17"/>
        <v>0.50000000000000266</v>
      </c>
      <c r="I64" s="77">
        <f t="shared" si="17"/>
        <v>0.50000000000000266</v>
      </c>
      <c r="J64" s="77">
        <f t="shared" si="17"/>
        <v>-1.9999999999999973</v>
      </c>
      <c r="K64" s="77">
        <f t="shared" si="17"/>
        <v>-2.5</v>
      </c>
      <c r="L64" s="77">
        <f t="shared" si="17"/>
        <v>-2.5</v>
      </c>
      <c r="M64" s="77">
        <f t="shared" si="17"/>
        <v>-1.4999999999999991</v>
      </c>
      <c r="N64" s="77">
        <f t="shared" si="17"/>
        <v>-2.5</v>
      </c>
      <c r="O64" s="77">
        <f t="shared" si="17"/>
        <v>1.4000000000000012</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-1.0000000000000009</v>
      </c>
      <c r="D65" s="77">
        <f t="shared" si="18"/>
        <v>3.9999999999999991</v>
      </c>
      <c r="E65" s="77">
        <f t="shared" si="18"/>
        <v>-4.2000000000000037</v>
      </c>
      <c r="F65" s="77">
        <f t="shared" si="18"/>
        <v>1.4999999999999991</v>
      </c>
      <c r="G65" s="77">
        <f t="shared" si="18"/>
        <v>1.4999999999999991</v>
      </c>
      <c r="H65" s="77">
        <f t="shared" si="18"/>
        <v>-0.50000000000000266</v>
      </c>
      <c r="I65" s="77">
        <f t="shared" si="18"/>
        <v>-0.50000000000000266</v>
      </c>
      <c r="J65" s="77">
        <f t="shared" si="18"/>
        <v>1.9999999999999973</v>
      </c>
      <c r="K65" s="77">
        <f t="shared" si="18"/>
        <v>2.5</v>
      </c>
      <c r="L65" s="77">
        <f t="shared" si="18"/>
        <v>2.5</v>
      </c>
      <c r="M65" s="77">
        <f t="shared" si="18"/>
        <v>1.4999999999999991</v>
      </c>
      <c r="N65" s="77">
        <f t="shared" si="18"/>
        <v>2.5</v>
      </c>
      <c r="O65" s="77">
        <f t="shared" si="18"/>
        <v>-1.4000000000000012</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UNDER</v>
      </c>
      <c r="D66" s="78" t="str">
        <f t="shared" si="19"/>
        <v>OVER</v>
      </c>
      <c r="E66" s="78" t="str">
        <f t="shared" si="19"/>
        <v>UNDER</v>
      </c>
      <c r="F66" s="78" t="str">
        <f t="shared" si="19"/>
        <v>OVER</v>
      </c>
      <c r="G66" s="78" t="str">
        <f t="shared" si="19"/>
        <v>OVER</v>
      </c>
      <c r="H66" s="78" t="str">
        <f t="shared" si="19"/>
        <v>UNDER</v>
      </c>
      <c r="I66" s="78" t="str">
        <f t="shared" si="19"/>
        <v>UNDER</v>
      </c>
      <c r="J66" s="78" t="str">
        <f t="shared" si="19"/>
        <v>OVER</v>
      </c>
      <c r="K66" s="78" t="str">
        <f t="shared" si="19"/>
        <v>OVER</v>
      </c>
      <c r="L66" s="78" t="str">
        <f t="shared" si="19"/>
        <v>OVER</v>
      </c>
      <c r="M66" s="78" t="str">
        <f t="shared" si="19"/>
        <v>OVER</v>
      </c>
      <c r="N66" s="78" t="str">
        <f t="shared" si="19"/>
        <v>OVER</v>
      </c>
      <c r="O66" s="78" t="str">
        <f t="shared" si="19"/>
        <v>UNDER</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6" t="s">
        <v>84</v>
      </c>
      <c r="B1" s="38" t="str">
        <f>'Field data and Waste 1'!B29</f>
        <v>Application Rate</v>
      </c>
      <c r="C1" s="38" t="str">
        <f>'Field data and Waste 1'!C29</f>
        <v>Nitrogen Addition</v>
      </c>
      <c r="D1" s="38" t="str">
        <f>'Field data and Waste 1'!D29</f>
        <v>Phosphate Addition</v>
      </c>
      <c r="E1" s="38" t="str">
        <f>'Field data and Waste 1'!E29</f>
        <v>Potash  Addition</v>
      </c>
      <c r="F1" s="38" t="str">
        <f>'Field data and Waste 1'!F29</f>
        <v>Mg Oxide Addition</v>
      </c>
      <c r="G1" s="38" t="str">
        <f>'Field data and Waste 1'!G29</f>
        <v>Copper Addition</v>
      </c>
      <c r="H1" s="38" t="str">
        <f>'Field data and Waste 1'!H29</f>
        <v>Zinc Addition</v>
      </c>
      <c r="I1" s="38" t="str">
        <f>'Field data and Waste 1'!I29</f>
        <v>Lead Addition</v>
      </c>
      <c r="J1" s="38" t="str">
        <f>'Field data and Waste 1'!J29</f>
        <v>Cadmium Addition</v>
      </c>
      <c r="K1" s="38" t="str">
        <f>'Field data and Waste 1'!K29</f>
        <v>Mercury Addition</v>
      </c>
      <c r="L1" s="38" t="str">
        <f>'Field data and Waste 1'!L29</f>
        <v>Nickel Addition</v>
      </c>
      <c r="M1" s="38" t="str">
        <f>'Field data and Waste 1'!M29</f>
        <v>Chromium Addition</v>
      </c>
      <c r="N1" s="38" t="str">
        <f>'Field data and Waste 1'!N29</f>
        <v>Aluminium Addition</v>
      </c>
      <c r="O1" s="38" t="str">
        <f>'Field data and Waste 1'!O29</f>
        <v>Iron Addition</v>
      </c>
      <c r="P1" s="38" t="str">
        <f>'Field data and Waste 1'!P29</f>
        <v xml:space="preserve">Sodium Addition                 </v>
      </c>
      <c r="Q1" s="38" t="str">
        <f>'Field data and Waste 1'!Q29</f>
        <v>SO3  Addition                             kg/ha</v>
      </c>
      <c r="R1" s="38" t="str">
        <f>'Field data and Waste 1'!R29</f>
        <v xml:space="preserve">Selenium Addition </v>
      </c>
      <c r="S1" s="38" t="str">
        <f>'Field data and Waste 1'!S29</f>
        <v xml:space="preserve">Arsenic  Addition  </v>
      </c>
      <c r="T1" s="38" t="str">
        <f>'Field data and Waste 1'!T29</f>
        <v xml:space="preserve">Molybdenum Addition  </v>
      </c>
      <c r="U1" s="38" t="str">
        <f>'Field data and Waste 1'!U29</f>
        <v xml:space="preserve">Fluoride Addition </v>
      </c>
    </row>
    <row r="2" spans="1:21" ht="25" x14ac:dyDescent="0.25">
      <c r="A2" s="146"/>
      <c r="B2" s="38" t="str">
        <f>'Field data and Waste 1'!B30</f>
        <v>tonnes/ha</v>
      </c>
      <c r="C2" s="38" t="str">
        <f>'Field data and Waste 1'!C30</f>
        <v>kg/ha</v>
      </c>
      <c r="D2" s="38" t="str">
        <f>'Field data and Waste 1'!D30</f>
        <v>P2O5 
kg/ha</v>
      </c>
      <c r="E2" s="38" t="str">
        <f>'Field data and Waste 1'!E30</f>
        <v>K2O 
kg/ha</v>
      </c>
      <c r="F2" s="38" t="str">
        <f>'Field data and Waste 1'!F30</f>
        <v>MgO 
kg/ha</v>
      </c>
      <c r="G2" s="38" t="str">
        <f>'Field data and Waste 1'!G30</f>
        <v>kg/ha</v>
      </c>
      <c r="H2" s="38" t="str">
        <f>'Field data and Waste 1'!H30</f>
        <v>kg/ha</v>
      </c>
      <c r="I2" s="38" t="str">
        <f>'Field data and Waste 1'!I30</f>
        <v>kg/ha</v>
      </c>
      <c r="J2" s="38" t="str">
        <f>'Field data and Waste 1'!J30</f>
        <v>kg/ha</v>
      </c>
      <c r="K2" s="38" t="str">
        <f>'Field data and Waste 1'!K30</f>
        <v>kg/ha</v>
      </c>
      <c r="L2" s="38" t="str">
        <f>'Field data and Waste 1'!L30</f>
        <v>kg/ha</v>
      </c>
      <c r="M2" s="38" t="str">
        <f>'Field data and Waste 1'!M30</f>
        <v>kg/ha</v>
      </c>
      <c r="N2" s="38" t="str">
        <f>'Field data and Waste 1'!N30</f>
        <v>kg/ha</v>
      </c>
      <c r="O2" s="38" t="str">
        <f>'Field data and Waste 1'!O30</f>
        <v>kg/ha</v>
      </c>
      <c r="P2" s="38" t="str">
        <f>'Field data and Waste 1'!P30</f>
        <v>kg/ha</v>
      </c>
      <c r="Q2" s="38" t="str">
        <f>'Field data and Waste 1'!Q30</f>
        <v>kg/ha</v>
      </c>
      <c r="R2" s="38" t="str">
        <f>'Field data and Waste 1'!R30</f>
        <v>kg/ha</v>
      </c>
      <c r="S2" s="38" t="str">
        <f>'Field data and Waste 1'!S30</f>
        <v>kg/ha</v>
      </c>
      <c r="T2" s="38" t="str">
        <f>'Field data and Waste 1'!T30</f>
        <v>kg/ha</v>
      </c>
      <c r="U2" s="38" t="str">
        <f>'Field data and Waste 1'!U30</f>
        <v>kg/ha</v>
      </c>
    </row>
    <row r="3" spans="1:21" x14ac:dyDescent="0.25">
      <c r="A3" s="36">
        <v>1</v>
      </c>
      <c r="B3" s="33">
        <f>'Field data and Waste 1'!B31</f>
        <v>24</v>
      </c>
      <c r="C3" s="33">
        <f>'Field data and Waste 1'!C31</f>
        <v>86.399999999999991</v>
      </c>
      <c r="D3" s="33">
        <f>'Field data and Waste 1'!D31</f>
        <v>64.276296000000002</v>
      </c>
      <c r="E3" s="33">
        <f>'Field data and Waste 1'!E31</f>
        <v>5.6683200000000014</v>
      </c>
      <c r="F3" s="33">
        <f>'Field data and Waste 1'!F31</f>
        <v>1.7866608000000002</v>
      </c>
      <c r="G3" s="33">
        <f>'Field data and Waste 1'!G31</f>
        <v>7.9680000000000001E-2</v>
      </c>
      <c r="H3" s="33">
        <f>'Field data and Waste 1'!H31</f>
        <v>0.51600000000000001</v>
      </c>
      <c r="I3" s="33">
        <f>'Field data and Waste 1'!I31</f>
        <v>3.6479999999999999E-2</v>
      </c>
      <c r="J3" s="33">
        <f>'Field data and Waste 1'!J31</f>
        <v>1.6800000000000001E-3</v>
      </c>
      <c r="K3" s="33">
        <f>'Field data and Waste 1'!K31</f>
        <v>1.2000000000000001E-3</v>
      </c>
      <c r="L3" s="33">
        <f>'Field data and Waste 1'!L31</f>
        <v>1.7520000000000001E-2</v>
      </c>
      <c r="M3" s="33">
        <f>'Field data and Waste 1'!M31</f>
        <v>3.4079999999999999E-2</v>
      </c>
      <c r="N3" s="33">
        <f>'Field data and Waste 1'!N31</f>
        <v>0</v>
      </c>
      <c r="O3" s="33">
        <f>'Field data and Waste 1'!O31</f>
        <v>0</v>
      </c>
      <c r="P3" s="33">
        <f>'Field data and Waste 1'!P31</f>
        <v>18.672000000000001</v>
      </c>
      <c r="Q3" s="33">
        <f>'Field data and Waste 1'!Q31</f>
        <v>35.699999999999996</v>
      </c>
      <c r="R3" s="33">
        <f>'Field data and Waste 1'!R31</f>
        <v>0</v>
      </c>
      <c r="S3" s="33">
        <f>'Field data and Waste 1'!S31</f>
        <v>0</v>
      </c>
      <c r="T3" s="33">
        <f>'Field data and Waste 1'!T31</f>
        <v>0</v>
      </c>
      <c r="U3" s="33">
        <f>'Field data and Waste 1'!U31</f>
        <v>0</v>
      </c>
    </row>
    <row r="4" spans="1:21" x14ac:dyDescent="0.25">
      <c r="A4" s="36">
        <v>2</v>
      </c>
      <c r="B4" s="33">
        <f>'Waste 2'!B31</f>
        <v>54</v>
      </c>
      <c r="C4" s="33">
        <f>'Waste 2'!C31</f>
        <v>118.80000000000001</v>
      </c>
      <c r="D4" s="33">
        <f>'Waste 2'!D31</f>
        <v>65.073564000000005</v>
      </c>
      <c r="E4" s="33">
        <f>'Waste 2'!E31</f>
        <v>13.92498</v>
      </c>
      <c r="F4" s="33">
        <f>'Waste 2'!F31</f>
        <v>8.2369439999999994</v>
      </c>
      <c r="G4" s="33">
        <f>'Waste 2'!G31</f>
        <v>5.2919999999999995E-2</v>
      </c>
      <c r="H4" s="33">
        <f>'Waste 2'!H31</f>
        <v>0.59940000000000004</v>
      </c>
      <c r="I4" s="33">
        <f>'Waste 2'!I31</f>
        <v>2.7E-2</v>
      </c>
      <c r="J4" s="33">
        <f>'Waste 2'!J31</f>
        <v>5.4000000000000001E-4</v>
      </c>
      <c r="K4" s="33">
        <f>'Waste 2'!K31</f>
        <v>2.7000000000000001E-3</v>
      </c>
      <c r="L4" s="33">
        <f>'Waste 2'!L31</f>
        <v>3.5262000000000002E-2</v>
      </c>
      <c r="M4" s="33">
        <f>'Waste 2'!M31</f>
        <v>0.27594000000000002</v>
      </c>
      <c r="N4" s="33">
        <f>'Waste 2'!N31</f>
        <v>0</v>
      </c>
      <c r="O4" s="33">
        <f>'Waste 2'!O31</f>
        <v>0</v>
      </c>
      <c r="P4" s="33">
        <f>'Waste 2'!P31</f>
        <v>236.14200000000002</v>
      </c>
      <c r="Q4" s="33">
        <f>'Waste 2'!Q31</f>
        <v>282.82500000000005</v>
      </c>
      <c r="R4" s="33">
        <f>'Waste 2'!R31</f>
        <v>0</v>
      </c>
      <c r="S4" s="33">
        <f>'Waste 2'!S31</f>
        <v>0</v>
      </c>
      <c r="T4" s="33">
        <f>'Waste 2'!T31</f>
        <v>0</v>
      </c>
      <c r="U4" s="33">
        <f>'Waste 2'!U31</f>
        <v>0</v>
      </c>
    </row>
    <row r="5" spans="1:21" x14ac:dyDescent="0.25">
      <c r="A5" s="36">
        <v>3</v>
      </c>
      <c r="B5" s="33">
        <f>'Waste 3'!B31</f>
        <v>41</v>
      </c>
      <c r="C5" s="33">
        <f>'Waste 3'!C31</f>
        <v>147.6</v>
      </c>
      <c r="D5" s="33">
        <f>'Waste 3'!D31</f>
        <v>63.967011000000007</v>
      </c>
      <c r="E5" s="33">
        <f>'Waste 3'!E31</f>
        <v>13.586375000000002</v>
      </c>
      <c r="F5" s="33">
        <f>'Waste 3'!F31</f>
        <v>14.411336</v>
      </c>
      <c r="G5" s="33">
        <f>'Waste 3'!G31</f>
        <v>6.0679999999999998E-2</v>
      </c>
      <c r="H5" s="33">
        <f>'Waste 3'!H31</f>
        <v>0.4592</v>
      </c>
      <c r="I5" s="33">
        <f>'Waste 3'!I31</f>
        <v>2.0500000000000001E-2</v>
      </c>
      <c r="J5" s="33">
        <f>'Waste 3'!J31</f>
        <v>6.5600000000000001E-4</v>
      </c>
      <c r="K5" s="33">
        <f>'Waste 3'!K31</f>
        <v>2.0500000000000002E-3</v>
      </c>
      <c r="L5" s="33">
        <f>'Waste 3'!L31</f>
        <v>1.3038000000000001E-2</v>
      </c>
      <c r="M5" s="33">
        <f>'Waste 3'!M31</f>
        <v>2.1853000000000001E-2</v>
      </c>
      <c r="N5" s="33">
        <f>'Waste 3'!N31</f>
        <v>0</v>
      </c>
      <c r="O5" s="33">
        <f>'Waste 3'!O31</f>
        <v>0</v>
      </c>
      <c r="P5" s="33">
        <f>'Waste 3'!P31</f>
        <v>17.015000000000001</v>
      </c>
      <c r="Q5" s="33">
        <f>'Waste 3'!Q31</f>
        <v>72.877499999999998</v>
      </c>
      <c r="R5" s="33">
        <f>'Waste 3'!R31</f>
        <v>0</v>
      </c>
      <c r="S5" s="33">
        <f>'Waste 3'!S31</f>
        <v>0</v>
      </c>
      <c r="T5" s="33">
        <f>'Waste 3'!T31</f>
        <v>0</v>
      </c>
      <c r="U5" s="33">
        <f>'Waste 3'!U31</f>
        <v>0</v>
      </c>
    </row>
    <row r="6" spans="1:21" x14ac:dyDescent="0.25">
      <c r="A6" s="36">
        <v>4</v>
      </c>
      <c r="B6" s="33">
        <f>'Waste 4'!B31</f>
        <v>38</v>
      </c>
      <c r="C6" s="33">
        <f>'Waste 4'!C31</f>
        <v>140.6</v>
      </c>
      <c r="D6" s="33">
        <f>'Waste 4'!D31</f>
        <v>64.335862000000006</v>
      </c>
      <c r="E6" s="33">
        <f>'Waste 4'!E31</f>
        <v>7.9216700000000015</v>
      </c>
      <c r="F6" s="33">
        <f>'Waste 4'!F31</f>
        <v>14.490919999999999</v>
      </c>
      <c r="G6" s="33">
        <f>'Waste 4'!G31</f>
        <v>0.12312000000000001</v>
      </c>
      <c r="H6" s="33">
        <f>'Waste 4'!H31</f>
        <v>0.61940000000000006</v>
      </c>
      <c r="I6" s="33">
        <f>'Waste 4'!I31</f>
        <v>1.9E-2</v>
      </c>
      <c r="J6" s="33">
        <f>'Waste 4'!J31</f>
        <v>3.8000000000000002E-4</v>
      </c>
      <c r="K6" s="33">
        <f>'Waste 4'!K31</f>
        <v>1.9E-3</v>
      </c>
      <c r="L6" s="33">
        <f>'Waste 4'!L31</f>
        <v>3.3402000000000001E-2</v>
      </c>
      <c r="M6" s="33">
        <f>'Waste 4'!M31</f>
        <v>3.5226E-2</v>
      </c>
      <c r="N6" s="33">
        <f>'Waste 4'!N31</f>
        <v>0</v>
      </c>
      <c r="O6" s="33">
        <f>'Waste 4'!O31</f>
        <v>0</v>
      </c>
      <c r="P6" s="33">
        <f>'Waste 4'!P31</f>
        <v>27.93</v>
      </c>
      <c r="Q6" s="33">
        <f>'Waste 4'!Q31</f>
        <v>55.29</v>
      </c>
      <c r="R6" s="33">
        <f>'Waste 4'!R31</f>
        <v>0</v>
      </c>
      <c r="S6" s="33">
        <f>'Waste 4'!S31</f>
        <v>0</v>
      </c>
      <c r="T6" s="33">
        <f>'Waste 4'!T31</f>
        <v>0</v>
      </c>
      <c r="U6" s="33">
        <f>'Waste 4'!U31</f>
        <v>0</v>
      </c>
    </row>
    <row r="7" spans="1:21" x14ac:dyDescent="0.25">
      <c r="A7" s="36">
        <v>5</v>
      </c>
      <c r="B7" s="33">
        <f>'Waste 5'!B31</f>
        <v>17</v>
      </c>
      <c r="C7" s="33">
        <f>'Waste 5'!C31</f>
        <v>121.46347</v>
      </c>
      <c r="D7" s="33">
        <f>'Waste 5'!D31</f>
        <v>63.477767950000008</v>
      </c>
      <c r="E7" s="33">
        <f>'Waste 5'!E31</f>
        <v>13.084281625000004</v>
      </c>
      <c r="F7" s="33">
        <f>'Waste 5'!F31</f>
        <v>6.4314532939999998</v>
      </c>
      <c r="G7" s="33">
        <f>'Waste 5'!G31</f>
        <v>4.4481690000000004E-2</v>
      </c>
      <c r="H7" s="33">
        <f>'Waste 5'!H31</f>
        <v>0.50472490000000014</v>
      </c>
      <c r="I7" s="33">
        <f>'Waste 5'!I31</f>
        <v>6.3352710000000017E-3</v>
      </c>
      <c r="J7" s="33">
        <f>'Waste 5'!J31</f>
        <v>1.4977000000000002E-4</v>
      </c>
      <c r="K7" s="33">
        <f>'Waste 5'!K31</f>
        <v>1.4977000000000002E-4</v>
      </c>
      <c r="L7" s="33">
        <f>'Waste 5'!L31</f>
        <v>3.1601470000000006E-2</v>
      </c>
      <c r="M7" s="33">
        <f>'Waste 5'!M31</f>
        <v>9.8249119999999995E-2</v>
      </c>
      <c r="N7" s="33">
        <f>'Waste 5'!N31</f>
        <v>0</v>
      </c>
      <c r="O7" s="33">
        <f>'Waste 5'!O31</f>
        <v>0</v>
      </c>
      <c r="P7" s="33">
        <f>'Waste 5'!P31</f>
        <v>15.576080000000003</v>
      </c>
      <c r="Q7" s="33">
        <f>'Waste 5'!Q31</f>
        <v>63.277825000000007</v>
      </c>
      <c r="R7" s="33">
        <f>'Waste 5'!R31</f>
        <v>0</v>
      </c>
      <c r="S7" s="33">
        <f>'Waste 5'!S31</f>
        <v>0</v>
      </c>
      <c r="T7" s="33">
        <f>'Waste 5'!T31</f>
        <v>0</v>
      </c>
      <c r="U7" s="33">
        <f>'Waste 5'!U31</f>
        <v>0</v>
      </c>
    </row>
    <row r="8" spans="1:21" x14ac:dyDescent="0.25">
      <c r="A8" s="36">
        <v>6</v>
      </c>
      <c r="B8" s="33">
        <f>'Waste 6'!B31</f>
        <v>250</v>
      </c>
      <c r="C8" s="33">
        <f>'Waste 6'!C31</f>
        <v>150</v>
      </c>
      <c r="D8" s="33">
        <f>'Waste 6'!D31</f>
        <v>56.587699999999998</v>
      </c>
      <c r="E8" s="33">
        <f>'Waste 6'!E31</f>
        <v>50.911250000000003</v>
      </c>
      <c r="F8" s="33">
        <f>'Waste 6'!F31</f>
        <v>10.6112</v>
      </c>
      <c r="G8" s="33">
        <f>'Waste 6'!G31</f>
        <v>5.525E-2</v>
      </c>
      <c r="H8" s="33">
        <f>'Waste 6'!H31</f>
        <v>0.25</v>
      </c>
      <c r="I8" s="33">
        <f>'Waste 6'!I31</f>
        <v>0.125</v>
      </c>
      <c r="J8" s="33">
        <f>'Waste 6'!J31</f>
        <v>2.5000000000000001E-3</v>
      </c>
      <c r="K8" s="33">
        <f>'Waste 6'!K31</f>
        <v>1.2500000000000001E-2</v>
      </c>
      <c r="L8" s="33">
        <f>'Waste 6'!L31</f>
        <v>0.05</v>
      </c>
      <c r="M8" s="33">
        <f>'Waste 6'!M31</f>
        <v>0.05</v>
      </c>
      <c r="N8" s="33">
        <f>'Waste 6'!N31</f>
        <v>0</v>
      </c>
      <c r="O8" s="33">
        <f>'Waste 6'!O31</f>
        <v>0</v>
      </c>
      <c r="P8" s="33">
        <f>'Waste 6'!P31</f>
        <v>84.25</v>
      </c>
      <c r="Q8" s="33">
        <f>'Waste 6'!Q31</f>
        <v>48.6875</v>
      </c>
      <c r="R8" s="33">
        <f>'Waste 6'!R31</f>
        <v>0</v>
      </c>
      <c r="S8" s="33">
        <f>'Waste 6'!S31</f>
        <v>0</v>
      </c>
      <c r="T8" s="33">
        <f>'Waste 6'!T31</f>
        <v>0</v>
      </c>
      <c r="U8" s="33">
        <f>'Waste 6'!U31</f>
        <v>0</v>
      </c>
    </row>
    <row r="9" spans="1:21" x14ac:dyDescent="0.25">
      <c r="A9" s="36">
        <v>7</v>
      </c>
      <c r="B9" s="33">
        <f>'Waste 7'!B31</f>
        <v>200</v>
      </c>
      <c r="C9" s="33">
        <f>'Waste 7'!C31</f>
        <v>80</v>
      </c>
      <c r="D9" s="33">
        <f>'Waste 7'!D31</f>
        <v>64.14800000000001</v>
      </c>
      <c r="E9" s="33">
        <f>'Waste 7'!E31</f>
        <v>67.962000000000018</v>
      </c>
      <c r="F9" s="33">
        <f>'Waste 7'!F31</f>
        <v>11.407039999999999</v>
      </c>
      <c r="G9" s="33">
        <f>'Waste 7'!G31</f>
        <v>0.32600000000000001</v>
      </c>
      <c r="H9" s="33">
        <f>'Waste 7'!H31</f>
        <v>0.1</v>
      </c>
      <c r="I9" s="33">
        <f>'Waste 7'!I31</f>
        <v>0.1</v>
      </c>
      <c r="J9" s="33">
        <f>'Waste 7'!J31</f>
        <v>2E-3</v>
      </c>
      <c r="K9" s="33">
        <f>'Waste 7'!K31</f>
        <v>0.01</v>
      </c>
      <c r="L9" s="33">
        <f>'Waste 7'!L31</f>
        <v>0.04</v>
      </c>
      <c r="M9" s="33">
        <f>'Waste 7'!M31</f>
        <v>0.04</v>
      </c>
      <c r="N9" s="33">
        <f>'Waste 7'!N31</f>
        <v>0</v>
      </c>
      <c r="O9" s="33">
        <f>'Waste 7'!O31</f>
        <v>0</v>
      </c>
      <c r="P9" s="33">
        <f>'Waste 7'!P31</f>
        <v>177.6</v>
      </c>
      <c r="Q9" s="33">
        <f>'Waste 7'!Q31</f>
        <v>22.25</v>
      </c>
      <c r="R9" s="33">
        <f>'Waste 7'!R31</f>
        <v>0</v>
      </c>
      <c r="S9" s="33">
        <f>'Waste 7'!S31</f>
        <v>0</v>
      </c>
      <c r="T9" s="33">
        <f>'Waste 7'!T31</f>
        <v>0</v>
      </c>
      <c r="U9" s="33">
        <f>'Waste 7'!U31</f>
        <v>0</v>
      </c>
    </row>
    <row r="10" spans="1:21" x14ac:dyDescent="0.25">
      <c r="A10" s="36">
        <v>8</v>
      </c>
      <c r="B10" s="33">
        <f>'Waste 8'!B31</f>
        <v>53</v>
      </c>
      <c r="C10" s="33">
        <f>'Waste 8'!C31</f>
        <v>169.60000000000002</v>
      </c>
      <c r="D10" s="33">
        <f>'Waste 8'!D31</f>
        <v>64.23276700000001</v>
      </c>
      <c r="E10" s="33">
        <f>'Waste 8'!E31</f>
        <v>16.093980000000002</v>
      </c>
      <c r="F10" s="33">
        <f>'Waste 8'!F31</f>
        <v>5.6678729999999993</v>
      </c>
      <c r="G10" s="33">
        <f>'Waste 8'!G31</f>
        <v>6.4129999999999993E-2</v>
      </c>
      <c r="H10" s="33">
        <f>'Waste 8'!H31</f>
        <v>0.12349</v>
      </c>
      <c r="I10" s="33">
        <f>'Waste 8'!I31</f>
        <v>2.6499999999999999E-2</v>
      </c>
      <c r="J10" s="33">
        <f>'Waste 8'!J31</f>
        <v>5.3000000000000009E-4</v>
      </c>
      <c r="K10" s="33">
        <f>'Waste 8'!K31</f>
        <v>2.65E-3</v>
      </c>
      <c r="L10" s="33">
        <f>'Waste 8'!L31</f>
        <v>1.06E-2</v>
      </c>
      <c r="M10" s="33">
        <f>'Waste 8'!M31</f>
        <v>2.4909999999999998E-2</v>
      </c>
      <c r="N10" s="33">
        <f>'Waste 8'!N31</f>
        <v>0</v>
      </c>
      <c r="O10" s="33">
        <f>'Waste 8'!O31</f>
        <v>0</v>
      </c>
      <c r="P10" s="33">
        <f>'Waste 8'!P31</f>
        <v>3.2701000000000002</v>
      </c>
      <c r="Q10" s="33">
        <f>'Waste 8'!Q31</f>
        <v>23.452500000000001</v>
      </c>
      <c r="R10" s="33">
        <f>'Waste 8'!R31</f>
        <v>0</v>
      </c>
      <c r="S10" s="33">
        <f>'Waste 8'!S31</f>
        <v>0</v>
      </c>
      <c r="T10" s="33">
        <f>'Waste 8'!T31</f>
        <v>0</v>
      </c>
      <c r="U10" s="33">
        <f>'Waste 8'!U31</f>
        <v>0</v>
      </c>
    </row>
    <row r="11" spans="1:21" x14ac:dyDescent="0.25">
      <c r="A11" s="36">
        <v>9</v>
      </c>
      <c r="B11" s="33">
        <f>'Waste 9'!B31</f>
        <v>140</v>
      </c>
      <c r="C11" s="33">
        <f>'Waste 9'!C31</f>
        <v>238.00000000000003</v>
      </c>
      <c r="D11" s="33">
        <f>'Waste 9'!D31</f>
        <v>64.468739999999997</v>
      </c>
      <c r="E11" s="33">
        <f>'Waste 9'!E31</f>
        <v>34.752200000000009</v>
      </c>
      <c r="F11" s="33">
        <f>'Waste 9'!F31</f>
        <v>12.186299999999999</v>
      </c>
      <c r="G11" s="33">
        <f>'Waste 9'!G31</f>
        <v>4.9700000000000001E-2</v>
      </c>
      <c r="H11" s="33">
        <f>'Waste 9'!H31</f>
        <v>0.32619999999999999</v>
      </c>
      <c r="I11" s="33">
        <f>'Waste 9'!I31</f>
        <v>7.0000000000000007E-2</v>
      </c>
      <c r="J11" s="33">
        <f>'Waste 9'!J31</f>
        <v>1.4000000000000002E-3</v>
      </c>
      <c r="K11" s="33">
        <f>'Waste 9'!K31</f>
        <v>7.0000000000000001E-3</v>
      </c>
      <c r="L11" s="33">
        <f>'Waste 9'!L31</f>
        <v>2.9960000000000001E-2</v>
      </c>
      <c r="M11" s="33">
        <f>'Waste 9'!M31</f>
        <v>7.196000000000001E-2</v>
      </c>
      <c r="N11" s="33">
        <f>'Waste 9'!N31</f>
        <v>0</v>
      </c>
      <c r="O11" s="33">
        <f>'Waste 9'!O31</f>
        <v>0</v>
      </c>
      <c r="P11" s="33">
        <f>'Waste 9'!P31</f>
        <v>57.960000000000008</v>
      </c>
      <c r="Q11" s="33">
        <f>'Waste 9'!Q31</f>
        <v>80.150000000000006</v>
      </c>
      <c r="R11" s="33">
        <f>'Waste 9'!R31</f>
        <v>0</v>
      </c>
      <c r="S11" s="33">
        <f>'Waste 9'!S31</f>
        <v>0</v>
      </c>
      <c r="T11" s="33">
        <f>'Waste 9'!T31</f>
        <v>0</v>
      </c>
      <c r="U11" s="33">
        <f>'Waste 9'!U31</f>
        <v>0</v>
      </c>
    </row>
    <row r="12" spans="1:21" x14ac:dyDescent="0.25">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5" x14ac:dyDescent="0.35">
      <c r="A13" s="80" t="s">
        <v>85</v>
      </c>
      <c r="B13" s="81">
        <f>SUM(B3:B12)</f>
        <v>817</v>
      </c>
      <c r="C13" s="81">
        <f t="shared" ref="C13:U13" si="0">SUM(C3:C12)</f>
        <v>1252.4634700000001</v>
      </c>
      <c r="D13" s="81">
        <f t="shared" si="0"/>
        <v>570.56770795</v>
      </c>
      <c r="E13" s="81">
        <f t="shared" si="0"/>
        <v>223.90505662500004</v>
      </c>
      <c r="F13" s="81">
        <f t="shared" si="0"/>
        <v>85.229727093999998</v>
      </c>
      <c r="G13" s="81">
        <f t="shared" si="0"/>
        <v>0.85596169000000011</v>
      </c>
      <c r="H13" s="81">
        <f t="shared" si="0"/>
        <v>3.4984149000000007</v>
      </c>
      <c r="I13" s="81">
        <f t="shared" si="0"/>
        <v>0.43081527100000006</v>
      </c>
      <c r="J13" s="81">
        <f t="shared" si="0"/>
        <v>9.8357699999999989E-3</v>
      </c>
      <c r="K13" s="81">
        <f t="shared" si="0"/>
        <v>4.0149770000000001E-2</v>
      </c>
      <c r="L13" s="81">
        <f t="shared" si="0"/>
        <v>0.26138347000000001</v>
      </c>
      <c r="M13" s="81">
        <f t="shared" si="0"/>
        <v>0.65221812000000012</v>
      </c>
      <c r="N13" s="81">
        <f t="shared" si="0"/>
        <v>0</v>
      </c>
      <c r="O13" s="81">
        <f t="shared" si="0"/>
        <v>0</v>
      </c>
      <c r="P13" s="81">
        <f t="shared" si="0"/>
        <v>638.41517999999996</v>
      </c>
      <c r="Q13" s="81">
        <f t="shared" si="0"/>
        <v>684.51032499999997</v>
      </c>
      <c r="R13" s="81">
        <f t="shared" si="0"/>
        <v>0</v>
      </c>
      <c r="S13" s="81">
        <f t="shared" si="0"/>
        <v>0</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7" t="s">
        <v>84</v>
      </c>
      <c r="B1" s="34" t="s">
        <v>152</v>
      </c>
      <c r="C1" s="35" t="str">
        <f>'Field data and Waste 1'!B29</f>
        <v>Application Rate</v>
      </c>
      <c r="D1" s="35" t="str">
        <f>'Field data and Waste 1'!C29</f>
        <v>Nitrogen Addition</v>
      </c>
      <c r="E1" s="35" t="str">
        <f>'Field data and Waste 1'!D29</f>
        <v>Phosphate Addition</v>
      </c>
      <c r="F1" s="35" t="str">
        <f>'Field data and Waste 1'!E29</f>
        <v>Potash  Addition</v>
      </c>
      <c r="G1" s="35" t="str">
        <f>'Field data and Waste 1'!F29</f>
        <v>Mg Oxide Addition</v>
      </c>
      <c r="H1" s="35" t="str">
        <f>'Field data and Waste 1'!G29</f>
        <v>Copper Addition</v>
      </c>
      <c r="I1" s="35" t="str">
        <f>'Field data and Waste 1'!H29</f>
        <v>Zinc Addition</v>
      </c>
      <c r="J1" s="35" t="str">
        <f>'Field data and Waste 1'!I29</f>
        <v>Lead Addition</v>
      </c>
      <c r="K1" s="35" t="str">
        <f>'Field data and Waste 1'!J29</f>
        <v>Cadmium Addition</v>
      </c>
      <c r="L1" s="35" t="str">
        <f>'Field data and Waste 1'!K29</f>
        <v>Mercury Addition</v>
      </c>
      <c r="M1" s="35" t="str">
        <f>'Field data and Waste 1'!L29</f>
        <v>Nickel Addition</v>
      </c>
      <c r="N1" s="35" t="str">
        <f>'Field data and Waste 1'!M29</f>
        <v>Chromium Addition</v>
      </c>
      <c r="O1" s="35" t="str">
        <f>'Field data and Waste 1'!N29</f>
        <v>Aluminium Addition</v>
      </c>
      <c r="P1" s="35" t="str">
        <f>'Field data and Waste 1'!O29</f>
        <v>Iron Addition</v>
      </c>
      <c r="Q1" s="35" t="str">
        <f>'Field data and Waste 1'!P29</f>
        <v xml:space="preserve">Sodium Addition                 </v>
      </c>
      <c r="R1" s="35" t="str">
        <f>'Field data and Waste 1'!Q29</f>
        <v>SO3  Addition                             kg/ha</v>
      </c>
      <c r="S1" s="35" t="str">
        <f>'Field data and Waste 1'!R29</f>
        <v xml:space="preserve">Selenium Addition </v>
      </c>
      <c r="T1" s="35" t="str">
        <f>'Field data and Waste 1'!S29</f>
        <v xml:space="preserve">Arsenic  Addition  </v>
      </c>
      <c r="U1" s="35" t="str">
        <f>'Field data and Waste 1'!T29</f>
        <v xml:space="preserve">Molybdenum Addition  </v>
      </c>
      <c r="V1" s="35" t="str">
        <f>'Field data and Waste 1'!U29</f>
        <v xml:space="preserve">Fluoride Addition </v>
      </c>
    </row>
    <row r="2" spans="1:22" s="83" customFormat="1" ht="25" x14ac:dyDescent="0.35">
      <c r="A2" s="147"/>
      <c r="B2" s="32" t="s">
        <v>46</v>
      </c>
      <c r="C2" s="35" t="str">
        <f>'Field data and Waste 1'!B30</f>
        <v>tonnes/ha</v>
      </c>
      <c r="D2" s="35" t="str">
        <f>'Field data and Waste 1'!C30</f>
        <v>kg/ha</v>
      </c>
      <c r="E2" s="35" t="str">
        <f>'Field data and Waste 1'!D30</f>
        <v>P2O5 
kg/ha</v>
      </c>
      <c r="F2" s="35" t="str">
        <f>'Field data and Waste 1'!E30</f>
        <v>K2O 
kg/ha</v>
      </c>
      <c r="G2" s="35" t="str">
        <f>'Field data and Waste 1'!F30</f>
        <v>MgO 
kg/ha</v>
      </c>
      <c r="H2" s="35" t="str">
        <f>'Field data and Waste 1'!G30</f>
        <v>kg/ha</v>
      </c>
      <c r="I2" s="35" t="str">
        <f>'Field data and Waste 1'!H30</f>
        <v>kg/ha</v>
      </c>
      <c r="J2" s="35" t="str">
        <f>'Field data and Waste 1'!I30</f>
        <v>kg/ha</v>
      </c>
      <c r="K2" s="35" t="str">
        <f>'Field data and Waste 1'!J30</f>
        <v>kg/ha</v>
      </c>
      <c r="L2" s="35" t="str">
        <f>'Field data and Waste 1'!K30</f>
        <v>kg/ha</v>
      </c>
      <c r="M2" s="35" t="str">
        <f>'Field data and Waste 1'!L30</f>
        <v>kg/ha</v>
      </c>
      <c r="N2" s="35" t="str">
        <f>'Field data and Waste 1'!M30</f>
        <v>kg/ha</v>
      </c>
      <c r="O2" s="35" t="str">
        <f>'Field data and Waste 1'!N30</f>
        <v>kg/ha</v>
      </c>
      <c r="P2" s="35" t="str">
        <f>'Field data and Waste 1'!O30</f>
        <v>kg/ha</v>
      </c>
      <c r="Q2" s="35" t="str">
        <f>'Field data and Waste 1'!P30</f>
        <v>kg/ha</v>
      </c>
      <c r="R2" s="35" t="str">
        <f>'Field data and Waste 1'!Q30</f>
        <v>kg/ha</v>
      </c>
      <c r="S2" s="35" t="str">
        <f>'Field data and Waste 1'!R30</f>
        <v>kg/ha</v>
      </c>
      <c r="T2" s="35" t="str">
        <f>'Field data and Waste 1'!S30</f>
        <v>kg/ha</v>
      </c>
      <c r="U2" s="35" t="str">
        <f>'Field data and Waste 1'!T30</f>
        <v>kg/ha</v>
      </c>
      <c r="V2" s="35" t="str">
        <f>'Field data and Waste 1'!U30</f>
        <v>kg/ha</v>
      </c>
    </row>
    <row r="3" spans="1:22" x14ac:dyDescent="0.25">
      <c r="A3" s="36">
        <v>1</v>
      </c>
      <c r="B3" s="91"/>
      <c r="C3" s="33">
        <f>'Field data and Waste 1'!B31</f>
        <v>24</v>
      </c>
      <c r="D3" s="33">
        <f>'Field data and Waste 1'!C31</f>
        <v>86.399999999999991</v>
      </c>
      <c r="E3" s="33">
        <f>'Field data and Waste 1'!D31</f>
        <v>64.276296000000002</v>
      </c>
      <c r="F3" s="33">
        <f>'Field data and Waste 1'!E31</f>
        <v>5.6683200000000014</v>
      </c>
      <c r="G3" s="33">
        <f>'Field data and Waste 1'!F31</f>
        <v>1.7866608000000002</v>
      </c>
      <c r="H3" s="33">
        <f>'Field data and Waste 1'!G31</f>
        <v>7.9680000000000001E-2</v>
      </c>
      <c r="I3" s="33">
        <f>'Field data and Waste 1'!H31</f>
        <v>0.51600000000000001</v>
      </c>
      <c r="J3" s="33">
        <f>'Field data and Waste 1'!I31</f>
        <v>3.6479999999999999E-2</v>
      </c>
      <c r="K3" s="33">
        <f>'Field data and Waste 1'!J31</f>
        <v>1.6800000000000001E-3</v>
      </c>
      <c r="L3" s="33">
        <f>'Field data and Waste 1'!K31</f>
        <v>1.2000000000000001E-3</v>
      </c>
      <c r="M3" s="33">
        <f>'Field data and Waste 1'!L31</f>
        <v>1.7520000000000001E-2</v>
      </c>
      <c r="N3" s="33">
        <f>'Field data and Waste 1'!M31</f>
        <v>3.4079999999999999E-2</v>
      </c>
      <c r="O3" s="33">
        <f>'Field data and Waste 1'!N31</f>
        <v>0</v>
      </c>
      <c r="P3" s="33">
        <f>'Field data and Waste 1'!O31</f>
        <v>0</v>
      </c>
      <c r="Q3" s="33">
        <f>'Field data and Waste 1'!P31</f>
        <v>18.672000000000001</v>
      </c>
      <c r="R3" s="33">
        <f>'Field data and Waste 1'!Q31</f>
        <v>35.699999999999996</v>
      </c>
      <c r="S3" s="33">
        <f>'Field data and Waste 1'!R31</f>
        <v>0</v>
      </c>
      <c r="T3" s="33">
        <f>'Field data and Waste 1'!S31</f>
        <v>0</v>
      </c>
      <c r="U3" s="33">
        <f>'Field data and Waste 1'!T31</f>
        <v>0</v>
      </c>
      <c r="V3" s="33">
        <f>'Field data and Waste 1'!U31</f>
        <v>0</v>
      </c>
    </row>
    <row r="4" spans="1:22" x14ac:dyDescent="0.25">
      <c r="A4" s="36">
        <v>2</v>
      </c>
      <c r="B4" s="91"/>
      <c r="C4" s="33">
        <f>'Waste 2'!B31</f>
        <v>54</v>
      </c>
      <c r="D4" s="33">
        <f>'Waste 2'!C31</f>
        <v>118.80000000000001</v>
      </c>
      <c r="E4" s="33">
        <f>'Waste 2'!D31</f>
        <v>65.073564000000005</v>
      </c>
      <c r="F4" s="33">
        <f>'Waste 2'!E31</f>
        <v>13.92498</v>
      </c>
      <c r="G4" s="33">
        <f>'Waste 2'!F31</f>
        <v>8.2369439999999994</v>
      </c>
      <c r="H4" s="33">
        <f>'Waste 2'!G31</f>
        <v>5.2919999999999995E-2</v>
      </c>
      <c r="I4" s="33">
        <f>'Waste 2'!H31</f>
        <v>0.59940000000000004</v>
      </c>
      <c r="J4" s="33">
        <f>'Waste 2'!I31</f>
        <v>2.7E-2</v>
      </c>
      <c r="K4" s="33">
        <f>'Waste 2'!J31</f>
        <v>5.4000000000000001E-4</v>
      </c>
      <c r="L4" s="33">
        <f>'Waste 2'!K31</f>
        <v>2.7000000000000001E-3</v>
      </c>
      <c r="M4" s="33">
        <f>'Waste 2'!L31</f>
        <v>3.5262000000000002E-2</v>
      </c>
      <c r="N4" s="33">
        <f>'Waste 2'!M31</f>
        <v>0.27594000000000002</v>
      </c>
      <c r="O4" s="33">
        <f>'Waste 2'!N31</f>
        <v>0</v>
      </c>
      <c r="P4" s="33">
        <f>'Waste 2'!O31</f>
        <v>0</v>
      </c>
      <c r="Q4" s="33">
        <f>'Waste 2'!P31</f>
        <v>236.14200000000002</v>
      </c>
      <c r="R4" s="33">
        <f>'Waste 2'!Q31</f>
        <v>282.82500000000005</v>
      </c>
      <c r="S4" s="33">
        <f>'Waste 2'!R31</f>
        <v>0</v>
      </c>
      <c r="T4" s="33">
        <f>'Waste 2'!S31</f>
        <v>0</v>
      </c>
      <c r="U4" s="33">
        <f>'Waste 2'!T31</f>
        <v>0</v>
      </c>
      <c r="V4" s="33">
        <f>'Waste 2'!U31</f>
        <v>0</v>
      </c>
    </row>
    <row r="5" spans="1:22" x14ac:dyDescent="0.25">
      <c r="A5" s="36">
        <v>3</v>
      </c>
      <c r="B5" s="91"/>
      <c r="C5" s="33">
        <f>'Waste 3'!B31</f>
        <v>41</v>
      </c>
      <c r="D5" s="33">
        <f>'Waste 3'!C31</f>
        <v>147.6</v>
      </c>
      <c r="E5" s="33">
        <f>'Waste 3'!D31</f>
        <v>63.967011000000007</v>
      </c>
      <c r="F5" s="33">
        <f>'Waste 3'!E31</f>
        <v>13.586375000000002</v>
      </c>
      <c r="G5" s="33">
        <f>'Waste 3'!F31</f>
        <v>14.411336</v>
      </c>
      <c r="H5" s="33">
        <f>'Waste 3'!G31</f>
        <v>6.0679999999999998E-2</v>
      </c>
      <c r="I5" s="33">
        <f>'Waste 3'!H31</f>
        <v>0.4592</v>
      </c>
      <c r="J5" s="33">
        <f>'Waste 3'!I31</f>
        <v>2.0500000000000001E-2</v>
      </c>
      <c r="K5" s="33">
        <f>'Waste 3'!J31</f>
        <v>6.5600000000000001E-4</v>
      </c>
      <c r="L5" s="33">
        <f>'Waste 3'!K31</f>
        <v>2.0500000000000002E-3</v>
      </c>
      <c r="M5" s="33">
        <f>'Waste 3'!L31</f>
        <v>1.3038000000000001E-2</v>
      </c>
      <c r="N5" s="33">
        <f>'Waste 3'!M31</f>
        <v>2.1853000000000001E-2</v>
      </c>
      <c r="O5" s="33">
        <f>'Waste 3'!N31</f>
        <v>0</v>
      </c>
      <c r="P5" s="33">
        <f>'Waste 3'!O31</f>
        <v>0</v>
      </c>
      <c r="Q5" s="33">
        <f>'Waste 3'!P31</f>
        <v>17.015000000000001</v>
      </c>
      <c r="R5" s="33">
        <f>'Waste 3'!Q31</f>
        <v>72.877499999999998</v>
      </c>
      <c r="S5" s="33">
        <f>'Waste 3'!R31</f>
        <v>0</v>
      </c>
      <c r="T5" s="33">
        <f>'Waste 3'!S31</f>
        <v>0</v>
      </c>
      <c r="U5" s="33">
        <f>'Waste 3'!T31</f>
        <v>0</v>
      </c>
      <c r="V5" s="33">
        <f>'Waste 3'!U31</f>
        <v>0</v>
      </c>
    </row>
    <row r="6" spans="1:22" x14ac:dyDescent="0.25">
      <c r="A6" s="36">
        <v>4</v>
      </c>
      <c r="B6" s="91"/>
      <c r="C6" s="33">
        <f>'Waste 4'!B31</f>
        <v>38</v>
      </c>
      <c r="D6" s="33">
        <f>'Waste 4'!C31</f>
        <v>140.6</v>
      </c>
      <c r="E6" s="33">
        <f>'Waste 4'!D31</f>
        <v>64.335862000000006</v>
      </c>
      <c r="F6" s="33">
        <f>'Waste 4'!E31</f>
        <v>7.9216700000000015</v>
      </c>
      <c r="G6" s="33">
        <f>'Waste 4'!F31</f>
        <v>14.490919999999999</v>
      </c>
      <c r="H6" s="33">
        <f>'Waste 4'!G31</f>
        <v>0.12312000000000001</v>
      </c>
      <c r="I6" s="33">
        <f>'Waste 4'!H31</f>
        <v>0.61940000000000006</v>
      </c>
      <c r="J6" s="33">
        <f>'Waste 4'!I31</f>
        <v>1.9E-2</v>
      </c>
      <c r="K6" s="33">
        <f>'Waste 4'!J31</f>
        <v>3.8000000000000002E-4</v>
      </c>
      <c r="L6" s="33">
        <f>'Waste 4'!K31</f>
        <v>1.9E-3</v>
      </c>
      <c r="M6" s="33">
        <f>'Waste 4'!L31</f>
        <v>3.3402000000000001E-2</v>
      </c>
      <c r="N6" s="33">
        <f>'Waste 4'!M31</f>
        <v>3.5226E-2</v>
      </c>
      <c r="O6" s="33">
        <f>'Waste 4'!N31</f>
        <v>0</v>
      </c>
      <c r="P6" s="33">
        <f>'Waste 4'!O31</f>
        <v>0</v>
      </c>
      <c r="Q6" s="33">
        <f>'Waste 4'!P31</f>
        <v>27.93</v>
      </c>
      <c r="R6" s="33">
        <f>'Waste 4'!Q31</f>
        <v>55.29</v>
      </c>
      <c r="S6" s="33">
        <f>'Waste 4'!R31</f>
        <v>0</v>
      </c>
      <c r="T6" s="33">
        <f>'Waste 4'!S31</f>
        <v>0</v>
      </c>
      <c r="U6" s="33">
        <f>'Waste 4'!T31</f>
        <v>0</v>
      </c>
      <c r="V6" s="33">
        <f>'Waste 4'!U31</f>
        <v>0</v>
      </c>
    </row>
    <row r="7" spans="1:22" x14ac:dyDescent="0.25">
      <c r="A7" s="36">
        <v>5</v>
      </c>
      <c r="B7" s="91"/>
      <c r="C7" s="33">
        <f>'Waste 5'!B31</f>
        <v>17</v>
      </c>
      <c r="D7" s="33">
        <f>'Waste 5'!C31</f>
        <v>121.46347</v>
      </c>
      <c r="E7" s="33">
        <f>'Waste 5'!D31</f>
        <v>63.477767950000008</v>
      </c>
      <c r="F7" s="33">
        <f>'Waste 5'!E31</f>
        <v>13.084281625000004</v>
      </c>
      <c r="G7" s="33">
        <f>'Waste 5'!F31</f>
        <v>6.4314532939999998</v>
      </c>
      <c r="H7" s="33">
        <f>'Waste 5'!G31</f>
        <v>4.4481690000000004E-2</v>
      </c>
      <c r="I7" s="33">
        <f>'Waste 5'!H31</f>
        <v>0.50472490000000014</v>
      </c>
      <c r="J7" s="33">
        <f>'Waste 5'!I31</f>
        <v>6.3352710000000017E-3</v>
      </c>
      <c r="K7" s="33">
        <f>'Waste 5'!J31</f>
        <v>1.4977000000000002E-4</v>
      </c>
      <c r="L7" s="33">
        <f>'Waste 5'!K31</f>
        <v>1.4977000000000002E-4</v>
      </c>
      <c r="M7" s="33">
        <f>'Waste 5'!L31</f>
        <v>3.1601470000000006E-2</v>
      </c>
      <c r="N7" s="33">
        <f>'Waste 5'!M31</f>
        <v>9.8249119999999995E-2</v>
      </c>
      <c r="O7" s="33">
        <f>'Waste 5'!N31</f>
        <v>0</v>
      </c>
      <c r="P7" s="33">
        <f>'Waste 5'!O31</f>
        <v>0</v>
      </c>
      <c r="Q7" s="33">
        <f>'Waste 5'!P31</f>
        <v>15.576080000000003</v>
      </c>
      <c r="R7" s="33">
        <f>'Waste 5'!Q31</f>
        <v>63.277825000000007</v>
      </c>
      <c r="S7" s="33">
        <f>'Waste 5'!R31</f>
        <v>0</v>
      </c>
      <c r="T7" s="33">
        <f>'Waste 5'!S31</f>
        <v>0</v>
      </c>
      <c r="U7" s="33">
        <f>'Waste 5'!T31</f>
        <v>0</v>
      </c>
      <c r="V7" s="33">
        <f>'Waste 5'!U31</f>
        <v>0</v>
      </c>
    </row>
    <row r="8" spans="1:22" x14ac:dyDescent="0.25">
      <c r="A8" s="36">
        <v>6</v>
      </c>
      <c r="B8" s="91"/>
      <c r="C8" s="33">
        <f>'Waste 6'!B31</f>
        <v>250</v>
      </c>
      <c r="D8" s="33">
        <f>'Waste 6'!C31</f>
        <v>150</v>
      </c>
      <c r="E8" s="33">
        <f>'Waste 6'!D31</f>
        <v>56.587699999999998</v>
      </c>
      <c r="F8" s="33">
        <f>'Waste 6'!E31</f>
        <v>50.911250000000003</v>
      </c>
      <c r="G8" s="33">
        <f>'Waste 6'!F31</f>
        <v>10.6112</v>
      </c>
      <c r="H8" s="33">
        <f>'Waste 6'!G31</f>
        <v>5.525E-2</v>
      </c>
      <c r="I8" s="33">
        <f>'Waste 6'!H31</f>
        <v>0.25</v>
      </c>
      <c r="J8" s="33">
        <f>'Waste 6'!I31</f>
        <v>0.125</v>
      </c>
      <c r="K8" s="33">
        <f>'Waste 6'!J31</f>
        <v>2.5000000000000001E-3</v>
      </c>
      <c r="L8" s="33">
        <f>'Waste 6'!K31</f>
        <v>1.2500000000000001E-2</v>
      </c>
      <c r="M8" s="33">
        <f>'Waste 6'!L31</f>
        <v>0.05</v>
      </c>
      <c r="N8" s="33">
        <f>'Waste 6'!M31</f>
        <v>0.05</v>
      </c>
      <c r="O8" s="33">
        <f>'Waste 6'!N31</f>
        <v>0</v>
      </c>
      <c r="P8" s="33">
        <f>'Waste 6'!O31</f>
        <v>0</v>
      </c>
      <c r="Q8" s="33">
        <f>'Waste 6'!P31</f>
        <v>84.25</v>
      </c>
      <c r="R8" s="33">
        <f>'Waste 6'!Q31</f>
        <v>48.6875</v>
      </c>
      <c r="S8" s="33">
        <f>'Waste 6'!R31</f>
        <v>0</v>
      </c>
      <c r="T8" s="33">
        <f>'Waste 6'!S31</f>
        <v>0</v>
      </c>
      <c r="U8" s="33">
        <f>'Waste 6'!T31</f>
        <v>0</v>
      </c>
      <c r="V8" s="33">
        <f>'Waste 6'!U31</f>
        <v>0</v>
      </c>
    </row>
    <row r="9" spans="1:22" x14ac:dyDescent="0.25">
      <c r="A9" s="36">
        <v>7</v>
      </c>
      <c r="B9" s="91"/>
      <c r="C9" s="33">
        <f>'Waste 7'!B31</f>
        <v>200</v>
      </c>
      <c r="D9" s="33">
        <f>'Waste 7'!C31</f>
        <v>80</v>
      </c>
      <c r="E9" s="33">
        <f>'Waste 7'!D31</f>
        <v>64.14800000000001</v>
      </c>
      <c r="F9" s="33">
        <f>'Waste 7'!E31</f>
        <v>67.962000000000018</v>
      </c>
      <c r="G9" s="33">
        <f>'Waste 7'!F31</f>
        <v>11.407039999999999</v>
      </c>
      <c r="H9" s="33">
        <f>'Waste 7'!G31</f>
        <v>0.32600000000000001</v>
      </c>
      <c r="I9" s="33">
        <f>'Waste 7'!H31</f>
        <v>0.1</v>
      </c>
      <c r="J9" s="33">
        <f>'Waste 7'!I31</f>
        <v>0.1</v>
      </c>
      <c r="K9" s="33">
        <f>'Waste 7'!J31</f>
        <v>2E-3</v>
      </c>
      <c r="L9" s="33">
        <f>'Waste 7'!K31</f>
        <v>0.01</v>
      </c>
      <c r="M9" s="33">
        <f>'Waste 7'!L31</f>
        <v>0.04</v>
      </c>
      <c r="N9" s="33">
        <f>'Waste 7'!M31</f>
        <v>0.04</v>
      </c>
      <c r="O9" s="33">
        <f>'Waste 7'!N31</f>
        <v>0</v>
      </c>
      <c r="P9" s="33">
        <f>'Waste 7'!O31</f>
        <v>0</v>
      </c>
      <c r="Q9" s="33">
        <f>'Waste 7'!P31</f>
        <v>177.6</v>
      </c>
      <c r="R9" s="33">
        <f>'Waste 7'!Q31</f>
        <v>22.25</v>
      </c>
      <c r="S9" s="33">
        <f>'Waste 7'!R31</f>
        <v>0</v>
      </c>
      <c r="T9" s="33">
        <f>'Waste 7'!S31</f>
        <v>0</v>
      </c>
      <c r="U9" s="33">
        <f>'Waste 7'!T31</f>
        <v>0</v>
      </c>
      <c r="V9" s="33">
        <f>'Waste 7'!U31</f>
        <v>0</v>
      </c>
    </row>
    <row r="10" spans="1:22" x14ac:dyDescent="0.25">
      <c r="A10" s="36">
        <v>8</v>
      </c>
      <c r="B10" s="91"/>
      <c r="C10" s="33">
        <f>'Waste 8'!B31</f>
        <v>53</v>
      </c>
      <c r="D10" s="33">
        <f>'Waste 8'!C31</f>
        <v>169.60000000000002</v>
      </c>
      <c r="E10" s="33">
        <f>'Waste 8'!D31</f>
        <v>64.23276700000001</v>
      </c>
      <c r="F10" s="33">
        <f>'Waste 8'!E31</f>
        <v>16.093980000000002</v>
      </c>
      <c r="G10" s="33">
        <f>'Waste 8'!F31</f>
        <v>5.6678729999999993</v>
      </c>
      <c r="H10" s="33">
        <f>'Waste 8'!G31</f>
        <v>6.4129999999999993E-2</v>
      </c>
      <c r="I10" s="33">
        <f>'Waste 8'!H31</f>
        <v>0.12349</v>
      </c>
      <c r="J10" s="33">
        <f>'Waste 8'!I31</f>
        <v>2.6499999999999999E-2</v>
      </c>
      <c r="K10" s="33">
        <f>'Waste 8'!J31</f>
        <v>5.3000000000000009E-4</v>
      </c>
      <c r="L10" s="33">
        <f>'Waste 8'!K31</f>
        <v>2.65E-3</v>
      </c>
      <c r="M10" s="33">
        <f>'Waste 8'!L31</f>
        <v>1.06E-2</v>
      </c>
      <c r="N10" s="33">
        <f>'Waste 8'!M31</f>
        <v>2.4909999999999998E-2</v>
      </c>
      <c r="O10" s="33">
        <f>'Waste 8'!N31</f>
        <v>0</v>
      </c>
      <c r="P10" s="33">
        <f>'Waste 8'!O31</f>
        <v>0</v>
      </c>
      <c r="Q10" s="33">
        <f>'Waste 8'!P31</f>
        <v>3.2701000000000002</v>
      </c>
      <c r="R10" s="33">
        <f>'Waste 8'!Q31</f>
        <v>23.452500000000001</v>
      </c>
      <c r="S10" s="33">
        <f>'Waste 8'!R31</f>
        <v>0</v>
      </c>
      <c r="T10" s="33">
        <f>'Waste 8'!S31</f>
        <v>0</v>
      </c>
      <c r="U10" s="33">
        <f>'Waste 8'!T31</f>
        <v>0</v>
      </c>
      <c r="V10" s="33">
        <f>'Waste 8'!U31</f>
        <v>0</v>
      </c>
    </row>
    <row r="11" spans="1:22" x14ac:dyDescent="0.25">
      <c r="A11" s="36">
        <v>9</v>
      </c>
      <c r="B11" s="91"/>
      <c r="C11" s="33">
        <f>'Waste 9'!B31</f>
        <v>140</v>
      </c>
      <c r="D11" s="33">
        <f>'Waste 9'!C31</f>
        <v>238.00000000000003</v>
      </c>
      <c r="E11" s="33">
        <f>'Waste 9'!D31</f>
        <v>64.468739999999997</v>
      </c>
      <c r="F11" s="33">
        <f>'Waste 9'!E31</f>
        <v>34.752200000000009</v>
      </c>
      <c r="G11" s="33">
        <f>'Waste 9'!F31</f>
        <v>12.186299999999999</v>
      </c>
      <c r="H11" s="33">
        <f>'Waste 9'!G31</f>
        <v>4.9700000000000001E-2</v>
      </c>
      <c r="I11" s="33">
        <f>'Waste 9'!H31</f>
        <v>0.32619999999999999</v>
      </c>
      <c r="J11" s="33">
        <f>'Waste 9'!I31</f>
        <v>7.0000000000000007E-2</v>
      </c>
      <c r="K11" s="33">
        <f>'Waste 9'!J31</f>
        <v>1.4000000000000002E-3</v>
      </c>
      <c r="L11" s="33">
        <f>'Waste 9'!K31</f>
        <v>7.0000000000000001E-3</v>
      </c>
      <c r="M11" s="33">
        <f>'Waste 9'!L31</f>
        <v>2.9960000000000001E-2</v>
      </c>
      <c r="N11" s="33">
        <f>'Waste 9'!M31</f>
        <v>7.196000000000001E-2</v>
      </c>
      <c r="O11" s="33">
        <f>'Waste 9'!N31</f>
        <v>0</v>
      </c>
      <c r="P11" s="33">
        <f>'Waste 9'!O31</f>
        <v>0</v>
      </c>
      <c r="Q11" s="33">
        <f>'Waste 9'!P31</f>
        <v>57.960000000000008</v>
      </c>
      <c r="R11" s="33">
        <f>'Waste 9'!Q31</f>
        <v>80.150000000000006</v>
      </c>
      <c r="S11" s="33">
        <f>'Waste 9'!R31</f>
        <v>0</v>
      </c>
      <c r="T11" s="33">
        <f>'Waste 9'!S31</f>
        <v>0</v>
      </c>
      <c r="U11" s="33">
        <f>'Waste 9'!T31</f>
        <v>0</v>
      </c>
      <c r="V11" s="33">
        <f>'Waste 9'!U31</f>
        <v>0</v>
      </c>
    </row>
    <row r="12" spans="1:22" x14ac:dyDescent="0.25">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6" t="s">
        <v>84</v>
      </c>
      <c r="B15" s="35" t="s">
        <v>152</v>
      </c>
      <c r="C15" s="35">
        <f>'Field data and Waste 1'!B43</f>
        <v>24</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6"/>
      <c r="B16" s="32" t="s">
        <v>46</v>
      </c>
      <c r="C16" s="35">
        <f>'Field data and Waste 1'!B44</f>
        <v>24</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24</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54</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41</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38</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17</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250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200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53</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140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8" t="s">
        <v>85</v>
      </c>
      <c r="B27" s="148"/>
      <c r="C27" s="148"/>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REGU-204-2746567</_dlc_DocId>
    <_dlc_DocIdUrl xmlns="9be56660-2c31-41ef-bc00-23e72f632f2a">
      <Url>https://cyfoethnaturiolcymru.sharepoint.com/teams/Regulatory/Permitting/_layouts/15/DocIdRedir.aspx?ID=REGU-204-2746567</Url>
      <Description>REGU-204-2746567</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f4145418-6eb2-4e2f-90f8-d42e4734b249">
      <Terms xmlns="http://schemas.microsoft.com/office/infopath/2007/PartnerControls"/>
    </lcf76f155ced4ddcb4097134ff3c332f>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2022-12-16T00:00:00+00:00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Trade Effluent Services Limited</Customer_x0020_Name>
    <Surrendered_x002f_Expired_x0020_Date xmlns="859f7ad6-93f6-4205-b62b-a17f28acbbac" xsi:nil="true"/>
  </documentManagement>
</p:properties>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75" ma:contentTypeDescription="Permitting &amp; Compliance Word Document" ma:contentTypeScope="" ma:versionID="8ba88060f42494261e4271c878bf935d">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287d418a8936ff9e71a08ef7d19d0768"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B1A8C36F-4ADC-445B-B71A-2C8E4F8E6314}"/>
</file>

<file path=customXml/itemProps4.xml><?xml version="1.0" encoding="utf-8"?>
<ds:datastoreItem xmlns:ds="http://schemas.openxmlformats.org/officeDocument/2006/customXml" ds:itemID="{3EB88BFD-E29A-4849-A8E6-116EB74B98EA}">
  <ds:schemaRefs>
    <ds:schemaRef ds:uri="http://purl.org/dc/elements/1.1/"/>
    <ds:schemaRef ds:uri="http://schemas.microsoft.com/office/2006/metadata/properties"/>
    <ds:schemaRef ds:uri="http://schemas.microsoft.com/office/2006/documentManagement/types"/>
    <ds:schemaRef ds:uri="http://schemas.openxmlformats.org/package/2006/metadata/core-properties"/>
    <ds:schemaRef ds:uri="http://purl.org/dc/dcmitype/"/>
    <ds:schemaRef ds:uri="http://schemas.microsoft.com/office/infopath/2007/PartnerControls"/>
    <ds:schemaRef ds:uri="9be56660-2c31-41ef-bc00-23e72f632f2a"/>
    <ds:schemaRef ds:uri="http://www.w3.org/XML/1998/namespace"/>
    <ds:schemaRef ds:uri="http://purl.org/dc/terms/"/>
  </ds:schemaRefs>
</ds:datastoreItem>
</file>

<file path=customXml/itemProps5.xml><?xml version="1.0" encoding="utf-8"?>
<ds:datastoreItem xmlns:ds="http://schemas.openxmlformats.org/officeDocument/2006/customXml" ds:itemID="{D9ED23BD-7EB1-499F-B66B-1FEBD81FFCA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Banfield, Ethan</cp:lastModifiedBy>
  <dcterms:created xsi:type="dcterms:W3CDTF">2016-09-26T10:07:59Z</dcterms:created>
  <dcterms:modified xsi:type="dcterms:W3CDTF">2022-12-16T12:04:13Z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0x01010067EB80C5FE939D4A9B3D8BA62129B7F5010200696B2CDFCAB142469D002908293CC358</vt:lpwstr>
  </property>
  <property fmtid="{D5CDD505-2E9C-101B-9397-08002B2CF9AE}" pid="3" name="_dlc_DocIdItemGuid">
    <vt:lpwstr>03b9cfaa-72bf-4208-b221-89e6ae601d2e</vt:lpwstr>
  </property>
  <property fmtid="{D5CDD505-2E9C-101B-9397-08002B2CF9AE}" pid="4" name="Order">
    <vt:r8>274656700</vt:r8>
  </property>
  <property fmtid="{D5CDD505-2E9C-101B-9397-08002B2CF9AE}" pid="5" name="MediaServiceImageTags">
    <vt:lpwstr/>
  </property>
</Properties>
</file>