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Bryan Burn/PAN-019961/Determination/"/>
    </mc:Choice>
  </mc:AlternateContent>
  <xr:revisionPtr revIDLastSave="0" documentId="13_ncr:1_{409AF3A8-A5A7-4271-A823-3569AE220EB5}" xr6:coauthVersionLast="47" xr6:coauthVersionMax="47" xr10:uidLastSave="{00000000-0000-0000-0000-000000000000}"/>
  <bookViews>
    <workbookView xWindow="-110" yWindow="-110" windowWidth="19420" windowHeight="10420" tabRatio="622" activeTab="3" xr2:uid="{00000000-000D-0000-FFFF-FFFF00000000}"/>
  </bookViews>
  <sheets>
    <sheet name="Field data and Aber Falls" sheetId="1" r:id="rId1"/>
    <sheet name="Alaw" sheetId="21" r:id="rId2"/>
    <sheet name="Bryn Cowlyd" sheetId="27" r:id="rId3"/>
    <sheet name="Cefni" sheetId="28" r:id="rId4"/>
    <sheet name="Cwellyn" sheetId="30" r:id="rId5"/>
    <sheet name="Dolbenmaen" sheetId="26" r:id="rId6"/>
    <sheet name="Mynydd" sheetId="24" r:id="rId7"/>
    <sheet name="Llyn" sheetId="29" r:id="rId8"/>
    <sheet name="Heatrick"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K65" i="21" l="1"/>
  <c r="L65" i="21"/>
  <c r="M65" i="21"/>
  <c r="N65" i="21"/>
  <c r="O65" i="21"/>
  <c r="P65" i="21"/>
  <c r="Q65" i="21"/>
  <c r="R65" i="21"/>
  <c r="S65" i="21"/>
  <c r="T65" i="21"/>
  <c r="U65" i="21"/>
  <c r="K65" i="27"/>
  <c r="L65" i="27"/>
  <c r="M65" i="27"/>
  <c r="N65" i="27"/>
  <c r="O65" i="27"/>
  <c r="P65" i="27"/>
  <c r="Q65" i="27"/>
  <c r="R65" i="27"/>
  <c r="S65" i="27"/>
  <c r="T65" i="27"/>
  <c r="U65" i="27"/>
  <c r="K65" i="28"/>
  <c r="L65" i="28"/>
  <c r="M65" i="28"/>
  <c r="N65" i="28"/>
  <c r="O65" i="28"/>
  <c r="P65" i="28"/>
  <c r="Q65" i="28"/>
  <c r="R65" i="28"/>
  <c r="S65" i="28"/>
  <c r="T65" i="28"/>
  <c r="U65" i="28"/>
  <c r="L65" i="30"/>
  <c r="M65" i="30"/>
  <c r="N65" i="30"/>
  <c r="O65" i="30"/>
  <c r="P65" i="30"/>
  <c r="Q65" i="30"/>
  <c r="R65" i="30"/>
  <c r="S65" i="30"/>
  <c r="T65" i="30"/>
  <c r="U65" i="30"/>
  <c r="K65" i="26"/>
  <c r="L65" i="26"/>
  <c r="M65" i="26"/>
  <c r="N65" i="26"/>
  <c r="O65" i="26"/>
  <c r="P65" i="26"/>
  <c r="Q65" i="26"/>
  <c r="R65" i="26"/>
  <c r="S65" i="26"/>
  <c r="T65" i="26"/>
  <c r="U65" i="26"/>
  <c r="K65" i="24"/>
  <c r="L65" i="24"/>
  <c r="M65" i="24"/>
  <c r="N65" i="24"/>
  <c r="O65" i="24"/>
  <c r="P65" i="24"/>
  <c r="Q65" i="24"/>
  <c r="R65" i="24"/>
  <c r="S65" i="24"/>
  <c r="T65" i="24"/>
  <c r="U65" i="24"/>
  <c r="K65" i="29"/>
  <c r="L65" i="29"/>
  <c r="M65" i="29"/>
  <c r="N65" i="29"/>
  <c r="O65" i="29"/>
  <c r="P65" i="29"/>
  <c r="Q65" i="29"/>
  <c r="R65" i="29"/>
  <c r="S65" i="29"/>
  <c r="T65" i="29"/>
  <c r="U65" i="29"/>
  <c r="K65" i="22"/>
  <c r="L65" i="22"/>
  <c r="M65" i="22"/>
  <c r="N65" i="22"/>
  <c r="O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Q22" i="30"/>
  <c r="V20" i="30"/>
  <c r="U20" i="30"/>
  <c r="T20" i="30"/>
  <c r="S20" i="30"/>
  <c r="R20" i="30"/>
  <c r="Q20" i="30"/>
  <c r="P20" i="30"/>
  <c r="O20" i="30"/>
  <c r="N20" i="30"/>
  <c r="M20" i="30"/>
  <c r="L20"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U18" i="29" s="1"/>
  <c r="C49" i="29"/>
  <c r="U48" i="29"/>
  <c r="T48" i="29"/>
  <c r="S48" i="29"/>
  <c r="R48" i="29"/>
  <c r="Q48" i="29"/>
  <c r="P48" i="29"/>
  <c r="O48" i="29"/>
  <c r="N48" i="29"/>
  <c r="M48" i="29"/>
  <c r="L48" i="29"/>
  <c r="K48" i="29"/>
  <c r="J48" i="29"/>
  <c r="I48" i="29"/>
  <c r="H48" i="29"/>
  <c r="G48" i="29"/>
  <c r="F48" i="29"/>
  <c r="E48" i="29"/>
  <c r="D48" i="29"/>
  <c r="T18" i="29" s="1"/>
  <c r="C48" i="29"/>
  <c r="U47" i="29"/>
  <c r="T47" i="29"/>
  <c r="S47" i="29"/>
  <c r="R47" i="29"/>
  <c r="Q47" i="29"/>
  <c r="P47" i="29"/>
  <c r="O47" i="29"/>
  <c r="N47" i="29"/>
  <c r="M47" i="29"/>
  <c r="L47" i="29"/>
  <c r="K47" i="29"/>
  <c r="J47" i="29"/>
  <c r="I47" i="29"/>
  <c r="H47" i="29"/>
  <c r="G47" i="29"/>
  <c r="F47" i="29"/>
  <c r="E47" i="29"/>
  <c r="S22" i="29" s="1"/>
  <c r="D47" i="29"/>
  <c r="S18" i="29" s="1"/>
  <c r="C47" i="29"/>
  <c r="U46" i="29"/>
  <c r="T46" i="29"/>
  <c r="S46" i="29"/>
  <c r="R46" i="29"/>
  <c r="Q46" i="29"/>
  <c r="P46" i="29"/>
  <c r="O46" i="29"/>
  <c r="N46" i="29"/>
  <c r="M46" i="29"/>
  <c r="L46" i="29"/>
  <c r="K46" i="29"/>
  <c r="J46" i="29"/>
  <c r="I46" i="29"/>
  <c r="H46" i="29"/>
  <c r="G46" i="29"/>
  <c r="F46" i="29"/>
  <c r="E46" i="29"/>
  <c r="R22" i="29" s="1"/>
  <c r="D46" i="29"/>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L22" i="29" s="1"/>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T22" i="29"/>
  <c r="V20" i="29"/>
  <c r="U20" i="29"/>
  <c r="T20" i="29"/>
  <c r="S20" i="29"/>
  <c r="R20" i="29"/>
  <c r="Q20" i="29"/>
  <c r="P20" i="29"/>
  <c r="O20" i="29"/>
  <c r="N20" i="29"/>
  <c r="M20" i="29"/>
  <c r="L20" i="29"/>
  <c r="R18" i="29"/>
  <c r="P18" i="29"/>
  <c r="L18" i="29"/>
  <c r="I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U22" i="28"/>
  <c r="O22" i="28"/>
  <c r="V20" i="28"/>
  <c r="U20" i="28"/>
  <c r="T20" i="28"/>
  <c r="S20" i="28"/>
  <c r="R20" i="28"/>
  <c r="Q20" i="28"/>
  <c r="P20" i="28"/>
  <c r="O20" i="28"/>
  <c r="N20" i="28"/>
  <c r="M20" i="28"/>
  <c r="L20" i="28"/>
  <c r="R18" i="28"/>
  <c r="P18" i="28"/>
  <c r="M18" i="28"/>
  <c r="H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Q22" i="27"/>
  <c r="O22" i="27"/>
  <c r="I22" i="27"/>
  <c r="V20" i="27"/>
  <c r="U20" i="27"/>
  <c r="T20" i="27"/>
  <c r="S20" i="27"/>
  <c r="R20" i="27"/>
  <c r="Q20" i="27"/>
  <c r="P20" i="27"/>
  <c r="O20" i="27"/>
  <c r="N20" i="27"/>
  <c r="M20" i="27"/>
  <c r="L20" i="27"/>
  <c r="T18" i="27"/>
  <c r="R18" i="27"/>
  <c r="L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Q22" i="26" s="1"/>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O22" i="26"/>
  <c r="G22" i="26"/>
  <c r="V20" i="26"/>
  <c r="U20" i="26"/>
  <c r="T20" i="26"/>
  <c r="S20" i="26"/>
  <c r="R20" i="26"/>
  <c r="Q20" i="26"/>
  <c r="P20" i="26"/>
  <c r="O20" i="26"/>
  <c r="N20" i="26"/>
  <c r="M20" i="26"/>
  <c r="L20" i="26"/>
  <c r="T18" i="26"/>
  <c r="S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U22" i="24" s="1"/>
  <c r="D49" i="24"/>
  <c r="U18" i="24" s="1"/>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Q22" i="24"/>
  <c r="V20" i="24"/>
  <c r="U20" i="24"/>
  <c r="T20" i="24"/>
  <c r="S20" i="24"/>
  <c r="R20" i="24"/>
  <c r="Q20" i="24"/>
  <c r="P20" i="24"/>
  <c r="O20" i="24"/>
  <c r="N20" i="24"/>
  <c r="M20" i="24"/>
  <c r="L20" i="24"/>
  <c r="M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S22" i="23" s="1"/>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M22" i="23" s="1"/>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0" i="23"/>
  <c r="U20" i="23"/>
  <c r="T20" i="23"/>
  <c r="S20" i="23"/>
  <c r="R20" i="23"/>
  <c r="Q20" i="23"/>
  <c r="P20" i="23"/>
  <c r="O20" i="23"/>
  <c r="N20" i="23"/>
  <c r="M20" i="23"/>
  <c r="L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H10" i="19" l="1"/>
  <c r="H24" i="19"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G19" i="27" s="1"/>
  <c r="G20" i="27" s="1"/>
  <c r="O17" i="27"/>
  <c r="O19"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C59" i="29"/>
  <c r="D21" i="29"/>
  <c r="D23" i="29" s="1"/>
  <c r="D24" i="29" s="1"/>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E24" i="28" s="1"/>
  <c r="L59" i="28"/>
  <c r="L64" i="28" s="1"/>
  <c r="M17" i="28"/>
  <c r="M21" i="28"/>
  <c r="T59" i="28"/>
  <c r="U17" i="28"/>
  <c r="U21" i="28"/>
  <c r="U23" i="28" s="1"/>
  <c r="U24" i="28" s="1"/>
  <c r="I4" i="20"/>
  <c r="J4" i="19"/>
  <c r="J18" i="19" s="1"/>
  <c r="I59" i="21"/>
  <c r="J17" i="21"/>
  <c r="J19" i="21" s="1"/>
  <c r="J20" i="21" s="1"/>
  <c r="J21" i="21"/>
  <c r="C59" i="22"/>
  <c r="D21" i="22"/>
  <c r="D23" i="22" s="1"/>
  <c r="D17" i="22"/>
  <c r="D19" i="22" s="1"/>
  <c r="O12" i="20"/>
  <c r="P12" i="19"/>
  <c r="P26" i="19" s="1"/>
  <c r="O21" i="23"/>
  <c r="O23" i="23" s="1"/>
  <c r="O24"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D59" i="22"/>
  <c r="E21" i="22"/>
  <c r="E17" i="22"/>
  <c r="L59" i="22"/>
  <c r="M21" i="22"/>
  <c r="M23" i="22" s="1"/>
  <c r="M17" i="22"/>
  <c r="T59" i="22"/>
  <c r="U21" i="22"/>
  <c r="U17" i="22"/>
  <c r="U19" i="22" s="1"/>
  <c r="D59" i="27"/>
  <c r="E17" i="27"/>
  <c r="E19" i="27" s="1"/>
  <c r="E20" i="27" s="1"/>
  <c r="L59" i="27"/>
  <c r="M17" i="27"/>
  <c r="M19" i="27" s="1"/>
  <c r="T59" i="27"/>
  <c r="U17" i="27"/>
  <c r="S59" i="22"/>
  <c r="T21" i="22"/>
  <c r="T17" i="22"/>
  <c r="G21" i="23"/>
  <c r="G23" i="23" s="1"/>
  <c r="G24" i="23" s="1"/>
  <c r="G17" i="23"/>
  <c r="G19" i="23" s="1"/>
  <c r="G20" i="23" s="1"/>
  <c r="I9" i="20"/>
  <c r="J9" i="19"/>
  <c r="J23" i="19" s="1"/>
  <c r="R4" i="20"/>
  <c r="S4" i="19"/>
  <c r="S18" i="19" s="1"/>
  <c r="R11" i="20"/>
  <c r="S11" i="19"/>
  <c r="S25" i="19" s="1"/>
  <c r="I59" i="24"/>
  <c r="J21" i="24"/>
  <c r="J23" i="24" s="1"/>
  <c r="J24" i="24" s="1"/>
  <c r="J17" i="24"/>
  <c r="J19" i="24" s="1"/>
  <c r="J20"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19" i="22" s="1"/>
  <c r="J21" i="22"/>
  <c r="J23" i="22" s="1"/>
  <c r="K59" i="23"/>
  <c r="L17" i="23"/>
  <c r="L21" i="23"/>
  <c r="M57" i="21"/>
  <c r="R59" i="21"/>
  <c r="S21" i="21"/>
  <c r="S23" i="21" s="1"/>
  <c r="S24" i="21" s="1"/>
  <c r="S17" i="21"/>
  <c r="J59" i="21"/>
  <c r="K21" i="21"/>
  <c r="K23" i="21" s="1"/>
  <c r="K24" i="21" s="1"/>
  <c r="K17" i="21"/>
  <c r="J59" i="22"/>
  <c r="K17" i="22"/>
  <c r="K21" i="22"/>
  <c r="K23" i="22" s="1"/>
  <c r="R59" i="22"/>
  <c r="S17" i="22"/>
  <c r="S21" i="22"/>
  <c r="S23" i="22" s="1"/>
  <c r="D59" i="23"/>
  <c r="E17" i="23"/>
  <c r="E21" i="23"/>
  <c r="E23" i="23" s="1"/>
  <c r="E24" i="23" s="1"/>
  <c r="L59" i="23"/>
  <c r="M17" i="23"/>
  <c r="M21" i="23"/>
  <c r="T59" i="23"/>
  <c r="U17" i="23"/>
  <c r="U19" i="23" s="1"/>
  <c r="U21" i="23"/>
  <c r="U23" i="23" s="1"/>
  <c r="U24" i="23" s="1"/>
  <c r="H21" i="24"/>
  <c r="H23" i="24" s="1"/>
  <c r="H24" i="24" s="1"/>
  <c r="H17" i="24"/>
  <c r="H19" i="24" s="1"/>
  <c r="H20" i="24" s="1"/>
  <c r="P17" i="24"/>
  <c r="P21" i="24"/>
  <c r="C59" i="26"/>
  <c r="D21" i="26"/>
  <c r="D23" i="26" s="1"/>
  <c r="D24" i="26" s="1"/>
  <c r="D17" i="26"/>
  <c r="D19" i="26" s="1"/>
  <c r="D20" i="26" s="1"/>
  <c r="K59" i="26"/>
  <c r="L21" i="26"/>
  <c r="L17" i="26"/>
  <c r="S59" i="26"/>
  <c r="T21" i="26"/>
  <c r="T17" i="26"/>
  <c r="N63" i="26"/>
  <c r="J59" i="27"/>
  <c r="K17" i="27"/>
  <c r="K19" i="27" s="1"/>
  <c r="K20" i="27" s="1"/>
  <c r="R59" i="27"/>
  <c r="S17" i="27"/>
  <c r="S19" i="27" s="1"/>
  <c r="J59" i="28"/>
  <c r="K17" i="28"/>
  <c r="K21" i="28"/>
  <c r="R59" i="28"/>
  <c r="S17" i="28"/>
  <c r="S21" i="28"/>
  <c r="S23" i="28" s="1"/>
  <c r="S24" i="28" s="1"/>
  <c r="I59" i="29"/>
  <c r="J17" i="29"/>
  <c r="J21" i="29"/>
  <c r="J23" i="29" s="1"/>
  <c r="J24" i="29" s="1"/>
  <c r="Q59" i="29"/>
  <c r="R21" i="29"/>
  <c r="R23" i="29" s="1"/>
  <c r="R24" i="29" s="1"/>
  <c r="R17" i="29"/>
  <c r="H59" i="30"/>
  <c r="I17" i="30"/>
  <c r="I19" i="30" s="1"/>
  <c r="I20"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F19" i="23" s="1"/>
  <c r="F20" i="23" s="1"/>
  <c r="M59" i="23"/>
  <c r="N21" i="23"/>
  <c r="N17" i="23"/>
  <c r="N19" i="23" s="1"/>
  <c r="U59" i="23"/>
  <c r="V21" i="23"/>
  <c r="V23" i="23" s="1"/>
  <c r="V24" i="23" s="1"/>
  <c r="V17" i="23"/>
  <c r="I17" i="24"/>
  <c r="I19" i="24" s="1"/>
  <c r="I20" i="24" s="1"/>
  <c r="I21" i="24"/>
  <c r="Q17" i="24"/>
  <c r="Q19" i="24" s="1"/>
  <c r="Q21" i="24"/>
  <c r="Q23" i="24" s="1"/>
  <c r="Q24" i="24" s="1"/>
  <c r="D59" i="26"/>
  <c r="E21" i="26"/>
  <c r="E23" i="26" s="1"/>
  <c r="E24" i="26" s="1"/>
  <c r="E17" i="26"/>
  <c r="E19" i="26" s="1"/>
  <c r="E20" i="26" s="1"/>
  <c r="L59" i="26"/>
  <c r="M21" i="26"/>
  <c r="M17" i="26"/>
  <c r="T59" i="26"/>
  <c r="U21" i="26"/>
  <c r="U23" i="26" s="1"/>
  <c r="U24" i="26" s="1"/>
  <c r="U17" i="26"/>
  <c r="U19" i="26" s="1"/>
  <c r="C59" i="27"/>
  <c r="D17" i="27"/>
  <c r="D19" i="27" s="1"/>
  <c r="D20" i="27" s="1"/>
  <c r="K59" i="27"/>
  <c r="L17" i="27"/>
  <c r="S59" i="27"/>
  <c r="T17" i="27"/>
  <c r="T19" i="27" s="1"/>
  <c r="C59" i="28"/>
  <c r="D21" i="28"/>
  <c r="D23" i="28" s="1"/>
  <c r="D24" i="28" s="1"/>
  <c r="D17" i="28"/>
  <c r="K59" i="28"/>
  <c r="L21" i="28"/>
  <c r="L17" i="28"/>
  <c r="S59" i="28"/>
  <c r="T21" i="28"/>
  <c r="T17" i="28"/>
  <c r="T19" i="28" s="1"/>
  <c r="J59" i="29"/>
  <c r="K17" i="29"/>
  <c r="K21" i="29"/>
  <c r="K23" i="29" s="1"/>
  <c r="K24" i="29" s="1"/>
  <c r="R59" i="29"/>
  <c r="S21" i="29"/>
  <c r="S17" i="29"/>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0" i="30" s="1"/>
  <c r="K21" i="30"/>
  <c r="K23" i="30" s="1"/>
  <c r="K24" i="30" s="1"/>
  <c r="O59" i="21"/>
  <c r="O64" i="21" s="1"/>
  <c r="P21" i="21"/>
  <c r="P23" i="21" s="1"/>
  <c r="P24" i="21" s="1"/>
  <c r="P17" i="21"/>
  <c r="H21" i="21"/>
  <c r="H17" i="21"/>
  <c r="H19" i="21" s="1"/>
  <c r="H20" i="21" s="1"/>
  <c r="E59" i="22"/>
  <c r="F21" i="22"/>
  <c r="F23" i="22" s="1"/>
  <c r="F17" i="22"/>
  <c r="F19" i="22" s="1"/>
  <c r="M59" i="22"/>
  <c r="N21" i="22"/>
  <c r="N23" i="22" s="1"/>
  <c r="N17" i="22"/>
  <c r="U59" i="22"/>
  <c r="V17" i="22"/>
  <c r="V21" i="22"/>
  <c r="C18" i="22"/>
  <c r="H21" i="23"/>
  <c r="H23" i="23" s="1"/>
  <c r="H24" i="23" s="1"/>
  <c r="H17" i="23"/>
  <c r="P17" i="23"/>
  <c r="P19" i="23" s="1"/>
  <c r="P21" i="23"/>
  <c r="J59" i="24"/>
  <c r="K21" i="24"/>
  <c r="K17" i="24"/>
  <c r="K19" i="24" s="1"/>
  <c r="K20" i="24" s="1"/>
  <c r="R59" i="24"/>
  <c r="S21" i="24"/>
  <c r="S23" i="24" s="1"/>
  <c r="S24" i="24" s="1"/>
  <c r="S17" i="24"/>
  <c r="G21" i="26"/>
  <c r="G17" i="26"/>
  <c r="G19" i="26" s="1"/>
  <c r="G20" i="26" s="1"/>
  <c r="O17" i="26"/>
  <c r="O21" i="26"/>
  <c r="E59" i="27"/>
  <c r="F17" i="27"/>
  <c r="F19" i="27" s="1"/>
  <c r="F20" i="27" s="1"/>
  <c r="M59" i="27"/>
  <c r="N17" i="27"/>
  <c r="U59" i="27"/>
  <c r="V17" i="27"/>
  <c r="E59" i="28"/>
  <c r="F17" i="28"/>
  <c r="F19" i="28" s="1"/>
  <c r="F20" i="28" s="1"/>
  <c r="F21" i="28"/>
  <c r="F23" i="28" s="1"/>
  <c r="F24" i="28" s="1"/>
  <c r="M59" i="28"/>
  <c r="N17" i="28"/>
  <c r="N19" i="28" s="1"/>
  <c r="N21" i="28"/>
  <c r="U59" i="28"/>
  <c r="V17" i="28"/>
  <c r="V21" i="28"/>
  <c r="D59" i="29"/>
  <c r="E17" i="29"/>
  <c r="E19" i="29" s="1"/>
  <c r="E20" i="29" s="1"/>
  <c r="E21" i="29"/>
  <c r="E23" i="29" s="1"/>
  <c r="E24" i="29" s="1"/>
  <c r="L59" i="29"/>
  <c r="M17" i="29"/>
  <c r="M21" i="29"/>
  <c r="T59" i="29"/>
  <c r="U17" i="29"/>
  <c r="U21" i="29"/>
  <c r="C59" i="30"/>
  <c r="D17" i="30"/>
  <c r="D19" i="30" s="1"/>
  <c r="D20" i="30" s="1"/>
  <c r="D21" i="30"/>
  <c r="D23" i="30" s="1"/>
  <c r="D24"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7" i="22"/>
  <c r="G21" i="22"/>
  <c r="G23" i="22" s="1"/>
  <c r="O17" i="22"/>
  <c r="O19" i="22" s="1"/>
  <c r="O21" i="22"/>
  <c r="O23" i="22" s="1"/>
  <c r="H59" i="23"/>
  <c r="I21" i="23"/>
  <c r="I23" i="23" s="1"/>
  <c r="I24" i="23" s="1"/>
  <c r="I17" i="23"/>
  <c r="P59" i="23"/>
  <c r="Q17" i="23"/>
  <c r="Q21" i="23"/>
  <c r="Q23" i="23" s="1"/>
  <c r="Q24" i="23" s="1"/>
  <c r="C59" i="24"/>
  <c r="D17" i="24"/>
  <c r="D19" i="24" s="1"/>
  <c r="D20" i="24" s="1"/>
  <c r="D21" i="24"/>
  <c r="D23" i="24" s="1"/>
  <c r="D24" i="24" s="1"/>
  <c r="K59" i="24"/>
  <c r="L21" i="24"/>
  <c r="L17" i="24"/>
  <c r="L19" i="24" s="1"/>
  <c r="S59" i="24"/>
  <c r="T21" i="24"/>
  <c r="T17" i="24"/>
  <c r="T19" i="24" s="1"/>
  <c r="H21" i="26"/>
  <c r="H23" i="26" s="1"/>
  <c r="H24" i="26" s="1"/>
  <c r="H17" i="26"/>
  <c r="H19" i="26" s="1"/>
  <c r="H20" i="26" s="1"/>
  <c r="P21" i="26"/>
  <c r="P17" i="26"/>
  <c r="F59" i="28"/>
  <c r="G17" i="28"/>
  <c r="G19" i="28" s="1"/>
  <c r="G20" i="28" s="1"/>
  <c r="G21" i="28"/>
  <c r="G23" i="28" s="1"/>
  <c r="G24" i="28" s="1"/>
  <c r="N59" i="28"/>
  <c r="O17" i="28"/>
  <c r="O19" i="28" s="1"/>
  <c r="O21" i="28"/>
  <c r="E59" i="29"/>
  <c r="F17" i="29"/>
  <c r="F21" i="29"/>
  <c r="M59" i="29"/>
  <c r="N17" i="29"/>
  <c r="N21" i="29"/>
  <c r="U59" i="29"/>
  <c r="V17" i="29"/>
  <c r="V21" i="29"/>
  <c r="V23" i="29" s="1"/>
  <c r="V24" i="29" s="1"/>
  <c r="D59" i="30"/>
  <c r="E17" i="30"/>
  <c r="E21" i="30"/>
  <c r="L59" i="30"/>
  <c r="M17" i="30"/>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23" i="22" s="1"/>
  <c r="H17" i="22"/>
  <c r="H19" i="22" s="1"/>
  <c r="I59" i="23"/>
  <c r="J21" i="23"/>
  <c r="J23" i="23" s="1"/>
  <c r="J24" i="23" s="1"/>
  <c r="J17" i="23"/>
  <c r="J19" i="23" s="1"/>
  <c r="J20" i="23" s="1"/>
  <c r="Q59" i="23"/>
  <c r="R21" i="23"/>
  <c r="R17" i="23"/>
  <c r="D59" i="24"/>
  <c r="E17" i="24"/>
  <c r="E21" i="24"/>
  <c r="E23" i="24" s="1"/>
  <c r="E24" i="24" s="1"/>
  <c r="L59" i="24"/>
  <c r="M17" i="24"/>
  <c r="M19" i="24" s="1"/>
  <c r="M21" i="24"/>
  <c r="M23" i="24" s="1"/>
  <c r="M24" i="24" s="1"/>
  <c r="T59" i="24"/>
  <c r="U21" i="24"/>
  <c r="U17" i="24"/>
  <c r="H59" i="26"/>
  <c r="I17" i="26"/>
  <c r="I19" i="26" s="1"/>
  <c r="I20" i="26" s="1"/>
  <c r="I21" i="26"/>
  <c r="I23" i="26" s="1"/>
  <c r="I24" i="26" s="1"/>
  <c r="P59" i="26"/>
  <c r="Q17" i="26"/>
  <c r="Q19" i="26" s="1"/>
  <c r="Q21" i="26"/>
  <c r="E63" i="26"/>
  <c r="H17" i="27"/>
  <c r="P17" i="27"/>
  <c r="P19" i="27" s="1"/>
  <c r="H21" i="28"/>
  <c r="H23" i="28" s="1"/>
  <c r="H24" i="28" s="1"/>
  <c r="H17" i="28"/>
  <c r="H19" i="28" s="1"/>
  <c r="H20" i="28" s="1"/>
  <c r="P21" i="28"/>
  <c r="P17" i="28"/>
  <c r="P19" i="28" s="1"/>
  <c r="G17" i="29"/>
  <c r="G19" i="29" s="1"/>
  <c r="G20" i="29" s="1"/>
  <c r="G21" i="29"/>
  <c r="G23" i="29" s="1"/>
  <c r="G24" i="29" s="1"/>
  <c r="O17" i="29"/>
  <c r="O21" i="29"/>
  <c r="E59" i="30"/>
  <c r="F21" i="30"/>
  <c r="F23" i="30" s="1"/>
  <c r="F24" i="30" s="1"/>
  <c r="F17" i="30"/>
  <c r="F19" i="30" s="1"/>
  <c r="F20" i="30" s="1"/>
  <c r="M59" i="30"/>
  <c r="N21" i="30"/>
  <c r="N17" i="30"/>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U17" i="21"/>
  <c r="U19" i="21" s="1"/>
  <c r="U21" i="21"/>
  <c r="U23" i="21" s="1"/>
  <c r="U24" i="21" s="1"/>
  <c r="M17" i="21"/>
  <c r="M21" i="21"/>
  <c r="E17" i="21"/>
  <c r="E19" i="21" s="1"/>
  <c r="E20" i="21" s="1"/>
  <c r="E21" i="21"/>
  <c r="E23" i="21" s="1"/>
  <c r="E24" i="21" s="1"/>
  <c r="H59" i="22"/>
  <c r="I17" i="22"/>
  <c r="I19" i="22" s="1"/>
  <c r="I21" i="22"/>
  <c r="I23" i="22" s="1"/>
  <c r="P59" i="22"/>
  <c r="Q17" i="22"/>
  <c r="Q19" i="22" s="1"/>
  <c r="Q21" i="22"/>
  <c r="J59" i="23"/>
  <c r="K17" i="23"/>
  <c r="K19" i="23" s="1"/>
  <c r="K20" i="23" s="1"/>
  <c r="K21" i="23"/>
  <c r="K23" i="23" s="1"/>
  <c r="K24" i="23" s="1"/>
  <c r="R59" i="23"/>
  <c r="S17" i="23"/>
  <c r="S19" i="23" s="1"/>
  <c r="S21" i="23"/>
  <c r="E59" i="24"/>
  <c r="F21" i="24"/>
  <c r="F17" i="24"/>
  <c r="F19" i="24" s="1"/>
  <c r="F20" i="24" s="1"/>
  <c r="M59" i="24"/>
  <c r="N21" i="24"/>
  <c r="N23" i="24" s="1"/>
  <c r="N24" i="24" s="1"/>
  <c r="N17" i="24"/>
  <c r="N19" i="24" s="1"/>
  <c r="U59" i="24"/>
  <c r="V21" i="24"/>
  <c r="V17" i="24"/>
  <c r="V19" i="24" s="1"/>
  <c r="I58" i="26"/>
  <c r="I61" i="26" s="1"/>
  <c r="J17" i="26"/>
  <c r="J19" i="26" s="1"/>
  <c r="J20" i="26" s="1"/>
  <c r="J21" i="26"/>
  <c r="J23" i="26" s="1"/>
  <c r="J24" i="26" s="1"/>
  <c r="Q58" i="26"/>
  <c r="Q61" i="26" s="1"/>
  <c r="R21" i="26"/>
  <c r="R23" i="26" s="1"/>
  <c r="R24" i="26" s="1"/>
  <c r="R17" i="26"/>
  <c r="R19" i="26" s="1"/>
  <c r="F63" i="26"/>
  <c r="I17" i="27"/>
  <c r="I19" i="27" s="1"/>
  <c r="I20" i="27" s="1"/>
  <c r="Q17" i="27"/>
  <c r="I21" i="28"/>
  <c r="I23" i="28" s="1"/>
  <c r="I24" i="28" s="1"/>
  <c r="I17" i="28"/>
  <c r="I19" i="28" s="1"/>
  <c r="I20" i="28" s="1"/>
  <c r="Q21" i="28"/>
  <c r="Q23" i="28" s="1"/>
  <c r="Q24" i="28" s="1"/>
  <c r="Q17" i="28"/>
  <c r="Q19" i="28" s="1"/>
  <c r="H21" i="29"/>
  <c r="H23" i="29" s="1"/>
  <c r="H24" i="29" s="1"/>
  <c r="H17" i="29"/>
  <c r="H19" i="29" s="1"/>
  <c r="H20" i="29" s="1"/>
  <c r="P21" i="29"/>
  <c r="P23" i="29" s="1"/>
  <c r="P24" i="29" s="1"/>
  <c r="P17" i="29"/>
  <c r="G21" i="30"/>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D23" i="21" s="1"/>
  <c r="D24" i="21" s="1"/>
  <c r="Q59" i="22"/>
  <c r="R17" i="22"/>
  <c r="R19" i="22" s="1"/>
  <c r="R21" i="22"/>
  <c r="R23" i="22" s="1"/>
  <c r="C59" i="23"/>
  <c r="D17" i="23"/>
  <c r="D19" i="23" s="1"/>
  <c r="D20" i="23" s="1"/>
  <c r="D21" i="23"/>
  <c r="D23" i="23" s="1"/>
  <c r="D24" i="23" s="1"/>
  <c r="S59" i="23"/>
  <c r="T17" i="23"/>
  <c r="T21" i="23"/>
  <c r="G17" i="24"/>
  <c r="G19" i="24" s="1"/>
  <c r="G20" i="24" s="1"/>
  <c r="G21" i="24"/>
  <c r="G23" i="24" s="1"/>
  <c r="G24" i="24" s="1"/>
  <c r="O17" i="24"/>
  <c r="O21" i="24"/>
  <c r="J59" i="26"/>
  <c r="K17" i="26"/>
  <c r="K19" i="26" s="1"/>
  <c r="K20" i="26" s="1"/>
  <c r="K21" i="26"/>
  <c r="K23" i="26" s="1"/>
  <c r="K24" i="26" s="1"/>
  <c r="R59" i="26"/>
  <c r="S17" i="26"/>
  <c r="S19" i="26" s="1"/>
  <c r="S21" i="26"/>
  <c r="S23" i="26" s="1"/>
  <c r="S24" i="26" s="1"/>
  <c r="M63" i="26"/>
  <c r="I59" i="27"/>
  <c r="J17" i="27"/>
  <c r="Q59" i="27"/>
  <c r="R17" i="27"/>
  <c r="I59" i="28"/>
  <c r="J17" i="28"/>
  <c r="J19" i="28" s="1"/>
  <c r="J20" i="28" s="1"/>
  <c r="J21" i="28"/>
  <c r="J23" i="28" s="1"/>
  <c r="J24" i="28" s="1"/>
  <c r="Q59" i="28"/>
  <c r="R21" i="28"/>
  <c r="R23" i="28" s="1"/>
  <c r="R24" i="28" s="1"/>
  <c r="R17" i="28"/>
  <c r="I21" i="29"/>
  <c r="I23" i="29" s="1"/>
  <c r="I24" i="29" s="1"/>
  <c r="I17" i="29"/>
  <c r="I19" i="29" s="1"/>
  <c r="I20" i="29" s="1"/>
  <c r="Q21" i="29"/>
  <c r="Q17" i="29"/>
  <c r="Q19" i="29" s="1"/>
  <c r="H17" i="30"/>
  <c r="H19" i="30" s="1"/>
  <c r="H20" i="30" s="1"/>
  <c r="H21" i="30"/>
  <c r="H23" i="30" s="1"/>
  <c r="H24" i="30" s="1"/>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17" i="21"/>
  <c r="C19" i="21" s="1"/>
  <c r="C20" i="21" s="1"/>
  <c r="S58" i="21"/>
  <c r="S61" i="21" s="1"/>
  <c r="C58" i="21"/>
  <c r="C61" i="21" s="1"/>
  <c r="K58" i="21"/>
  <c r="K61" i="21" s="1"/>
  <c r="K64" i="21" s="1"/>
  <c r="R19" i="24"/>
  <c r="I21" i="27"/>
  <c r="I23" i="27" s="1"/>
  <c r="I24" i="27" s="1"/>
  <c r="Q21" i="27"/>
  <c r="R58" i="21"/>
  <c r="R61" i="21" s="1"/>
  <c r="R64" i="21" s="1"/>
  <c r="O57" i="21"/>
  <c r="A43" i="21"/>
  <c r="J58" i="21"/>
  <c r="J61" i="21" s="1"/>
  <c r="G23" i="26"/>
  <c r="G24" i="26" s="1"/>
  <c r="D58" i="29"/>
  <c r="D61" i="29" s="1"/>
  <c r="P23" i="26"/>
  <c r="P24" i="26" s="1"/>
  <c r="G21" i="27"/>
  <c r="G23" i="27" s="1"/>
  <c r="G24" i="27" s="1"/>
  <c r="O21" i="27"/>
  <c r="O23" i="27" s="1"/>
  <c r="O24" i="27" s="1"/>
  <c r="D58" i="30"/>
  <c r="D61" i="30" s="1"/>
  <c r="L58" i="30"/>
  <c r="L61" i="30" s="1"/>
  <c r="L64" i="30" s="1"/>
  <c r="R58" i="23"/>
  <c r="R61" i="23" s="1"/>
  <c r="H21" i="27"/>
  <c r="H23" i="27" s="1"/>
  <c r="H24" i="27" s="1"/>
  <c r="P21" i="27"/>
  <c r="J58" i="22"/>
  <c r="J61" i="22" s="1"/>
  <c r="J58" i="26"/>
  <c r="J61" i="26" s="1"/>
  <c r="R19" i="23"/>
  <c r="J58" i="27"/>
  <c r="J61" i="27" s="1"/>
  <c r="R58" i="27"/>
  <c r="R61" i="27" s="1"/>
  <c r="R64" i="27" s="1"/>
  <c r="R58" i="28"/>
  <c r="R61" i="28" s="1"/>
  <c r="R64" i="28" s="1"/>
  <c r="F58" i="22"/>
  <c r="F61" i="22" s="1"/>
  <c r="N58" i="22"/>
  <c r="N61" i="22" s="1"/>
  <c r="N64" i="22" s="1"/>
  <c r="F58" i="23"/>
  <c r="F61" i="23" s="1"/>
  <c r="N58" i="23"/>
  <c r="N61" i="23" s="1"/>
  <c r="L21" i="27"/>
  <c r="L23" i="27" s="1"/>
  <c r="L24" i="27" s="1"/>
  <c r="T21" i="27"/>
  <c r="H57" i="29"/>
  <c r="P58" i="21"/>
  <c r="P61" i="21" s="1"/>
  <c r="H58" i="21"/>
  <c r="H61" i="21" s="1"/>
  <c r="N59" i="23"/>
  <c r="R58" i="26"/>
  <c r="R61" i="26" s="1"/>
  <c r="R57" i="21"/>
  <c r="H58" i="22"/>
  <c r="H61" i="22" s="1"/>
  <c r="P58" i="22"/>
  <c r="P61" i="22" s="1"/>
  <c r="P64" i="22" s="1"/>
  <c r="F59" i="22"/>
  <c r="K58" i="29"/>
  <c r="K61" i="29" s="1"/>
  <c r="I58" i="23"/>
  <c r="I61" i="23" s="1"/>
  <c r="I64" i="23" s="1"/>
  <c r="Q58" i="23"/>
  <c r="Q61" i="23" s="1"/>
  <c r="L58" i="29"/>
  <c r="L61" i="29" s="1"/>
  <c r="T58" i="29"/>
  <c r="T61" i="29" s="1"/>
  <c r="T64" i="29" s="1"/>
  <c r="I23" i="30"/>
  <c r="I24" i="30" s="1"/>
  <c r="Q23" i="30"/>
  <c r="Q24" i="30" s="1"/>
  <c r="E23" i="30"/>
  <c r="E24" i="30" s="1"/>
  <c r="U23" i="30"/>
  <c r="U24" i="30" s="1"/>
  <c r="J58" i="28"/>
  <c r="J61" i="28" s="1"/>
  <c r="J64" i="28" s="1"/>
  <c r="J65" i="28" s="1"/>
  <c r="R58" i="22"/>
  <c r="R61" i="22" s="1"/>
  <c r="R64" i="22" s="1"/>
  <c r="J58" i="23"/>
  <c r="J61" i="23" s="1"/>
  <c r="J64" i="23" s="1"/>
  <c r="J58" i="24"/>
  <c r="J61" i="24" s="1"/>
  <c r="J64" i="24" s="1"/>
  <c r="J65" i="24" s="1"/>
  <c r="R58" i="24"/>
  <c r="R61" i="24" s="1"/>
  <c r="F57" i="24"/>
  <c r="T58" i="30"/>
  <c r="T61" i="30" s="1"/>
  <c r="T64" i="30" s="1"/>
  <c r="C58" i="23"/>
  <c r="C61" i="23" s="1"/>
  <c r="K58" i="23"/>
  <c r="K61" i="23" s="1"/>
  <c r="S58" i="23"/>
  <c r="S61" i="23" s="1"/>
  <c r="F58" i="26"/>
  <c r="F61" i="26" s="1"/>
  <c r="D58" i="27"/>
  <c r="D61" i="27" s="1"/>
  <c r="D64" i="27" s="1"/>
  <c r="L58" i="27"/>
  <c r="L61" i="27" s="1"/>
  <c r="T58" i="27"/>
  <c r="T61" i="27" s="1"/>
  <c r="T64" i="27" s="1"/>
  <c r="J58" i="30"/>
  <c r="J61" i="30" s="1"/>
  <c r="R58" i="30"/>
  <c r="R61" i="30" s="1"/>
  <c r="R64" i="30" s="1"/>
  <c r="P57" i="30"/>
  <c r="J57" i="21"/>
  <c r="H59" i="21"/>
  <c r="Q23" i="22"/>
  <c r="J19" i="27"/>
  <c r="J20" i="27" s="1"/>
  <c r="R21" i="27"/>
  <c r="R23" i="27" s="1"/>
  <c r="R24" i="27" s="1"/>
  <c r="E58" i="27"/>
  <c r="E61" i="27" s="1"/>
  <c r="E64" i="27" s="1"/>
  <c r="E65" i="27" s="1"/>
  <c r="M58" i="27"/>
  <c r="M61" i="27" s="1"/>
  <c r="U58" i="27"/>
  <c r="U61" i="27" s="1"/>
  <c r="I58" i="29"/>
  <c r="I61"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L24" i="30" s="1"/>
  <c r="T23" i="30"/>
  <c r="T24" i="30" s="1"/>
  <c r="G58" i="30"/>
  <c r="G61" i="30" s="1"/>
  <c r="O58" i="30"/>
  <c r="O61" i="30" s="1"/>
  <c r="Q57" i="30"/>
  <c r="A36" i="22"/>
  <c r="G58" i="27"/>
  <c r="G61" i="27" s="1"/>
  <c r="T58" i="28"/>
  <c r="T61" i="28" s="1"/>
  <c r="T64" i="28" s="1"/>
  <c r="C58" i="29"/>
  <c r="C61" i="29" s="1"/>
  <c r="C64" i="29" s="1"/>
  <c r="C65" i="29" s="1"/>
  <c r="H58" i="30"/>
  <c r="H61" i="30" s="1"/>
  <c r="N59" i="30"/>
  <c r="K19" i="21"/>
  <c r="K20" i="21" s="1"/>
  <c r="Q57" i="21"/>
  <c r="B58" i="21"/>
  <c r="B61" i="21" s="1"/>
  <c r="I58" i="22"/>
  <c r="I61"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L64" i="24" s="1"/>
  <c r="P58" i="26"/>
  <c r="P61" i="26" s="1"/>
  <c r="F59" i="26"/>
  <c r="O58" i="27"/>
  <c r="O61" i="27" s="1"/>
  <c r="A38" i="21"/>
  <c r="F57" i="22"/>
  <c r="N59" i="22"/>
  <c r="E58" i="23"/>
  <c r="E61" i="23" s="1"/>
  <c r="E64" i="23" s="1"/>
  <c r="M58" i="23"/>
  <c r="M61" i="23" s="1"/>
  <c r="U58" i="23"/>
  <c r="U61" i="23" s="1"/>
  <c r="U64" i="23" s="1"/>
  <c r="V19" i="23"/>
  <c r="O23" i="24"/>
  <c r="O24" i="24" s="1"/>
  <c r="F58" i="24"/>
  <c r="F61" i="24" s="1"/>
  <c r="N58" i="24"/>
  <c r="N61" i="24" s="1"/>
  <c r="F59" i="24"/>
  <c r="I58" i="27"/>
  <c r="I61" i="27" s="1"/>
  <c r="I64" i="27" s="1"/>
  <c r="I65"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H64" i="26" s="1"/>
  <c r="L58" i="28"/>
  <c r="L61" i="28" s="1"/>
  <c r="S58" i="29"/>
  <c r="S61" i="29" s="1"/>
  <c r="S64" i="29" s="1"/>
  <c r="P19" i="21"/>
  <c r="P23" i="22"/>
  <c r="C58" i="22"/>
  <c r="C61" i="22" s="1"/>
  <c r="K58" i="22"/>
  <c r="K61" i="22" s="1"/>
  <c r="K64" i="22" s="1"/>
  <c r="S58" i="22"/>
  <c r="S61" i="22" s="1"/>
  <c r="S64" i="22" s="1"/>
  <c r="F57" i="23"/>
  <c r="L23" i="24"/>
  <c r="L24" i="24" s="1"/>
  <c r="T23" i="24"/>
  <c r="T24" i="24" s="1"/>
  <c r="G58" i="24"/>
  <c r="G61" i="24" s="1"/>
  <c r="O58" i="24"/>
  <c r="O61" i="24" s="1"/>
  <c r="N59" i="24"/>
  <c r="C58" i="26"/>
  <c r="C61" i="26" s="1"/>
  <c r="C64" i="26" s="1"/>
  <c r="K58" i="26"/>
  <c r="K61" i="26" s="1"/>
  <c r="S58" i="26"/>
  <c r="S61" i="26" s="1"/>
  <c r="S64" i="26" s="1"/>
  <c r="P23" i="27"/>
  <c r="P24" i="27" s="1"/>
  <c r="N57" i="27"/>
  <c r="H59" i="27"/>
  <c r="G58" i="28"/>
  <c r="G61" i="28" s="1"/>
  <c r="O58" i="28"/>
  <c r="O61" i="28" s="1"/>
  <c r="F57" i="28"/>
  <c r="F58" i="29"/>
  <c r="F61" i="29" s="1"/>
  <c r="N58" i="29"/>
  <c r="N61" i="29" s="1"/>
  <c r="H59" i="29"/>
  <c r="C58" i="30"/>
  <c r="C61" i="30" s="1"/>
  <c r="K58" i="30"/>
  <c r="K61" i="30" s="1"/>
  <c r="K64" i="30" s="1"/>
  <c r="S58" i="30"/>
  <c r="S61" i="30" s="1"/>
  <c r="H57" i="30"/>
  <c r="D58" i="24"/>
  <c r="D61" i="24" s="1"/>
  <c r="D64" i="24" s="1"/>
  <c r="D65" i="24" s="1"/>
  <c r="D58" i="28"/>
  <c r="D61" i="28" s="1"/>
  <c r="D64"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I24" i="24" s="1"/>
  <c r="H58" i="24"/>
  <c r="H61" i="24" s="1"/>
  <c r="P58" i="24"/>
  <c r="P61" i="24" s="1"/>
  <c r="Q23" i="26"/>
  <c r="Q24" i="26" s="1"/>
  <c r="D58" i="26"/>
  <c r="D61" i="26" s="1"/>
  <c r="L58" i="26"/>
  <c r="L61" i="26" s="1"/>
  <c r="L64" i="26" s="1"/>
  <c r="T58" i="26"/>
  <c r="T61" i="26" s="1"/>
  <c r="F57" i="26"/>
  <c r="C58" i="27"/>
  <c r="C61" i="27" s="1"/>
  <c r="C64" i="27" s="1"/>
  <c r="K58" i="27"/>
  <c r="K61" i="27" s="1"/>
  <c r="K64" i="27" s="1"/>
  <c r="S58" i="27"/>
  <c r="S61" i="27" s="1"/>
  <c r="S64" i="27" s="1"/>
  <c r="P57" i="27"/>
  <c r="N59" i="27"/>
  <c r="H58" i="28"/>
  <c r="H61" i="28" s="1"/>
  <c r="P58" i="28"/>
  <c r="P61" i="28" s="1"/>
  <c r="N57" i="28"/>
  <c r="L23" i="29"/>
  <c r="L24" i="29" s="1"/>
  <c r="T23" i="29"/>
  <c r="T24" i="29" s="1"/>
  <c r="G58" i="29"/>
  <c r="G61" i="29" s="1"/>
  <c r="O58" i="29"/>
  <c r="O61" i="29" s="1"/>
  <c r="P59" i="29"/>
  <c r="D64" i="30"/>
  <c r="I57" i="30"/>
  <c r="M19" i="21"/>
  <c r="G57" i="21"/>
  <c r="E58" i="22"/>
  <c r="E61" i="22" s="1"/>
  <c r="E64" i="22" s="1"/>
  <c r="E65" i="22" s="1"/>
  <c r="M58" i="22"/>
  <c r="M61" i="22" s="1"/>
  <c r="M64" i="22" s="1"/>
  <c r="U58" i="22"/>
  <c r="U61" i="22" s="1"/>
  <c r="A45" i="22"/>
  <c r="O57" i="22"/>
  <c r="H58" i="23"/>
  <c r="H61" i="23" s="1"/>
  <c r="H64" i="23" s="1"/>
  <c r="P58" i="23"/>
  <c r="P61" i="23" s="1"/>
  <c r="P64" i="23" s="1"/>
  <c r="I58" i="24"/>
  <c r="I61" i="24" s="1"/>
  <c r="Q58" i="24"/>
  <c r="Q61" i="24" s="1"/>
  <c r="Q64" i="24" s="1"/>
  <c r="E58" i="26"/>
  <c r="E61" i="26" s="1"/>
  <c r="M58" i="26"/>
  <c r="M61" i="26" s="1"/>
  <c r="M64" i="26" s="1"/>
  <c r="M66" i="26" s="1"/>
  <c r="U58" i="26"/>
  <c r="U61" i="26" s="1"/>
  <c r="N57" i="26"/>
  <c r="P59" i="27"/>
  <c r="I58" i="28"/>
  <c r="I61" i="28" s="1"/>
  <c r="I64" i="28" s="1"/>
  <c r="I65" i="28" s="1"/>
  <c r="Q58" i="28"/>
  <c r="Q61" i="28" s="1"/>
  <c r="Q64" i="28" s="1"/>
  <c r="P23" i="28"/>
  <c r="P24" i="28" s="1"/>
  <c r="H58" i="29"/>
  <c r="H61" i="29" s="1"/>
  <c r="P58" i="29"/>
  <c r="P61" i="29" s="1"/>
  <c r="E58" i="30"/>
  <c r="E61" i="30" s="1"/>
  <c r="M58" i="30"/>
  <c r="M61" i="30" s="1"/>
  <c r="U58" i="30"/>
  <c r="U61" i="30" s="1"/>
  <c r="U64" i="30" s="1"/>
  <c r="U66" i="30" s="1"/>
  <c r="N57" i="30"/>
  <c r="F59" i="30"/>
  <c r="B58" i="30"/>
  <c r="B61" i="30" s="1"/>
  <c r="B58" i="24"/>
  <c r="B61"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O24" i="30" s="1"/>
  <c r="G23" i="30"/>
  <c r="G24" i="30" s="1"/>
  <c r="R19" i="30"/>
  <c r="F63" i="30"/>
  <c r="N63" i="30"/>
  <c r="S19" i="30"/>
  <c r="S23" i="30"/>
  <c r="S24" i="30" s="1"/>
  <c r="A31" i="30"/>
  <c r="A33" i="30"/>
  <c r="A39" i="30"/>
  <c r="A41" i="30"/>
  <c r="A47" i="30"/>
  <c r="A49" i="30"/>
  <c r="G57" i="30"/>
  <c r="O57" i="30"/>
  <c r="G59" i="30"/>
  <c r="G64" i="30" s="1"/>
  <c r="O59" i="30"/>
  <c r="G63" i="30"/>
  <c r="O63" i="30"/>
  <c r="P63" i="30"/>
  <c r="I63" i="30"/>
  <c r="Q63" i="30"/>
  <c r="T19" i="30"/>
  <c r="E19" i="30"/>
  <c r="E20" i="30" s="1"/>
  <c r="N19" i="30"/>
  <c r="V19" i="30"/>
  <c r="N23" i="30"/>
  <c r="N24" i="30" s="1"/>
  <c r="B63" i="30"/>
  <c r="J63" i="30"/>
  <c r="R63" i="30"/>
  <c r="M19" i="30"/>
  <c r="G19" i="30"/>
  <c r="G20" i="30" s="1"/>
  <c r="A32" i="30"/>
  <c r="A34" i="30"/>
  <c r="A40" i="30"/>
  <c r="A42" i="30"/>
  <c r="A48" i="30"/>
  <c r="A50" i="30"/>
  <c r="C63" i="30"/>
  <c r="K63" i="30"/>
  <c r="K65" i="30" s="1"/>
  <c r="S63" i="30"/>
  <c r="P19" i="30"/>
  <c r="D63" i="30"/>
  <c r="L63" i="30"/>
  <c r="T63" i="30"/>
  <c r="H63" i="30"/>
  <c r="Q19" i="30"/>
  <c r="E63" i="30"/>
  <c r="M63" i="30"/>
  <c r="Q23" i="29"/>
  <c r="Q24" i="29" s="1"/>
  <c r="O23" i="29"/>
  <c r="O24" i="29" s="1"/>
  <c r="T19" i="29"/>
  <c r="P63" i="29"/>
  <c r="J19" i="29"/>
  <c r="J20" i="29" s="1"/>
  <c r="R19" i="29"/>
  <c r="F57" i="29"/>
  <c r="N57" i="29"/>
  <c r="F59" i="29"/>
  <c r="N59" i="29"/>
  <c r="F63" i="29"/>
  <c r="N63" i="29"/>
  <c r="H63" i="29"/>
  <c r="K19" i="29"/>
  <c r="K20" i="29" s="1"/>
  <c r="S19" i="29"/>
  <c r="S23" i="29"/>
  <c r="S24" i="29" s="1"/>
  <c r="A31" i="29"/>
  <c r="A33" i="29"/>
  <c r="A39" i="29"/>
  <c r="A41" i="29"/>
  <c r="A47" i="29"/>
  <c r="A49" i="29"/>
  <c r="G57" i="29"/>
  <c r="O57" i="29"/>
  <c r="G59" i="29"/>
  <c r="O59" i="29"/>
  <c r="G63" i="29"/>
  <c r="O63" i="29"/>
  <c r="M19" i="29"/>
  <c r="U19" i="29"/>
  <c r="M23" i="29"/>
  <c r="M24" i="29" s="1"/>
  <c r="U23" i="29"/>
  <c r="U24" i="29" s="1"/>
  <c r="I57" i="29"/>
  <c r="Q57" i="29"/>
  <c r="I63" i="29"/>
  <c r="Q63" i="29"/>
  <c r="F19" i="29"/>
  <c r="F20" i="29" s="1"/>
  <c r="N19" i="29"/>
  <c r="V19" i="29"/>
  <c r="F23" i="29"/>
  <c r="F24" i="29" s="1"/>
  <c r="N23" i="29"/>
  <c r="N24" i="29" s="1"/>
  <c r="B63" i="29"/>
  <c r="J63" i="29"/>
  <c r="R63" i="29"/>
  <c r="L19" i="29"/>
  <c r="O19" i="29"/>
  <c r="A32" i="29"/>
  <c r="A34" i="29"/>
  <c r="A40" i="29"/>
  <c r="A42" i="29"/>
  <c r="A48" i="29"/>
  <c r="A50" i="29"/>
  <c r="C63" i="29"/>
  <c r="K63" i="29"/>
  <c r="S63" i="29"/>
  <c r="P19" i="29"/>
  <c r="D63" i="29"/>
  <c r="L63" i="29"/>
  <c r="T63" i="29"/>
  <c r="E63" i="29"/>
  <c r="M63" i="29"/>
  <c r="K19" i="28"/>
  <c r="K20" i="28" s="1"/>
  <c r="S19" i="28"/>
  <c r="K23" i="28"/>
  <c r="K24" i="28" s="1"/>
  <c r="A31" i="28"/>
  <c r="A33" i="28"/>
  <c r="A37" i="28"/>
  <c r="A39" i="28"/>
  <c r="A41" i="28"/>
  <c r="A45" i="28"/>
  <c r="A47" i="28"/>
  <c r="A49" i="28"/>
  <c r="G57" i="28"/>
  <c r="O57" i="28"/>
  <c r="G59" i="28"/>
  <c r="O59" i="28"/>
  <c r="G63" i="28"/>
  <c r="O63" i="28"/>
  <c r="D19" i="28"/>
  <c r="D20" i="28" s="1"/>
  <c r="L19" i="28"/>
  <c r="L23" i="28"/>
  <c r="L24" i="28" s="1"/>
  <c r="T23" i="28"/>
  <c r="T24" i="28" s="1"/>
  <c r="H59" i="28"/>
  <c r="P59" i="28"/>
  <c r="H63" i="28"/>
  <c r="P63" i="28"/>
  <c r="E19" i="28"/>
  <c r="E20" i="28" s="1"/>
  <c r="M19" i="28"/>
  <c r="U19" i="28"/>
  <c r="M23" i="28"/>
  <c r="M24" i="28" s="1"/>
  <c r="I57" i="28"/>
  <c r="Q57" i="28"/>
  <c r="I63" i="28"/>
  <c r="Q63" i="28"/>
  <c r="R19" i="28"/>
  <c r="V19" i="28"/>
  <c r="N23" i="28"/>
  <c r="N24" i="28" s="1"/>
  <c r="V23" i="28"/>
  <c r="V24" i="28" s="1"/>
  <c r="B63" i="28"/>
  <c r="J63" i="28"/>
  <c r="R63" i="28"/>
  <c r="A32" i="28"/>
  <c r="A34" i="28"/>
  <c r="A40" i="28"/>
  <c r="A42" i="28"/>
  <c r="A48" i="28"/>
  <c r="A50" i="28"/>
  <c r="C63" i="28"/>
  <c r="K63" i="28"/>
  <c r="S63" i="28"/>
  <c r="D63" i="28"/>
  <c r="L63" i="28"/>
  <c r="T63" i="28"/>
  <c r="E63" i="28"/>
  <c r="M63" i="28"/>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A32" i="27"/>
  <c r="A34" i="27"/>
  <c r="A40" i="27"/>
  <c r="A42" i="27"/>
  <c r="A48" i="27"/>
  <c r="A50" i="27"/>
  <c r="C63" i="27"/>
  <c r="K63" i="27"/>
  <c r="S63" i="27"/>
  <c r="L19" i="27"/>
  <c r="H19" i="27"/>
  <c r="H20" i="27" s="1"/>
  <c r="D63" i="27"/>
  <c r="L63" i="27"/>
  <c r="T63" i="27"/>
  <c r="H63" i="27"/>
  <c r="Q19" i="27"/>
  <c r="E63" i="27"/>
  <c r="M63" i="27"/>
  <c r="U64" i="26"/>
  <c r="U66" i="26" s="1"/>
  <c r="O23" i="26"/>
  <c r="O24" i="26" s="1"/>
  <c r="A31" i="26"/>
  <c r="A33" i="26"/>
  <c r="A37" i="26"/>
  <c r="A39" i="26"/>
  <c r="A41" i="26"/>
  <c r="A45" i="26"/>
  <c r="A47" i="26"/>
  <c r="A49" i="26"/>
  <c r="G57" i="26"/>
  <c r="O57" i="26"/>
  <c r="G59" i="26"/>
  <c r="O59" i="26"/>
  <c r="G63" i="26"/>
  <c r="O63" i="26"/>
  <c r="L19" i="26"/>
  <c r="T19" i="26"/>
  <c r="L23" i="26"/>
  <c r="L24" i="26" s="1"/>
  <c r="T23" i="26"/>
  <c r="T24" i="26" s="1"/>
  <c r="H63" i="26"/>
  <c r="P63" i="26"/>
  <c r="M19" i="26"/>
  <c r="M23" i="26"/>
  <c r="M24" i="26" s="1"/>
  <c r="I57" i="26"/>
  <c r="Q57" i="26"/>
  <c r="I59" i="26"/>
  <c r="I64" i="26" s="1"/>
  <c r="Q59" i="26"/>
  <c r="Q64" i="26" s="1"/>
  <c r="I63" i="26"/>
  <c r="Q63" i="26"/>
  <c r="N19" i="26"/>
  <c r="N23" i="26"/>
  <c r="N24" i="26" s="1"/>
  <c r="V23" i="26"/>
  <c r="V24" i="26" s="1"/>
  <c r="B63" i="26"/>
  <c r="J63" i="26"/>
  <c r="R63" i="26"/>
  <c r="O19" i="26"/>
  <c r="A32" i="26"/>
  <c r="A34" i="26"/>
  <c r="A40" i="26"/>
  <c r="A42" i="26"/>
  <c r="A48" i="26"/>
  <c r="A50" i="26"/>
  <c r="C63" i="26"/>
  <c r="K63" i="26"/>
  <c r="S63" i="26"/>
  <c r="P19" i="26"/>
  <c r="D63" i="26"/>
  <c r="L63" i="26"/>
  <c r="P23" i="24"/>
  <c r="P24" i="24" s="1"/>
  <c r="S19" i="24"/>
  <c r="K23" i="24"/>
  <c r="K24" i="24" s="1"/>
  <c r="A31" i="24"/>
  <c r="A33" i="24"/>
  <c r="A37" i="24"/>
  <c r="A39" i="24"/>
  <c r="A41" i="24"/>
  <c r="A45" i="24"/>
  <c r="A47" i="24"/>
  <c r="A49" i="24"/>
  <c r="G57" i="24"/>
  <c r="O57" i="24"/>
  <c r="G59" i="24"/>
  <c r="O59" i="24"/>
  <c r="G63" i="24"/>
  <c r="O63" i="24"/>
  <c r="H59" i="24"/>
  <c r="P59" i="24"/>
  <c r="H63" i="24"/>
  <c r="P63" i="24"/>
  <c r="E19" i="24"/>
  <c r="E20" i="24" s="1"/>
  <c r="U19" i="24"/>
  <c r="U23" i="24"/>
  <c r="U24" i="24" s="1"/>
  <c r="I57" i="24"/>
  <c r="Q57" i="24"/>
  <c r="I63" i="24"/>
  <c r="Q63" i="24"/>
  <c r="F23" i="24"/>
  <c r="F24" i="24" s="1"/>
  <c r="V23" i="24"/>
  <c r="V24" i="24" s="1"/>
  <c r="B63" i="24"/>
  <c r="J63" i="24"/>
  <c r="R63" i="24"/>
  <c r="O19" i="24"/>
  <c r="A32" i="24"/>
  <c r="A34" i="24"/>
  <c r="A40" i="24"/>
  <c r="A42" i="24"/>
  <c r="A48" i="24"/>
  <c r="A50" i="24"/>
  <c r="C63" i="24"/>
  <c r="K63" i="24"/>
  <c r="S63" i="24"/>
  <c r="R23" i="24"/>
  <c r="R24" i="24" s="1"/>
  <c r="P19" i="24"/>
  <c r="D63" i="24"/>
  <c r="L63" i="24"/>
  <c r="T63" i="24"/>
  <c r="E63" i="24"/>
  <c r="M63" i="24"/>
  <c r="U63" i="23"/>
  <c r="U65" i="23" s="1"/>
  <c r="M63" i="23"/>
  <c r="M65" i="23" s="1"/>
  <c r="E63" i="23"/>
  <c r="T63" i="23"/>
  <c r="T65" i="23" s="1"/>
  <c r="L63" i="23"/>
  <c r="L65" i="23" s="1"/>
  <c r="D63" i="23"/>
  <c r="S63" i="23"/>
  <c r="S65" i="23" s="1"/>
  <c r="K63" i="23"/>
  <c r="K65" i="23" s="1"/>
  <c r="C63" i="23"/>
  <c r="R63" i="23"/>
  <c r="R65" i="23" s="1"/>
  <c r="J63" i="23"/>
  <c r="B63" i="23"/>
  <c r="Q63" i="23"/>
  <c r="Q65" i="23" s="1"/>
  <c r="I63" i="23"/>
  <c r="P63" i="23"/>
  <c r="P65" i="23" s="1"/>
  <c r="H63" i="23"/>
  <c r="F63" i="23"/>
  <c r="O63" i="23"/>
  <c r="O65" i="23" s="1"/>
  <c r="G63" i="23"/>
  <c r="N63" i="23"/>
  <c r="N65" i="23" s="1"/>
  <c r="P23" i="23"/>
  <c r="P24" i="23" s="1"/>
  <c r="R23" i="23"/>
  <c r="R24" i="23" s="1"/>
  <c r="S23" i="23"/>
  <c r="S24" i="23" s="1"/>
  <c r="A31" i="23"/>
  <c r="A33" i="23"/>
  <c r="A37" i="23"/>
  <c r="A39" i="23"/>
  <c r="A41" i="23"/>
  <c r="A45" i="23"/>
  <c r="A47" i="23"/>
  <c r="A49" i="23"/>
  <c r="G57" i="23"/>
  <c r="O57" i="23"/>
  <c r="G59" i="23"/>
  <c r="O59" i="23"/>
  <c r="L19" i="23"/>
  <c r="T19" i="23"/>
  <c r="L23" i="23"/>
  <c r="L24" i="23" s="1"/>
  <c r="T23" i="23"/>
  <c r="T24" i="23" s="1"/>
  <c r="E19" i="23"/>
  <c r="E20" i="23" s="1"/>
  <c r="M19" i="23"/>
  <c r="M23" i="23"/>
  <c r="M24" i="23" s="1"/>
  <c r="I57" i="23"/>
  <c r="Q57" i="23"/>
  <c r="F23" i="23"/>
  <c r="F24" i="23" s="1"/>
  <c r="N23" i="23"/>
  <c r="N24" i="23" s="1"/>
  <c r="O19" i="23"/>
  <c r="A32" i="23"/>
  <c r="A34" i="23"/>
  <c r="A40" i="23"/>
  <c r="A42" i="23"/>
  <c r="A48" i="23"/>
  <c r="A50" i="23"/>
  <c r="H19" i="23"/>
  <c r="H20" i="23" s="1"/>
  <c r="I19" i="23"/>
  <c r="I20" i="23" s="1"/>
  <c r="Q19" i="23"/>
  <c r="U63" i="22"/>
  <c r="M63" i="22"/>
  <c r="E63" i="22"/>
  <c r="F63" i="22"/>
  <c r="T63" i="22"/>
  <c r="L63" i="22"/>
  <c r="D63" i="22"/>
  <c r="S63" i="22"/>
  <c r="K63" i="22"/>
  <c r="C63" i="22"/>
  <c r="N63" i="22"/>
  <c r="R63" i="22"/>
  <c r="J63" i="22"/>
  <c r="B63" i="22"/>
  <c r="Q63" i="22"/>
  <c r="I63" i="22"/>
  <c r="P63" i="22"/>
  <c r="H63" i="22"/>
  <c r="O63" i="22"/>
  <c r="G63" i="22"/>
  <c r="S19" i="22"/>
  <c r="L19" i="22"/>
  <c r="T19" i="22"/>
  <c r="L23" i="22"/>
  <c r="T23" i="22"/>
  <c r="A31" i="22"/>
  <c r="A33" i="22"/>
  <c r="A41" i="22"/>
  <c r="A47" i="22"/>
  <c r="E19" i="22"/>
  <c r="M19" i="22"/>
  <c r="E23" i="22"/>
  <c r="U23" i="22"/>
  <c r="I57" i="22"/>
  <c r="Q57" i="22"/>
  <c r="K19" i="22"/>
  <c r="A39" i="22"/>
  <c r="A49" i="22"/>
  <c r="N19" i="22"/>
  <c r="V19" i="22"/>
  <c r="V23" i="22"/>
  <c r="G19" i="22"/>
  <c r="A32" i="22"/>
  <c r="A34" i="22"/>
  <c r="A40" i="22"/>
  <c r="A42" i="22"/>
  <c r="A48" i="22"/>
  <c r="A50" i="22"/>
  <c r="P19" i="22"/>
  <c r="P64" i="21"/>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G20" i="21" s="1"/>
  <c r="Q19" i="21"/>
  <c r="J23" i="21"/>
  <c r="J24" i="21" s="1"/>
  <c r="R23" i="21"/>
  <c r="R24" i="21" s="1"/>
  <c r="I19" i="21"/>
  <c r="I20" i="21" s="1"/>
  <c r="L19" i="21"/>
  <c r="R19" i="21"/>
  <c r="A31" i="21"/>
  <c r="D64"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J65" i="23" l="1"/>
  <c r="I65" i="23"/>
  <c r="E65" i="23"/>
  <c r="H65" i="23"/>
  <c r="C19" i="29"/>
  <c r="C20" i="29" s="1"/>
  <c r="B64" i="24"/>
  <c r="B65" i="24" s="1"/>
  <c r="J64" i="27"/>
  <c r="I64" i="29"/>
  <c r="I65" i="29" s="1"/>
  <c r="I64" i="22"/>
  <c r="I65" i="22" s="1"/>
  <c r="H64" i="22"/>
  <c r="H65" i="22" s="1"/>
  <c r="H64" i="30"/>
  <c r="E64" i="30"/>
  <c r="I65" i="26"/>
  <c r="H65" i="26"/>
  <c r="C65" i="26"/>
  <c r="I65" i="30"/>
  <c r="H65" i="30"/>
  <c r="G65" i="30"/>
  <c r="E65" i="30"/>
  <c r="D65" i="30"/>
  <c r="D65" i="28"/>
  <c r="C23" i="21"/>
  <c r="C24" i="21" s="1"/>
  <c r="B64" i="30"/>
  <c r="B65" i="30" s="1"/>
  <c r="C65" i="27"/>
  <c r="J65" i="27"/>
  <c r="D65" i="27"/>
  <c r="C64" i="23"/>
  <c r="C65" i="23" s="1"/>
  <c r="C64" i="30"/>
  <c r="C65" i="30" s="1"/>
  <c r="C64" i="21"/>
  <c r="C65" i="21" s="1"/>
  <c r="C64" i="22"/>
  <c r="C65" i="22" s="1"/>
  <c r="D65" i="21"/>
  <c r="F64" i="26"/>
  <c r="F65" i="26" s="1"/>
  <c r="J64" i="30"/>
  <c r="J65" i="30" s="1"/>
  <c r="L64" i="22"/>
  <c r="D64" i="22"/>
  <c r="D65" i="22" s="1"/>
  <c r="Q64" i="22"/>
  <c r="U64" i="22"/>
  <c r="U66" i="22" s="1"/>
  <c r="S64" i="23"/>
  <c r="M64" i="23"/>
  <c r="M66" i="23" s="1"/>
  <c r="R64" i="23"/>
  <c r="R66" i="23" s="1"/>
  <c r="M64" i="29"/>
  <c r="D64" i="29"/>
  <c r="D65" i="29" s="1"/>
  <c r="O64" i="24"/>
  <c r="O66" i="24" s="1"/>
  <c r="I64" i="24"/>
  <c r="I65" i="24" s="1"/>
  <c r="M64" i="24"/>
  <c r="S64" i="24"/>
  <c r="T64" i="26"/>
  <c r="T66" i="26" s="1"/>
  <c r="E64" i="26"/>
  <c r="M64" i="28"/>
  <c r="S64" i="28"/>
  <c r="P64" i="27"/>
  <c r="G64" i="21"/>
  <c r="S64" i="21"/>
  <c r="S66" i="21" s="1"/>
  <c r="E64" i="21"/>
  <c r="F64" i="21"/>
  <c r="N64" i="28"/>
  <c r="N66" i="28" s="1"/>
  <c r="J64" i="21"/>
  <c r="F64" i="24"/>
  <c r="F64" i="28"/>
  <c r="D64" i="26"/>
  <c r="D65" i="26" s="1"/>
  <c r="H64" i="29"/>
  <c r="S64" i="30"/>
  <c r="S66" i="30" s="1"/>
  <c r="Q64" i="23"/>
  <c r="Q66" i="23" s="1"/>
  <c r="F64" i="30"/>
  <c r="K64" i="23"/>
  <c r="K66" i="23" s="1"/>
  <c r="R64" i="26"/>
  <c r="E64" i="24"/>
  <c r="J64" i="22"/>
  <c r="H64" i="21"/>
  <c r="H65" i="21" s="1"/>
  <c r="H64" i="28"/>
  <c r="G64" i="28"/>
  <c r="P64" i="26"/>
  <c r="E64" i="28"/>
  <c r="N64" i="23"/>
  <c r="J64" i="26"/>
  <c r="J65" i="26" s="1"/>
  <c r="B64" i="23"/>
  <c r="M64" i="27"/>
  <c r="M66" i="27" s="1"/>
  <c r="H64" i="27"/>
  <c r="G64" i="22"/>
  <c r="L64" i="29"/>
  <c r="G64" i="24"/>
  <c r="H64" i="24"/>
  <c r="D64" i="23"/>
  <c r="D65" i="23" s="1"/>
  <c r="K64" i="24"/>
  <c r="P64" i="24"/>
  <c r="U64" i="29"/>
  <c r="U66" i="29" s="1"/>
  <c r="O66" i="21"/>
  <c r="M64" i="30"/>
  <c r="M66" i="30" s="1"/>
  <c r="K64" i="26"/>
  <c r="K66" i="26" s="1"/>
  <c r="C64" i="28"/>
  <c r="C64" i="24"/>
  <c r="L64" i="27"/>
  <c r="L66" i="27" s="1"/>
  <c r="R64" i="24"/>
  <c r="R66" i="24" s="1"/>
  <c r="K64" i="29"/>
  <c r="K66" i="29" s="1"/>
  <c r="J64" i="29"/>
  <c r="E64" i="29"/>
  <c r="M64" i="21"/>
  <c r="P64" i="28"/>
  <c r="P66" i="28" s="1"/>
  <c r="I64" i="21"/>
  <c r="U64" i="28"/>
  <c r="U66" i="28" s="1"/>
  <c r="U64" i="24"/>
  <c r="U66" i="24" s="1"/>
  <c r="F64" i="23"/>
  <c r="U64" i="27"/>
  <c r="U66" i="27" s="1"/>
  <c r="C19" i="22"/>
  <c r="C20" i="22" s="1"/>
  <c r="S66" i="27"/>
  <c r="D66" i="30"/>
  <c r="Q66" i="30"/>
  <c r="N66" i="22"/>
  <c r="B64" i="22"/>
  <c r="B64" i="29"/>
  <c r="B64" i="28"/>
  <c r="B64" i="27"/>
  <c r="B64" i="26"/>
  <c r="B64" i="21"/>
  <c r="T66" i="29"/>
  <c r="P66" i="22"/>
  <c r="O64" i="27"/>
  <c r="O66" i="27" s="1"/>
  <c r="O64" i="28"/>
  <c r="O66" i="28" s="1"/>
  <c r="N64" i="27"/>
  <c r="N66" i="27" s="1"/>
  <c r="N64" i="30"/>
  <c r="N66" i="30" s="1"/>
  <c r="L66" i="30"/>
  <c r="J66" i="28"/>
  <c r="G64" i="26"/>
  <c r="G64" i="29"/>
  <c r="F64" i="22"/>
  <c r="O64" i="26"/>
  <c r="O66" i="26" s="1"/>
  <c r="R66" i="22"/>
  <c r="L66" i="22"/>
  <c r="T66" i="24"/>
  <c r="U66" i="23"/>
  <c r="P64" i="30"/>
  <c r="P66" i="30" s="1"/>
  <c r="P66" i="23"/>
  <c r="E66" i="22"/>
  <c r="T66" i="23"/>
  <c r="Q66" i="21"/>
  <c r="P66" i="21"/>
  <c r="K66" i="27"/>
  <c r="G64" i="23"/>
  <c r="Q66" i="24"/>
  <c r="R66" i="27"/>
  <c r="C66" i="27"/>
  <c r="H66" i="23"/>
  <c r="J66" i="27"/>
  <c r="G64" i="27"/>
  <c r="G66" i="30"/>
  <c r="F64" i="27"/>
  <c r="T66" i="27"/>
  <c r="L66" i="29"/>
  <c r="Q66" i="22"/>
  <c r="T66" i="21"/>
  <c r="S66" i="23"/>
  <c r="H66" i="30"/>
  <c r="E66" i="30"/>
  <c r="S66" i="24"/>
  <c r="L66" i="21"/>
  <c r="S66" i="26"/>
  <c r="L66" i="28"/>
  <c r="L66" i="26"/>
  <c r="T66" i="30"/>
  <c r="C66" i="29"/>
  <c r="R66" i="28"/>
  <c r="N64" i="26"/>
  <c r="N66" i="26" s="1"/>
  <c r="O64" i="29"/>
  <c r="O66" i="29" s="1"/>
  <c r="P64" i="29"/>
  <c r="P66" i="29" s="1"/>
  <c r="S64" i="1"/>
  <c r="R66" i="26"/>
  <c r="D66" i="27"/>
  <c r="N64" i="29"/>
  <c r="N66" i="29" s="1"/>
  <c r="R66" i="30"/>
  <c r="L66" i="23"/>
  <c r="O66" i="22"/>
  <c r="R64" i="1"/>
  <c r="J66" i="23"/>
  <c r="Q64" i="1"/>
  <c r="U64" i="1"/>
  <c r="P64" i="1"/>
  <c r="E66" i="27"/>
  <c r="J66" i="24"/>
  <c r="Q66" i="29"/>
  <c r="F64" i="29"/>
  <c r="O64" i="23"/>
  <c r="O66" i="23" s="1"/>
  <c r="O64" i="30"/>
  <c r="O66" i="30" s="1"/>
  <c r="N64" i="24"/>
  <c r="N66" i="24" s="1"/>
  <c r="K66" i="30"/>
  <c r="C66" i="30"/>
  <c r="I66" i="30"/>
  <c r="R66" i="29"/>
  <c r="M66" i="29"/>
  <c r="S66" i="29"/>
  <c r="T66" i="28"/>
  <c r="D66" i="28"/>
  <c r="M66" i="28"/>
  <c r="Q66" i="28"/>
  <c r="I66" i="28"/>
  <c r="S66" i="28"/>
  <c r="K66" i="28"/>
  <c r="Q66" i="27"/>
  <c r="I66" i="27"/>
  <c r="P66" i="27"/>
  <c r="Q66" i="26"/>
  <c r="P66" i="26"/>
  <c r="C66" i="26"/>
  <c r="I66" i="26"/>
  <c r="H66" i="26"/>
  <c r="L66" i="24"/>
  <c r="I66" i="24"/>
  <c r="P66" i="24"/>
  <c r="D66" i="24"/>
  <c r="K66" i="24"/>
  <c r="M66" i="24"/>
  <c r="I66" i="23"/>
  <c r="N66" i="23"/>
  <c r="E66" i="23"/>
  <c r="M66" i="22"/>
  <c r="S66" i="22"/>
  <c r="K66" i="22"/>
  <c r="T66" i="22"/>
  <c r="M66" i="21"/>
  <c r="K66" i="21"/>
  <c r="D66" i="21"/>
  <c r="R66" i="21"/>
  <c r="N64" i="1"/>
  <c r="M64" i="1"/>
  <c r="T64" i="1"/>
  <c r="L64" i="1"/>
  <c r="J64" i="1"/>
  <c r="K64" i="1"/>
  <c r="O64" i="1"/>
  <c r="C64" i="1"/>
  <c r="I64" i="1"/>
  <c r="H64" i="1"/>
  <c r="G64" i="1"/>
  <c r="F64" i="1"/>
  <c r="E64" i="1"/>
  <c r="D64" i="1"/>
  <c r="B64" i="1"/>
  <c r="D63" i="1"/>
  <c r="L63" i="1"/>
  <c r="L65" i="1" s="1"/>
  <c r="F63" i="1"/>
  <c r="R63" i="1"/>
  <c r="R65" i="1" s="1"/>
  <c r="J63" i="1"/>
  <c r="Q63" i="1"/>
  <c r="I63" i="1"/>
  <c r="C63" i="1"/>
  <c r="K63" i="1"/>
  <c r="K65" i="1" s="1"/>
  <c r="P63" i="1"/>
  <c r="P65" i="1" s="1"/>
  <c r="H63" i="1"/>
  <c r="T63" i="1"/>
  <c r="S63" i="1"/>
  <c r="S65" i="1" s="1"/>
  <c r="O63" i="1"/>
  <c r="O65" i="1" s="1"/>
  <c r="G63" i="1"/>
  <c r="N63" i="1"/>
  <c r="N65" i="1" s="1"/>
  <c r="E63" i="1"/>
  <c r="B63" i="1"/>
  <c r="U63" i="1"/>
  <c r="U65" i="1" s="1"/>
  <c r="M63" i="1"/>
  <c r="M65" i="1" s="1"/>
  <c r="B66" i="24" l="1"/>
  <c r="I66" i="29"/>
  <c r="I66" i="22"/>
  <c r="H66" i="22"/>
  <c r="E65" i="1"/>
  <c r="B66" i="30"/>
  <c r="C66" i="23"/>
  <c r="C66" i="22"/>
  <c r="C66" i="21"/>
  <c r="F66" i="26"/>
  <c r="D66" i="26"/>
  <c r="J66" i="30"/>
  <c r="J66" i="26"/>
  <c r="I65" i="1"/>
  <c r="H66" i="21"/>
  <c r="F65" i="1"/>
  <c r="D66" i="22"/>
  <c r="D66" i="23"/>
  <c r="J65" i="1"/>
  <c r="J66" i="29"/>
  <c r="J65" i="29"/>
  <c r="J66" i="21"/>
  <c r="J65" i="21"/>
  <c r="J66" i="22"/>
  <c r="J65" i="22"/>
  <c r="I66" i="21"/>
  <c r="I65" i="21"/>
  <c r="H66" i="27"/>
  <c r="H65" i="27"/>
  <c r="H66" i="28"/>
  <c r="H65" i="28"/>
  <c r="H65" i="1"/>
  <c r="H66" i="29"/>
  <c r="H65" i="29"/>
  <c r="H66" i="24"/>
  <c r="H65" i="24"/>
  <c r="G66" i="28"/>
  <c r="G65" i="28"/>
  <c r="G66" i="21"/>
  <c r="G65" i="21"/>
  <c r="G66" i="22"/>
  <c r="G65" i="22"/>
  <c r="G66" i="26"/>
  <c r="G65" i="26"/>
  <c r="G66" i="23"/>
  <c r="G65" i="23"/>
  <c r="G66" i="29"/>
  <c r="G65" i="29"/>
  <c r="G65" i="1"/>
  <c r="G66" i="27"/>
  <c r="G65" i="27"/>
  <c r="G66" i="24"/>
  <c r="G65" i="24"/>
  <c r="F66" i="24"/>
  <c r="F65" i="24"/>
  <c r="F66" i="21"/>
  <c r="F65" i="21"/>
  <c r="F66" i="23"/>
  <c r="F65" i="23"/>
  <c r="F66" i="27"/>
  <c r="F65" i="27"/>
  <c r="F66" i="30"/>
  <c r="F65" i="30"/>
  <c r="F66" i="22"/>
  <c r="F65" i="22"/>
  <c r="F66" i="29"/>
  <c r="F65" i="29"/>
  <c r="F66" i="28"/>
  <c r="F65" i="28"/>
  <c r="E66" i="29"/>
  <c r="E65" i="29"/>
  <c r="E66" i="26"/>
  <c r="E65" i="26"/>
  <c r="E66" i="24"/>
  <c r="E65" i="24"/>
  <c r="E66" i="28"/>
  <c r="E65" i="28"/>
  <c r="E66" i="21"/>
  <c r="E65" i="21"/>
  <c r="D66" i="29"/>
  <c r="D65" i="1"/>
  <c r="C66" i="24"/>
  <c r="C65" i="24"/>
  <c r="C66" i="28"/>
  <c r="C65" i="28"/>
  <c r="C65" i="1"/>
  <c r="B66" i="21"/>
  <c r="B65" i="21"/>
  <c r="B66" i="26"/>
  <c r="B65" i="26"/>
  <c r="B66" i="27"/>
  <c r="B65" i="27"/>
  <c r="B66" i="28"/>
  <c r="B65" i="28"/>
  <c r="B66" i="29"/>
  <c r="B65" i="29"/>
  <c r="B65" i="1"/>
  <c r="B66" i="22"/>
  <c r="B65" i="22"/>
  <c r="B66" i="23"/>
  <c r="B65" i="23"/>
  <c r="Q66" i="1"/>
  <c r="Q65" i="1"/>
  <c r="T66" i="1"/>
  <c r="T65" i="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<sst xmlns="http://schemas.openxmlformats.org/spreadsheetml/2006/main" count="2239" uniqueCount="187">
  <si>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</si>
  <si>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</si>
  <si>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</si>
  <si>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</si>
  <si>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</si>
  <si>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</si>
  <si>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</si>
  <si>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</si>
  <si>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</si>
  <si>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</si>
  <si>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</si>
  <si>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</si>
  <si>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</si>
  <si>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</si>
  <si>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</si>
  <si>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</si>
  <si>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</si>
  <si>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</si>
  <si>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</si>
  <si>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</si>
  <si>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</si>
  <si>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</si>
  <si>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</si>
  <si>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</si>
  <si>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</si>
  <si>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</si>
  <si>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</si>
  <si>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</si>
  <si>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</si>
  <si>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</si>
  <si>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</si>
  <si>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</si>
  <si>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</si>
  <si>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</si>
  <si>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</si>
  <si>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</si>
  <si>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</si>
  <si>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</si>
  <si>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</si>
  <si>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</si>
  <si>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</si>
  <si>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</si>
  <si>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</si>
  <si>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</si>
  <si>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</si>
  <si>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</si>
  <si>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</si>
  <si>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</si>
  <si>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</si>
  <si>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</si>
  <si>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</si>
  <si>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</si>
  <si>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</si>
  <si>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</si>
  <si>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</si>
  <si>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</si>
  <si>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</si>
  <si>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</si>
  <si>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</si>
  <si>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</si>
  <si>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</si>
  <si>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</si>
  <si>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</si>
  <si>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</si>
  <si>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</si>
  <si>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</si>
  <si>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</si>
  <si>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</si>
  <si>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</si>
  <si>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</si>
  <si>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</si>
  <si>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</si>
  <si>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</si>
  <si>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</si>
  <si>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</si>
  <si>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</si>
  <si>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</si>
  <si>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</si>
  <si>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</si>
  <si>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</si>
  <si>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</si>
  <si>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</si>
  <si>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</si>
  <si>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</si>
  <si>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</si>
  <si>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</si>
  <si>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</si>
  <si>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</si>
  <si>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</si>
  <si>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</si>
  <si>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</si>
  <si>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</si>
  <si>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</si>
  <si>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</si>
  <si>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</si>
  <si>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</si>
  <si>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</si>
  <si>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</si>
  <si>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</si>
  <si>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</si>
  <si>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</si>
  <si>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</si>
  <si>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</si>
  <si>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</si>
  <si>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</si>
  <si>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</si>
  <si>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</si>
  <si>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</si>
  <si>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</si>
  <si>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</si>
  <si>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</si>
  <si>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</si>
  <si>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</si>
  <si>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</si>
  <si>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</si>
  <si>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</si>
  <si>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</si>
  <si>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</si>
  <si>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</si>
  <si>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</si>
  <si>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</si>
  <si>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</si>
  <si>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</si>
  <si>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</si>
  <si>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</si>
  <si>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</si>
  <si>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</si>
  <si>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</si>
  <si>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</si>
  <si>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</si>
  <si>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</si>
  <si>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</si>
  <si>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</si>
  <si>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</si>
  <si>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</si>
  <si>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</si>
  <si>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</si>
  <si>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</si>
  <si>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</si>
  <si>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</si>
  <si>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</si>
  <si>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</si>
  <si>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</si>
  <si>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</si>
  <si>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</si>
  <si>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</si>
  <si>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</si>
  <si>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</si>
  <si>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</si>
  <si>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</si>
  <si>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</si>
  <si>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</si>
  <si>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</si>
  <si>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</si>
  <si>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</si>
  <si>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</si>
  <si>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</si>
  <si>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</si>
  <si>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</si>
  <si>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</si>
  <si>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PAN-019961</t>
  </si>
  <si>
    <t>EPR/GP3792SK</t>
  </si>
  <si>
    <t>Bryan Burn</t>
  </si>
  <si>
    <t>SJC1</t>
  </si>
  <si>
    <t>SJC2</t>
  </si>
  <si>
    <t>SJC3</t>
  </si>
  <si>
    <t>SJC4</t>
  </si>
  <si>
    <t>SJC5</t>
  </si>
  <si>
    <t>SJC6</t>
  </si>
  <si>
    <t>SJC7</t>
  </si>
  <si>
    <t>Bonolwyn A</t>
  </si>
  <si>
    <t>Bodnolwyn B</t>
  </si>
  <si>
    <t>ByProduct Recovery Ltd</t>
  </si>
  <si>
    <t>Plas Bach, Cerrigceinwen, Bodorgan, LL62 5NS</t>
  </si>
  <si>
    <t>19 09 02</t>
  </si>
  <si>
    <t>Alaw cake</t>
  </si>
  <si>
    <t>Bryn Cowlyd</t>
  </si>
  <si>
    <t>Waste from spirits distillation</t>
  </si>
  <si>
    <t>med</t>
  </si>
  <si>
    <t>Cefni</t>
  </si>
  <si>
    <t>Cwellyn</t>
  </si>
  <si>
    <t>Dolbenmaen</t>
  </si>
  <si>
    <t>Mynydd Llandegai</t>
  </si>
  <si>
    <t>Llyn Conwy</t>
  </si>
  <si>
    <t>02 07 02</t>
  </si>
  <si>
    <t>Heatrick</t>
  </si>
  <si>
    <t>19 12 12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</si>
</sst>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
      <sz val="8"/>
      <name val="Calibri"/>
      <family val="2"/>
      <scheme val="minor"/>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C14" sqref="C1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19" t="s">
        <v>41</v>
      </c>
      <c r="B1" s="119"/>
      <c r="C1" s="135" t="s">
        <v>160</v>
      </c>
      <c r="D1" s="136"/>
      <c r="E1" s="93" t="s">
        <v>45</v>
      </c>
      <c r="F1" s="96">
        <v>48</v>
      </c>
      <c r="G1" s="120" t="s">
        <v>43</v>
      </c>
      <c r="H1" s="121"/>
      <c r="I1" s="96">
        <v>3.45</v>
      </c>
      <c r="J1" s="119" t="s">
        <v>153</v>
      </c>
      <c r="K1" s="119"/>
      <c r="L1" s="96">
        <v>93</v>
      </c>
      <c r="AB1" s="18"/>
      <c r="AC1" s="18"/>
      <c r="AD1" s="30" t="s">
        <v>126</v>
      </c>
      <c r="AE1" s="17"/>
      <c r="AF1" s="17"/>
      <c r="AG1" s="18"/>
      <c r="AH1" s="18"/>
      <c r="AI1" s="40" t="s">
        <v>79</v>
      </c>
      <c r="AJ1" s="41" t="s">
        <v>94</v>
      </c>
      <c r="AK1" s="42" t="s">
        <v>95</v>
      </c>
      <c r="AL1" s="43" t="s">
        <v>125</v>
      </c>
      <c r="AM1" s="43" t="s">
        <v>131</v>
      </c>
      <c r="AN1" s="43" t="s">
        <v>111</v>
      </c>
    </row>
    <row r="2" spans="1:40" ht="13" x14ac:dyDescent="0.3">
      <c r="A2" s="119" t="s">
        <v>87</v>
      </c>
      <c r="B2" s="119"/>
      <c r="C2" s="133" t="s">
        <v>161</v>
      </c>
      <c r="D2" s="134"/>
      <c r="E2" s="93" t="s">
        <v>109</v>
      </c>
      <c r="F2" s="96" t="s">
        <v>184</v>
      </c>
      <c r="G2" s="138" t="s">
        <v>110</v>
      </c>
      <c r="H2" s="139"/>
      <c r="I2" s="96">
        <v>831</v>
      </c>
      <c r="J2" s="119" t="s">
        <v>158</v>
      </c>
      <c r="K2" s="119"/>
      <c r="L2" s="96">
        <v>0.43</v>
      </c>
      <c r="AB2" s="30" t="s">
        <v>56</v>
      </c>
      <c r="AC2" s="17"/>
      <c r="AD2" s="30" t="s">
        <v>70</v>
      </c>
      <c r="AE2" s="17"/>
      <c r="AF2" s="17"/>
      <c r="AG2" s="44" t="s">
        <v>76</v>
      </c>
      <c r="AH2" s="18"/>
      <c r="AI2" s="45" t="s">
        <v>126</v>
      </c>
      <c r="AJ2" s="46">
        <v>0</v>
      </c>
      <c r="AK2" s="47">
        <v>0</v>
      </c>
      <c r="AL2" s="10">
        <v>0</v>
      </c>
      <c r="AM2" s="11">
        <v>0</v>
      </c>
      <c r="AN2" s="11">
        <v>0</v>
      </c>
    </row>
    <row r="3" spans="1:40" ht="13" x14ac:dyDescent="0.25">
      <c r="A3" s="120" t="s">
        <v>42</v>
      </c>
      <c r="B3" s="121"/>
      <c r="C3" s="133" t="s">
        <v>172</v>
      </c>
      <c r="D3" s="134"/>
      <c r="E3" s="93" t="s">
        <v>108</v>
      </c>
      <c r="F3" s="31" t="s">
        <v>77</v>
      </c>
      <c r="G3" s="119" t="s">
        <v>159</v>
      </c>
      <c r="H3" s="119"/>
      <c r="I3" s="96"/>
      <c r="J3" s="120" t="s">
        <v>154</v>
      </c>
      <c r="K3" s="121"/>
      <c r="L3" s="96">
        <f>(L1/(L2*10000))*100</f>
        <v>2.1627906976744184</v>
      </c>
      <c r="AB3" s="30" t="s">
        <v>57</v>
      </c>
      <c r="AC3" s="17"/>
      <c r="AD3" s="30" t="s">
        <v>71</v>
      </c>
      <c r="AE3" s="17"/>
      <c r="AF3" s="17"/>
      <c r="AG3" s="44" t="s">
        <v>77</v>
      </c>
      <c r="AH3" s="18"/>
      <c r="AI3" s="48" t="s">
        <v>113</v>
      </c>
      <c r="AJ3" s="49">
        <v>1.7</v>
      </c>
      <c r="AK3" s="50">
        <v>6</v>
      </c>
      <c r="AL3" s="51">
        <v>1</v>
      </c>
      <c r="AM3" s="11">
        <v>6.2</v>
      </c>
      <c r="AN3" s="11" t="s">
        <v>112</v>
      </c>
    </row>
    <row r="4" spans="1:40" ht="13" x14ac:dyDescent="0.25">
      <c r="A4" s="119" t="s">
        <v>0</v>
      </c>
      <c r="B4" s="119"/>
      <c r="C4" s="135" t="s">
        <v>173</v>
      </c>
      <c r="D4" s="136"/>
      <c r="E4" s="94" t="s">
        <v>1</v>
      </c>
      <c r="F4" s="95" t="s">
        <v>177</v>
      </c>
      <c r="G4" s="119"/>
      <c r="H4" s="119"/>
      <c r="I4" s="96"/>
      <c r="J4" s="120"/>
      <c r="K4" s="121"/>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19" t="s">
        <v>47</v>
      </c>
      <c r="B5" s="119"/>
      <c r="C5" s="137" t="s">
        <v>162</v>
      </c>
      <c r="D5" s="137"/>
      <c r="E5" s="94"/>
      <c r="F5" s="95"/>
      <c r="G5" s="119"/>
      <c r="H5" s="119"/>
      <c r="I5" s="96"/>
      <c r="J5" s="120"/>
      <c r="K5" s="121"/>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19" t="s">
        <v>2</v>
      </c>
      <c r="B8" s="119"/>
      <c r="C8" s="15" t="s">
        <v>163</v>
      </c>
      <c r="D8" s="15" t="s">
        <v>164</v>
      </c>
      <c r="E8" s="15" t="s">
        <v>165</v>
      </c>
      <c r="F8" s="15" t="s">
        <v>166</v>
      </c>
      <c r="G8" s="15" t="s">
        <v>167</v>
      </c>
      <c r="H8" s="15" t="s">
        <v>168</v>
      </c>
      <c r="I8" s="15" t="s">
        <v>169</v>
      </c>
      <c r="J8" s="15" t="s">
        <v>170</v>
      </c>
      <c r="K8" s="15" t="s">
        <v>171</v>
      </c>
      <c r="L8" s="15"/>
      <c r="M8" s="15"/>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19" t="s">
        <v>3</v>
      </c>
      <c r="B9" s="119"/>
      <c r="C9" s="15" t="s">
        <v>178</v>
      </c>
      <c r="D9" s="15" t="s">
        <v>178</v>
      </c>
      <c r="E9" s="15" t="s">
        <v>178</v>
      </c>
      <c r="F9" s="15" t="s">
        <v>178</v>
      </c>
      <c r="G9" s="15" t="s">
        <v>178</v>
      </c>
      <c r="H9" s="15" t="s">
        <v>178</v>
      </c>
      <c r="I9" s="15" t="s">
        <v>178</v>
      </c>
      <c r="J9" s="15" t="s">
        <v>178</v>
      </c>
      <c r="K9" s="15" t="s">
        <v>178</v>
      </c>
      <c r="L9" s="15"/>
      <c r="M9" s="15"/>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19" t="s">
        <v>4</v>
      </c>
      <c r="B10" s="119"/>
      <c r="C10" s="15">
        <v>6.4</v>
      </c>
      <c r="D10" s="15">
        <v>5.8</v>
      </c>
      <c r="E10" s="15">
        <v>6</v>
      </c>
      <c r="F10" s="15">
        <v>6</v>
      </c>
      <c r="G10" s="15">
        <v>5.9</v>
      </c>
      <c r="H10" s="15">
        <v>6.1</v>
      </c>
      <c r="I10" s="15">
        <v>5.8</v>
      </c>
      <c r="J10" s="15">
        <v>5.8</v>
      </c>
      <c r="K10" s="15">
        <v>5.7</v>
      </c>
      <c r="L10" s="15"/>
      <c r="M10" s="15"/>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19" t="s">
        <v>5</v>
      </c>
      <c r="B11" s="119"/>
      <c r="C11" s="15">
        <v>2</v>
      </c>
      <c r="D11" s="15">
        <v>2</v>
      </c>
      <c r="E11" s="15">
        <v>3</v>
      </c>
      <c r="F11" s="15">
        <v>1</v>
      </c>
      <c r="G11" s="15">
        <v>0</v>
      </c>
      <c r="H11" s="15">
        <v>3</v>
      </c>
      <c r="I11" s="15">
        <v>2</v>
      </c>
      <c r="J11" s="15">
        <v>2</v>
      </c>
      <c r="K11" s="15">
        <v>2</v>
      </c>
      <c r="L11" s="15"/>
      <c r="M11" s="15"/>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19" t="s">
        <v>6</v>
      </c>
      <c r="B12" s="119"/>
      <c r="C12" s="15">
        <v>3</v>
      </c>
      <c r="D12" s="15">
        <v>4</v>
      </c>
      <c r="E12" s="15">
        <v>4</v>
      </c>
      <c r="F12" s="15">
        <v>1</v>
      </c>
      <c r="G12" s="15">
        <v>1</v>
      </c>
      <c r="H12" s="15">
        <v>2</v>
      </c>
      <c r="I12" s="15">
        <v>1</v>
      </c>
      <c r="J12" s="15">
        <v>2</v>
      </c>
      <c r="K12" s="15">
        <v>2</v>
      </c>
      <c r="L12" s="15"/>
      <c r="M12" s="15"/>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19" t="s">
        <v>7</v>
      </c>
      <c r="B13" s="119"/>
      <c r="C13" s="15">
        <v>4</v>
      </c>
      <c r="D13" s="15">
        <v>3</v>
      </c>
      <c r="E13" s="15">
        <v>3</v>
      </c>
      <c r="F13" s="15">
        <v>3</v>
      </c>
      <c r="G13" s="15">
        <v>3</v>
      </c>
      <c r="H13" s="15">
        <v>3</v>
      </c>
      <c r="I13" s="15">
        <v>3</v>
      </c>
      <c r="J13" s="15">
        <v>3</v>
      </c>
      <c r="K13" s="15">
        <v>3</v>
      </c>
      <c r="L13" s="15"/>
      <c r="M13" s="15"/>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1" t="s">
        <v>8</v>
      </c>
      <c r="B14" s="131"/>
      <c r="C14" s="100" t="s">
        <v>114</v>
      </c>
      <c r="D14" s="100" t="s">
        <v>114</v>
      </c>
      <c r="E14" s="100" t="s">
        <v>114</v>
      </c>
      <c r="F14" s="100" t="s">
        <v>114</v>
      </c>
      <c r="G14" s="100" t="s">
        <v>114</v>
      </c>
      <c r="H14" s="100" t="s">
        <v>114</v>
      </c>
      <c r="I14" s="100" t="s">
        <v>114</v>
      </c>
      <c r="J14" s="100" t="s">
        <v>114</v>
      </c>
      <c r="K14" s="100" t="s">
        <v>114</v>
      </c>
      <c r="L14" s="100"/>
      <c r="M14" s="100"/>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ht="13" x14ac:dyDescent="0.25">
      <c r="A15" s="130" t="s">
        <v>9</v>
      </c>
      <c r="B15" s="130"/>
      <c r="C15" s="15">
        <v>47</v>
      </c>
      <c r="D15" s="15">
        <v>47</v>
      </c>
      <c r="E15" s="15">
        <v>47</v>
      </c>
      <c r="F15" s="15">
        <v>47</v>
      </c>
      <c r="G15" s="15">
        <v>47</v>
      </c>
      <c r="H15" s="15">
        <v>47</v>
      </c>
      <c r="I15" s="15">
        <v>47</v>
      </c>
      <c r="J15" s="15">
        <v>47</v>
      </c>
      <c r="K15" s="15">
        <v>47</v>
      </c>
      <c r="L15" s="15"/>
      <c r="M15" s="15"/>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3">
      <c r="A16" s="132" t="s">
        <v>44</v>
      </c>
      <c r="B16" s="132"/>
      <c r="C16" s="101" t="s">
        <v>72</v>
      </c>
      <c r="D16" s="101" t="s">
        <v>72</v>
      </c>
      <c r="E16" s="101" t="s">
        <v>72</v>
      </c>
      <c r="F16" s="101" t="s">
        <v>72</v>
      </c>
      <c r="G16" s="101" t="s">
        <v>72</v>
      </c>
      <c r="H16" s="101" t="s">
        <v>72</v>
      </c>
      <c r="I16" s="101" t="s">
        <v>72</v>
      </c>
      <c r="J16" s="101" t="s">
        <v>72</v>
      </c>
      <c r="K16" s="101" t="s">
        <v>72</v>
      </c>
      <c r="L16" s="101"/>
      <c r="M16" s="101"/>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98.7</v>
      </c>
      <c r="D17" s="28">
        <f t="shared" ref="D17:V17" si="0">(VLOOKUP(D$14,$AI2:$AK26,2,FALSE))*D$15</f>
        <v>98.7</v>
      </c>
      <c r="E17" s="28">
        <f t="shared" si="0"/>
        <v>98.7</v>
      </c>
      <c r="F17" s="28">
        <f t="shared" si="0"/>
        <v>98.7</v>
      </c>
      <c r="G17" s="28">
        <f t="shared" si="0"/>
        <v>98.7</v>
      </c>
      <c r="H17" s="28">
        <f t="shared" si="0"/>
        <v>98.7</v>
      </c>
      <c r="I17" s="28">
        <f t="shared" si="0"/>
        <v>98.7</v>
      </c>
      <c r="J17" s="28">
        <f t="shared" si="0"/>
        <v>98.7</v>
      </c>
      <c r="K17" s="28">
        <f t="shared" si="0"/>
        <v>98.7</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65.030034999999998</v>
      </c>
      <c r="D18" s="16">
        <f>$D32</f>
        <v>65.030034999999998</v>
      </c>
      <c r="E18" s="16">
        <f>$D33</f>
        <v>65.030034999999998</v>
      </c>
      <c r="F18" s="16">
        <f>$D34</f>
        <v>65.030034999999998</v>
      </c>
      <c r="G18" s="16">
        <f>$D35</f>
        <v>65.030034999999998</v>
      </c>
      <c r="H18" s="16">
        <f>$D36</f>
        <v>65.030034999999998</v>
      </c>
      <c r="I18" s="16">
        <f>$D37</f>
        <v>65.030034999999998</v>
      </c>
      <c r="J18" s="16">
        <f>$D38</f>
        <v>65.030034999999998</v>
      </c>
      <c r="K18" s="16">
        <f>$D39</f>
        <v>65.030034999999998</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-33.669965000000005</v>
      </c>
      <c r="D19" s="16">
        <f t="shared" ref="D19:V19" si="1">D18-D17</f>
        <v>-33.669965000000005</v>
      </c>
      <c r="E19" s="16">
        <f t="shared" si="1"/>
        <v>-33.669965000000005</v>
      </c>
      <c r="F19" s="16">
        <f t="shared" si="1"/>
        <v>-33.669965000000005</v>
      </c>
      <c r="G19" s="16">
        <f t="shared" si="1"/>
        <v>-33.669965000000005</v>
      </c>
      <c r="H19" s="16">
        <f t="shared" si="1"/>
        <v>-33.669965000000005</v>
      </c>
      <c r="I19" s="16">
        <f t="shared" si="1"/>
        <v>-33.669965000000005</v>
      </c>
      <c r="J19" s="16">
        <f t="shared" si="1"/>
        <v>-33.669965000000005</v>
      </c>
      <c r="K19" s="16">
        <f t="shared" si="1"/>
        <v>-33.669965000000005</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338.40000000000003</v>
      </c>
      <c r="D21" s="28">
        <f t="shared" ref="D21:V21" si="2">(VLOOKUP(D$14,$AI2:$AK26,3,FALSE))*D$15</f>
        <v>338.40000000000003</v>
      </c>
      <c r="E21" s="28">
        <f t="shared" si="2"/>
        <v>338.40000000000003</v>
      </c>
      <c r="F21" s="28">
        <f t="shared" si="2"/>
        <v>338.40000000000003</v>
      </c>
      <c r="G21" s="28">
        <f t="shared" si="2"/>
        <v>338.40000000000003</v>
      </c>
      <c r="H21" s="28">
        <f t="shared" si="2"/>
        <v>338.40000000000003</v>
      </c>
      <c r="I21" s="28">
        <f t="shared" si="2"/>
        <v>338.40000000000003</v>
      </c>
      <c r="J21" s="28">
        <f t="shared" si="2"/>
        <v>338.40000000000003</v>
      </c>
      <c r="K21" s="28">
        <f t="shared" si="2"/>
        <v>338.40000000000003</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39.517975000000007</v>
      </c>
      <c r="D22" s="16">
        <f>$E32</f>
        <v>39.517975000000007</v>
      </c>
      <c r="E22" s="16">
        <f>$E33</f>
        <v>39.517975000000007</v>
      </c>
      <c r="F22" s="16">
        <f>$E34</f>
        <v>39.517975000000007</v>
      </c>
      <c r="G22" s="16">
        <f>$E35</f>
        <v>39.517975000000007</v>
      </c>
      <c r="H22" s="16">
        <f>$E36</f>
        <v>39.517975000000007</v>
      </c>
      <c r="I22" s="16">
        <f>$E37</f>
        <v>39.517975000000007</v>
      </c>
      <c r="J22" s="16">
        <f>$E38</f>
        <v>39.517975000000007</v>
      </c>
      <c r="K22" s="16">
        <f>$E39</f>
        <v>39.517975000000007</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-298.882025</v>
      </c>
      <c r="D23" s="16">
        <f t="shared" ref="D23:V23" si="3">D22-D21</f>
        <v>-298.882025</v>
      </c>
      <c r="E23" s="16">
        <f t="shared" si="3"/>
        <v>-298.882025</v>
      </c>
      <c r="F23" s="16">
        <f t="shared" si="3"/>
        <v>-298.882025</v>
      </c>
      <c r="G23" s="16">
        <f t="shared" si="3"/>
        <v>-298.882025</v>
      </c>
      <c r="H23" s="16">
        <f t="shared" si="3"/>
        <v>-298.882025</v>
      </c>
      <c r="I23" s="16">
        <f t="shared" si="3"/>
        <v>-298.882025</v>
      </c>
      <c r="J23" s="16">
        <f t="shared" si="3"/>
        <v>-298.882025</v>
      </c>
      <c r="K23" s="16">
        <f t="shared" si="3"/>
        <v>-298.882025</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6.88</v>
      </c>
      <c r="C28" s="15">
        <v>0.43</v>
      </c>
      <c r="D28" s="15">
        <v>811</v>
      </c>
      <c r="E28" s="15">
        <v>937</v>
      </c>
      <c r="F28" s="15">
        <v>137</v>
      </c>
      <c r="G28" s="15">
        <v>155</v>
      </c>
      <c r="H28" s="15">
        <v>1.19</v>
      </c>
      <c r="I28" s="15">
        <v>0.5</v>
      </c>
      <c r="J28" s="15">
        <v>0.01</v>
      </c>
      <c r="K28" s="23">
        <v>0.05</v>
      </c>
      <c r="L28" s="15">
        <v>0.2</v>
      </c>
      <c r="M28" s="15">
        <v>0.2</v>
      </c>
      <c r="N28" s="15"/>
      <c r="O28" s="15"/>
      <c r="P28" s="15">
        <v>25.3</v>
      </c>
      <c r="Q28" s="15">
        <v>330</v>
      </c>
      <c r="R28" s="15">
        <v>0.02</v>
      </c>
      <c r="S28" s="15">
        <v>0.5</v>
      </c>
      <c r="T28" s="15">
        <v>0.05</v>
      </c>
      <c r="U28" s="15">
        <v>10</v>
      </c>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SJC1</v>
      </c>
      <c r="B31" s="15">
        <v>35</v>
      </c>
      <c r="C31" s="77">
        <f>IF(C$27="%w/w SAR",((C$28*10)*$B31),IF(C$27="%w/w DM",(((C$28*10)*($B$28/100))*$B31),IF(C$27="kg/t SAR",(C$28*$B31),IF(C$27="kg/t DM",((C$28*($B$28/100))*$B31),IF(C$27="mg/kg SAR",((C$28*0.001)*$B31),IF(C$27="mg/kg DM",(((C$28*0.001)*($B$28/100))*$B31),0))))))</f>
        <v>150.5</v>
      </c>
      <c r="D31" s="77">
        <f>(IF(D$27="%w/w SAR",((D$28*10)*$B31),IF(D$27="%w/w DM",(((D$28*10)*($B$28/100))*$B31),IF(D$27="kg/t SAR",(D$28*$B31),IF(D$27="kg/t DM",((D$28*($B$28/100))*$B31),IF(D$27="mg/kg SAR",((D$28*0.001)*$B31),IF(D$27="mg/kg DM",(((D$28*0.001)*($B$28/100))*$B31),"0")))))))*2.291</f>
        <v>65.030034999999998</v>
      </c>
      <c r="E31" s="77">
        <f>(IF(E$27="%w/w SAR",((E$28*10)*$B31),IF(E$27="%w/w DM",(((E$28*10)*($B$28/100))*$B31),IF(E$27="kg/t SAR",(E$28*$B31),IF(E$27="kg/t DM",((E$28*($B$28/100))*$B31),IF(E$27="mg/kg SAR",((E$28*0.001)*$B31),IF(E$27="mg/kg DM",(((E$28*0.001)*($B$28/100))*$B31),"0")))))))*1.205</f>
        <v>39.517975000000007</v>
      </c>
      <c r="F31" s="77">
        <f>(IF(F$27="%w/w SAR",((F$28*10)*$B31),IF(F$27="%w/w DM",(((F$28*10)*($B$28/100))*$B31),IF(F$27="kg/t SAR",(F$28*$B31),IF(F$27="kg/t DM",((F$28*($B$28/100))*$B31),IF(F$27="mg/kg SAR",((F$28*0.001)*$B31),IF(F$27="mg/kg DM",(((F$28*0.001)*($B$28/100))*$B31),"0")))))))*1.658</f>
        <v>7.9501099999999996</v>
      </c>
      <c r="G31" s="77">
        <f t="shared" ref="G31:P31" si="5">IF(G$27="%w/w SAR",((G$28*10)*$B31),IF(G$27="%w/w DM",(((G$28*10)*($B$28/100))*$B31),IF(G$27="kg/t SAR",(G$28*$B31),IF(G$27="kg/t DM",((G$28*($B$28/100))*$B31),IF(G$27="mg/kg SAR",((G$28*0.001)*$B31),IF(G$27="mg/kg DM",(((G$28*0.001)*($B$28/100))*$B31),0))))))</f>
        <v>5.4249999999999998</v>
      </c>
      <c r="H31" s="77">
        <f t="shared" si="5"/>
        <v>4.1649999999999993E-2</v>
      </c>
      <c r="I31" s="77">
        <f t="shared" si="5"/>
        <v>1.7500000000000002E-2</v>
      </c>
      <c r="J31" s="77">
        <f t="shared" si="5"/>
        <v>3.5000000000000005E-4</v>
      </c>
      <c r="K31" s="77">
        <f t="shared" si="5"/>
        <v>1.75E-3</v>
      </c>
      <c r="L31" s="77">
        <f t="shared" si="5"/>
        <v>7.0000000000000001E-3</v>
      </c>
      <c r="M31" s="77">
        <f t="shared" si="5"/>
        <v>7.0000000000000001E-3</v>
      </c>
      <c r="N31" s="77">
        <f t="shared" si="5"/>
        <v>0</v>
      </c>
      <c r="O31" s="77">
        <f t="shared" si="5"/>
        <v>0</v>
      </c>
      <c r="P31" s="77">
        <f t="shared" si="5"/>
        <v>0.88549999999999995</v>
      </c>
      <c r="Q31" s="77">
        <f>(IF(Q$27="%w/w SAR",((Q$28*10)*$B31),IF(Q$27="%w/w DM",(((Q$28*10)*($B$28/100))*$B31),IF(Q$27="kg/t SAR",(Q$28*$B31),IF(Q$27="kg/t DM",((Q$28*($B$28/100))*$B31),IF(Q$27="mg/kg SAR",((Q$28*0.001)*$B31),IF(Q$27="mg/kg DM",(((Q$28*0.001)*($B$28/100))*$B31),0)))))))*2.5</f>
        <v>28.875</v>
      </c>
      <c r="R31" s="77">
        <f>IF(R$27="%w/w SAR",((R$28*10)*$B31),IF(R$27="%w/w DM",(((R$28*10)*($B$28/100))*$B31),IF(R$27="kg/t SAR",(R$28*$B31),IF(R$27="kg/t DM",((R$28*($B$28/100))*$B31),IF(R$27="mg/kg SAR",((R$28*0.001)*$B31),IF(R$27="mg/kg DM",(((R$28*0.001)*($B$28/100))*$B31),0))))))</f>
        <v>7.000000000000001E-4</v>
      </c>
      <c r="S31" s="77">
        <f>IF(S$27="%w/w SAR",((S$28*10)*$B31),IF(S$27="%w/w DM",(((S$28*10)*($B$28/100))*$B31),IF(S$27="kg/t SAR",(S$28*$B31),IF(S$27="kg/t DM",((S$28*($B$28/100))*$B31),IF(S$27="mg/kg SAR",((S$28*0.001)*$B31),IF(S$27="mg/kg DM",(((S$28*0.001)*($B$28/100))*$B31),0))))))</f>
        <v>1.7500000000000002E-2</v>
      </c>
      <c r="T31" s="77">
        <f>IF(T$27="%w/w SAR",((T$28*10)*$B31),IF(T$27="%w/w DM",(((T$28*10)*($B$28/100))*$B31),IF(T$27="kg/t SAR",(T$28*$B31),IF(T$27="kg/t DM",((T$28*($B$28/100))*$B31),IF(T$27="mg/kg SAR",((T$28*0.001)*$B31),IF(T$27="mg/kg DM",(((T$28*0.001)*($B$28/100))*$B31),0))))))</f>
        <v>1.75E-3</v>
      </c>
      <c r="U31" s="77">
        <f>IF(U$27="%w/w SAR",((U$28*10)*$B31),IF(U$27="%w/w DM",(((U$28*10)*($B$28/100))*$B31),IF(U$27="kg/t SAR",(U$28*$B31),IF(U$27="kg/t DM",((U$28*($B$28/100))*$B31),IF(U$27="mg/kg SAR",((U$28*0.001)*$B31),IF(U$27="mg/kg DM",(((U$28*0.001)*($B$28/100))*$B31),0))))))</f>
        <v>0.35000000000000003</v>
      </c>
      <c r="AB31" s="59"/>
      <c r="AC31" s="59"/>
      <c r="AD31" s="59"/>
      <c r="AE31" s="59"/>
      <c r="AF31" s="59"/>
      <c r="AG31" s="59"/>
      <c r="AH31" s="59"/>
      <c r="AI31" s="59"/>
    </row>
    <row r="32" spans="1:40" s="72" customFormat="1" ht="13" x14ac:dyDescent="0.35">
      <c r="A32" s="13" t="str">
        <f>D8</f>
        <v>SJC2</v>
      </c>
      <c r="B32" s="15">
        <v>35</v>
      </c>
      <c r="C32" s="77">
        <f t="shared" ref="C32:C50" si="6">IF(C$27="%w/w SAR",((C$28*10)*$B32),IF(C$27="%w/w DM",(((C$28*10)*($B$28/100))*$B32),IF(C$27="kg/t SAR",(C$28*$B32),IF(C$27="kg/t DM",((C$28*($B$28/100))*$B32),IF(C$27="mg/kg SAR",((C$28*0.001)*$B32),IF(C$27="mg/kg DM",(((C$28*0.001)*($B$28/100))*$B32),0))))))</f>
        <v>150.5</v>
      </c>
      <c r="D32" s="77">
        <f t="shared" ref="D32:D50" si="7">(IF(D$27="%w/w SAR",((D$28*10)*$B32),IF(D$27="%w/w DM",(((D$28*10)*($B$28/100))*$B32),IF(D$27="kg/t SAR",(D$28*$B32),IF(D$27="kg/t DM",((D$28*($B$28/100))*$B32),IF(D$27="mg/kg SAR",((D$28*0.001)*$B32),IF(D$27="mg/kg DM",(((D$28*0.001)*($B$28/100))*$B32),"0")))))))*2.291</f>
        <v>65.030034999999998</v>
      </c>
      <c r="E32" s="77">
        <f t="shared" ref="E32:E50" si="8">(IF(E$27="%w/w SAR",((E$28*10)*$B32),IF(E$27="%w/w DM",(((E$28*10)*($B$28/100))*$B32),IF(E$27="kg/t SAR",(E$28*$B32),IF(E$27="kg/t DM",((E$28*($B$28/100))*$B32),IF(E$27="mg/kg SAR",((E$28*0.001)*$B32),IF(E$27="mg/kg DM",(((E$28*0.001)*($B$28/100))*$B32),"0")))))))*1.205</f>
        <v>39.517975000000007</v>
      </c>
      <c r="F32" s="77">
        <f t="shared" ref="F32:F50" si="9">(IF(F$27="%w/w SAR",((F$28*10)*$B32),IF(F$27="%w/w DM",(((F$28*10)*($B$28/100))*$B32),IF(F$27="kg/t SAR",(F$28*$B32),IF(F$27="kg/t DM",((F$28*($B$28/100))*$B32),IF(F$27="mg/kg SAR",((F$28*0.001)*$B32),IF(F$27="mg/kg DM",(((F$28*0.001)*($B$28/100))*$B32),"0")))))))*1.658</f>
        <v>7.9501099999999996</v>
      </c>
      <c r="G32" s="77">
        <f t="shared" ref="G32:P50" si="10">IF(G$27="%w/w SAR",((G$28*10)*$B32),IF(G$27="%w/w DM",(((G$28*10)*($B$28/100))*$B32),IF(G$27="kg/t SAR",(G$28*$B32),IF(G$27="kg/t DM",((G$28*($B$28/100))*$B32),IF(G$27="mg/kg SAR",((G$28*0.001)*$B32),IF(G$27="mg/kg DM",(((G$28*0.001)*($B$28/100))*$B32),0))))))</f>
        <v>5.4249999999999998</v>
      </c>
      <c r="H32" s="77">
        <f t="shared" si="10"/>
        <v>4.1649999999999993E-2</v>
      </c>
      <c r="I32" s="77">
        <f t="shared" si="10"/>
        <v>1.7500000000000002E-2</v>
      </c>
      <c r="J32" s="77">
        <f t="shared" si="10"/>
        <v>3.5000000000000005E-4</v>
      </c>
      <c r="K32" s="77">
        <f t="shared" si="10"/>
        <v>1.75E-3</v>
      </c>
      <c r="L32" s="77">
        <f t="shared" si="10"/>
        <v>7.0000000000000001E-3</v>
      </c>
      <c r="M32" s="77">
        <f t="shared" si="10"/>
        <v>7.0000000000000001E-3</v>
      </c>
      <c r="N32" s="77">
        <f t="shared" si="10"/>
        <v>0</v>
      </c>
      <c r="O32" s="77">
        <f t="shared" si="10"/>
        <v>0</v>
      </c>
      <c r="P32" s="77">
        <f t="shared" si="10"/>
        <v>0.88549999999999995</v>
      </c>
      <c r="Q32" s="77">
        <f t="shared" ref="Q32:Q50" si="11">(IF(Q$27="%w/w SAR",((Q$28*10)*$B32),IF(Q$27="%w/w DM",(((Q$28*10)*($B$28/100))*$B32),IF(Q$27="kg/t SAR",(Q$28*$B32),IF(Q$27="kg/t DM",((Q$28*($B$28/100))*$B32),IF(Q$27="mg/kg SAR",((Q$28*0.001)*$B32),IF(Q$27="mg/kg DM",(((Q$28*0.001)*($B$28/100))*$B32),0)))))))*2.5</f>
        <v>28.875</v>
      </c>
      <c r="R32" s="77">
        <f t="shared" ref="R32:U50" si="12">IF(R$27="%w/w SAR",((R$28*10)*$B32),IF(R$27="%w/w DM",(((R$28*10)*($B$28/100))*$B32),IF(R$27="kg/t SAR",(R$28*$B32),IF(R$27="kg/t DM",((R$28*($B$28/100))*$B32),IF(R$27="mg/kg SAR",((R$28*0.001)*$B32),IF(R$27="mg/kg DM",(((R$28*0.001)*($B$28/100))*$B32),0))))))</f>
        <v>7.000000000000001E-4</v>
      </c>
      <c r="S32" s="77">
        <f t="shared" si="12"/>
        <v>1.7500000000000002E-2</v>
      </c>
      <c r="T32" s="77">
        <f t="shared" si="12"/>
        <v>1.75E-3</v>
      </c>
      <c r="U32" s="77">
        <f t="shared" si="12"/>
        <v>0.35000000000000003</v>
      </c>
      <c r="AB32" s="59"/>
      <c r="AC32" s="59"/>
      <c r="AD32" s="59"/>
      <c r="AE32" s="59"/>
      <c r="AF32" s="59"/>
      <c r="AG32" s="59"/>
      <c r="AH32" s="59"/>
      <c r="AI32" s="59"/>
    </row>
    <row r="33" spans="1:35" s="72" customFormat="1" ht="13" x14ac:dyDescent="0.35">
      <c r="A33" s="13" t="str">
        <f>E8</f>
        <v>SJC3</v>
      </c>
      <c r="B33" s="15">
        <v>35</v>
      </c>
      <c r="C33" s="77">
        <f t="shared" si="6"/>
        <v>150.5</v>
      </c>
      <c r="D33" s="77">
        <f t="shared" si="7"/>
        <v>65.030034999999998</v>
      </c>
      <c r="E33" s="77">
        <f t="shared" si="8"/>
        <v>39.517975000000007</v>
      </c>
      <c r="F33" s="77">
        <f t="shared" si="9"/>
        <v>7.9501099999999996</v>
      </c>
      <c r="G33" s="77">
        <f t="shared" si="10"/>
        <v>5.4249999999999998</v>
      </c>
      <c r="H33" s="77">
        <f t="shared" si="10"/>
        <v>4.1649999999999993E-2</v>
      </c>
      <c r="I33" s="77">
        <f t="shared" si="10"/>
        <v>1.7500000000000002E-2</v>
      </c>
      <c r="J33" s="77">
        <f t="shared" si="10"/>
        <v>3.5000000000000005E-4</v>
      </c>
      <c r="K33" s="77">
        <f t="shared" si="10"/>
        <v>1.75E-3</v>
      </c>
      <c r="L33" s="77">
        <f t="shared" si="10"/>
        <v>7.0000000000000001E-3</v>
      </c>
      <c r="M33" s="77">
        <f t="shared" si="10"/>
        <v>7.0000000000000001E-3</v>
      </c>
      <c r="N33" s="77">
        <f t="shared" si="10"/>
        <v>0</v>
      </c>
      <c r="O33" s="77">
        <f t="shared" si="10"/>
        <v>0</v>
      </c>
      <c r="P33" s="77">
        <f t="shared" si="10"/>
        <v>0.88549999999999995</v>
      </c>
      <c r="Q33" s="77">
        <f t="shared" si="11"/>
        <v>28.875</v>
      </c>
      <c r="R33" s="77">
        <f t="shared" si="12"/>
        <v>7.000000000000001E-4</v>
      </c>
      <c r="S33" s="77">
        <f t="shared" si="12"/>
        <v>1.7500000000000002E-2</v>
      </c>
      <c r="T33" s="77">
        <f t="shared" si="12"/>
        <v>1.75E-3</v>
      </c>
      <c r="U33" s="77">
        <f t="shared" si="12"/>
        <v>0.35000000000000003</v>
      </c>
      <c r="AB33" s="59"/>
      <c r="AC33" s="59"/>
      <c r="AD33" s="59"/>
      <c r="AE33" s="59"/>
      <c r="AF33" s="59"/>
      <c r="AG33" s="59"/>
      <c r="AH33" s="59"/>
      <c r="AI33" s="59"/>
    </row>
    <row r="34" spans="1:35" s="72" customFormat="1" ht="13" x14ac:dyDescent="0.35">
      <c r="A34" s="13" t="str">
        <f>F8</f>
        <v>SJC4</v>
      </c>
      <c r="B34" s="15">
        <v>35</v>
      </c>
      <c r="C34" s="77">
        <f t="shared" si="6"/>
        <v>150.5</v>
      </c>
      <c r="D34" s="77">
        <f t="shared" si="7"/>
        <v>65.030034999999998</v>
      </c>
      <c r="E34" s="77">
        <f t="shared" si="8"/>
        <v>39.517975000000007</v>
      </c>
      <c r="F34" s="77">
        <f t="shared" si="9"/>
        <v>7.9501099999999996</v>
      </c>
      <c r="G34" s="77">
        <f t="shared" si="10"/>
        <v>5.4249999999999998</v>
      </c>
      <c r="H34" s="77">
        <f t="shared" si="10"/>
        <v>4.1649999999999993E-2</v>
      </c>
      <c r="I34" s="77">
        <f t="shared" si="10"/>
        <v>1.7500000000000002E-2</v>
      </c>
      <c r="J34" s="77">
        <f t="shared" si="10"/>
        <v>3.5000000000000005E-4</v>
      </c>
      <c r="K34" s="77">
        <f t="shared" si="10"/>
        <v>1.75E-3</v>
      </c>
      <c r="L34" s="77">
        <f t="shared" si="10"/>
        <v>7.0000000000000001E-3</v>
      </c>
      <c r="M34" s="77">
        <f t="shared" si="10"/>
        <v>7.0000000000000001E-3</v>
      </c>
      <c r="N34" s="77">
        <f t="shared" si="10"/>
        <v>0</v>
      </c>
      <c r="O34" s="77">
        <f t="shared" si="10"/>
        <v>0</v>
      </c>
      <c r="P34" s="77">
        <f t="shared" si="10"/>
        <v>0.88549999999999995</v>
      </c>
      <c r="Q34" s="77">
        <f t="shared" si="11"/>
        <v>28.875</v>
      </c>
      <c r="R34" s="77">
        <f t="shared" si="12"/>
        <v>7.000000000000001E-4</v>
      </c>
      <c r="S34" s="77">
        <f t="shared" si="12"/>
        <v>1.7500000000000002E-2</v>
      </c>
      <c r="T34" s="77">
        <f t="shared" si="12"/>
        <v>1.75E-3</v>
      </c>
      <c r="U34" s="77">
        <f t="shared" si="12"/>
        <v>0.35000000000000003</v>
      </c>
      <c r="AB34" s="59"/>
      <c r="AC34" s="59"/>
      <c r="AD34" s="59"/>
      <c r="AE34" s="59"/>
      <c r="AF34" s="59"/>
      <c r="AG34" s="59"/>
      <c r="AH34" s="59"/>
      <c r="AI34" s="59"/>
    </row>
    <row r="35" spans="1:35" s="72" customFormat="1" ht="13" x14ac:dyDescent="0.35">
      <c r="A35" s="13" t="str">
        <f>G8</f>
        <v>SJC5</v>
      </c>
      <c r="B35" s="15">
        <v>35</v>
      </c>
      <c r="C35" s="77">
        <f t="shared" si="6"/>
        <v>150.5</v>
      </c>
      <c r="D35" s="77">
        <f t="shared" si="7"/>
        <v>65.030034999999998</v>
      </c>
      <c r="E35" s="77">
        <f t="shared" si="8"/>
        <v>39.517975000000007</v>
      </c>
      <c r="F35" s="77">
        <f t="shared" si="9"/>
        <v>7.9501099999999996</v>
      </c>
      <c r="G35" s="77">
        <f t="shared" si="10"/>
        <v>5.4249999999999998</v>
      </c>
      <c r="H35" s="77">
        <f t="shared" si="10"/>
        <v>4.1649999999999993E-2</v>
      </c>
      <c r="I35" s="77">
        <f t="shared" si="10"/>
        <v>1.7500000000000002E-2</v>
      </c>
      <c r="J35" s="77">
        <f t="shared" si="10"/>
        <v>3.5000000000000005E-4</v>
      </c>
      <c r="K35" s="77">
        <f t="shared" si="10"/>
        <v>1.75E-3</v>
      </c>
      <c r="L35" s="77">
        <f t="shared" si="10"/>
        <v>7.0000000000000001E-3</v>
      </c>
      <c r="M35" s="77">
        <f t="shared" si="10"/>
        <v>7.0000000000000001E-3</v>
      </c>
      <c r="N35" s="77">
        <f t="shared" si="10"/>
        <v>0</v>
      </c>
      <c r="O35" s="77">
        <f t="shared" si="10"/>
        <v>0</v>
      </c>
      <c r="P35" s="77">
        <f t="shared" si="10"/>
        <v>0.88549999999999995</v>
      </c>
      <c r="Q35" s="77">
        <f t="shared" si="11"/>
        <v>28.875</v>
      </c>
      <c r="R35" s="77">
        <f t="shared" si="12"/>
        <v>7.000000000000001E-4</v>
      </c>
      <c r="S35" s="77">
        <f t="shared" si="12"/>
        <v>1.7500000000000002E-2</v>
      </c>
      <c r="T35" s="77">
        <f t="shared" si="12"/>
        <v>1.75E-3</v>
      </c>
      <c r="U35" s="77">
        <f t="shared" si="12"/>
        <v>0.35000000000000003</v>
      </c>
      <c r="AB35" s="59"/>
      <c r="AC35" s="59"/>
      <c r="AD35" s="59"/>
      <c r="AE35" s="59"/>
      <c r="AF35" s="59"/>
      <c r="AG35" s="59"/>
      <c r="AH35" s="59"/>
      <c r="AI35" s="59"/>
    </row>
    <row r="36" spans="1:35" s="72" customFormat="1" ht="13" x14ac:dyDescent="0.35">
      <c r="A36" s="13" t="str">
        <f>H8</f>
        <v>SJC6</v>
      </c>
      <c r="B36" s="15">
        <v>35</v>
      </c>
      <c r="C36" s="77">
        <f t="shared" si="6"/>
        <v>150.5</v>
      </c>
      <c r="D36" s="77">
        <f t="shared" si="7"/>
        <v>65.030034999999998</v>
      </c>
      <c r="E36" s="77">
        <f t="shared" si="8"/>
        <v>39.517975000000007</v>
      </c>
      <c r="F36" s="77">
        <f t="shared" si="9"/>
        <v>7.9501099999999996</v>
      </c>
      <c r="G36" s="77">
        <f t="shared" si="10"/>
        <v>5.4249999999999998</v>
      </c>
      <c r="H36" s="77">
        <f t="shared" si="10"/>
        <v>4.1649999999999993E-2</v>
      </c>
      <c r="I36" s="77">
        <f t="shared" si="10"/>
        <v>1.7500000000000002E-2</v>
      </c>
      <c r="J36" s="77">
        <f t="shared" si="10"/>
        <v>3.5000000000000005E-4</v>
      </c>
      <c r="K36" s="77">
        <f t="shared" si="10"/>
        <v>1.75E-3</v>
      </c>
      <c r="L36" s="77">
        <f t="shared" si="10"/>
        <v>7.0000000000000001E-3</v>
      </c>
      <c r="M36" s="77">
        <f t="shared" si="10"/>
        <v>7.0000000000000001E-3</v>
      </c>
      <c r="N36" s="77">
        <f t="shared" si="10"/>
        <v>0</v>
      </c>
      <c r="O36" s="77">
        <f t="shared" si="10"/>
        <v>0</v>
      </c>
      <c r="P36" s="77">
        <f t="shared" si="10"/>
        <v>0.88549999999999995</v>
      </c>
      <c r="Q36" s="77">
        <f t="shared" si="11"/>
        <v>28.875</v>
      </c>
      <c r="R36" s="77">
        <f t="shared" si="12"/>
        <v>7.000000000000001E-4</v>
      </c>
      <c r="S36" s="77">
        <f t="shared" si="12"/>
        <v>1.7500000000000002E-2</v>
      </c>
      <c r="T36" s="77">
        <f t="shared" si="12"/>
        <v>1.75E-3</v>
      </c>
      <c r="U36" s="77">
        <f t="shared" si="12"/>
        <v>0.35000000000000003</v>
      </c>
      <c r="AB36" s="59"/>
      <c r="AC36" s="59"/>
      <c r="AD36" s="59"/>
      <c r="AE36" s="59"/>
      <c r="AF36" s="59"/>
      <c r="AG36" s="59"/>
      <c r="AH36" s="59"/>
      <c r="AI36" s="59"/>
    </row>
    <row r="37" spans="1:35" s="72" customFormat="1" ht="13" x14ac:dyDescent="0.35">
      <c r="A37" s="13" t="str">
        <f>I8</f>
        <v>SJC7</v>
      </c>
      <c r="B37" s="15">
        <v>35</v>
      </c>
      <c r="C37" s="77">
        <f t="shared" si="6"/>
        <v>150.5</v>
      </c>
      <c r="D37" s="77">
        <f t="shared" si="7"/>
        <v>65.030034999999998</v>
      </c>
      <c r="E37" s="77">
        <f t="shared" si="8"/>
        <v>39.517975000000007</v>
      </c>
      <c r="F37" s="77">
        <f t="shared" si="9"/>
        <v>7.9501099999999996</v>
      </c>
      <c r="G37" s="77">
        <f t="shared" si="10"/>
        <v>5.4249999999999998</v>
      </c>
      <c r="H37" s="77">
        <f t="shared" si="10"/>
        <v>4.1649999999999993E-2</v>
      </c>
      <c r="I37" s="77">
        <f t="shared" si="10"/>
        <v>1.7500000000000002E-2</v>
      </c>
      <c r="J37" s="77">
        <f t="shared" si="10"/>
        <v>3.5000000000000005E-4</v>
      </c>
      <c r="K37" s="77">
        <f t="shared" si="10"/>
        <v>1.75E-3</v>
      </c>
      <c r="L37" s="77">
        <f t="shared" si="10"/>
        <v>7.0000000000000001E-3</v>
      </c>
      <c r="M37" s="77">
        <f t="shared" si="10"/>
        <v>7.0000000000000001E-3</v>
      </c>
      <c r="N37" s="77">
        <f t="shared" si="10"/>
        <v>0</v>
      </c>
      <c r="O37" s="77">
        <f t="shared" si="10"/>
        <v>0</v>
      </c>
      <c r="P37" s="77">
        <f t="shared" si="10"/>
        <v>0.88549999999999995</v>
      </c>
      <c r="Q37" s="77">
        <f t="shared" si="11"/>
        <v>28.875</v>
      </c>
      <c r="R37" s="77">
        <f t="shared" si="12"/>
        <v>7.000000000000001E-4</v>
      </c>
      <c r="S37" s="77">
        <f t="shared" si="12"/>
        <v>1.7500000000000002E-2</v>
      </c>
      <c r="T37" s="77">
        <f t="shared" si="12"/>
        <v>1.75E-3</v>
      </c>
      <c r="U37" s="77">
        <f t="shared" si="12"/>
        <v>0.35000000000000003</v>
      </c>
      <c r="AB37" s="59"/>
      <c r="AC37" s="59"/>
      <c r="AD37" s="59"/>
      <c r="AE37" s="59"/>
      <c r="AF37" s="59"/>
      <c r="AG37" s="59"/>
      <c r="AH37" s="59"/>
      <c r="AI37" s="59"/>
    </row>
    <row r="38" spans="1:35" s="72" customFormat="1" ht="13" x14ac:dyDescent="0.35">
      <c r="A38" s="13" t="str">
        <f>J8</f>
        <v>Bonolwyn A</v>
      </c>
      <c r="B38" s="15">
        <v>35</v>
      </c>
      <c r="C38" s="77">
        <f t="shared" si="6"/>
        <v>150.5</v>
      </c>
      <c r="D38" s="77">
        <f t="shared" si="7"/>
        <v>65.030034999999998</v>
      </c>
      <c r="E38" s="77">
        <f t="shared" si="8"/>
        <v>39.517975000000007</v>
      </c>
      <c r="F38" s="77">
        <f t="shared" si="9"/>
        <v>7.9501099999999996</v>
      </c>
      <c r="G38" s="77">
        <f t="shared" si="10"/>
        <v>5.4249999999999998</v>
      </c>
      <c r="H38" s="77">
        <f t="shared" si="10"/>
        <v>4.1649999999999993E-2</v>
      </c>
      <c r="I38" s="77">
        <f t="shared" si="10"/>
        <v>1.7500000000000002E-2</v>
      </c>
      <c r="J38" s="77">
        <f t="shared" si="10"/>
        <v>3.5000000000000005E-4</v>
      </c>
      <c r="K38" s="77">
        <f t="shared" si="10"/>
        <v>1.75E-3</v>
      </c>
      <c r="L38" s="77">
        <f t="shared" si="10"/>
        <v>7.0000000000000001E-3</v>
      </c>
      <c r="M38" s="77">
        <f t="shared" si="10"/>
        <v>7.0000000000000001E-3</v>
      </c>
      <c r="N38" s="77">
        <f t="shared" si="10"/>
        <v>0</v>
      </c>
      <c r="O38" s="77">
        <f t="shared" si="10"/>
        <v>0</v>
      </c>
      <c r="P38" s="77">
        <f t="shared" si="10"/>
        <v>0.88549999999999995</v>
      </c>
      <c r="Q38" s="77">
        <f t="shared" si="11"/>
        <v>28.875</v>
      </c>
      <c r="R38" s="77">
        <f t="shared" si="12"/>
        <v>7.000000000000001E-4</v>
      </c>
      <c r="S38" s="77">
        <f t="shared" si="12"/>
        <v>1.7500000000000002E-2</v>
      </c>
      <c r="T38" s="77">
        <f t="shared" si="12"/>
        <v>1.75E-3</v>
      </c>
      <c r="U38" s="77">
        <f t="shared" si="12"/>
        <v>0.35000000000000003</v>
      </c>
      <c r="AB38" s="59"/>
      <c r="AC38" s="59"/>
      <c r="AD38" s="59"/>
      <c r="AE38" s="59"/>
      <c r="AF38" s="59"/>
      <c r="AG38" s="59"/>
      <c r="AH38" s="59"/>
      <c r="AI38" s="59"/>
    </row>
    <row r="39" spans="1:35" s="72" customFormat="1" ht="13" x14ac:dyDescent="0.35">
      <c r="A39" s="13" t="str">
        <f>K8</f>
        <v>Bodnolwyn B</v>
      </c>
      <c r="B39" s="15">
        <v>35</v>
      </c>
      <c r="C39" s="77">
        <f t="shared" si="6"/>
        <v>150.5</v>
      </c>
      <c r="D39" s="77">
        <f t="shared" si="7"/>
        <v>65.030034999999998</v>
      </c>
      <c r="E39" s="77">
        <f t="shared" si="8"/>
        <v>39.517975000000007</v>
      </c>
      <c r="F39" s="77">
        <f t="shared" si="9"/>
        <v>7.9501099999999996</v>
      </c>
      <c r="G39" s="77">
        <f t="shared" si="10"/>
        <v>5.4249999999999998</v>
      </c>
      <c r="H39" s="77">
        <f t="shared" si="10"/>
        <v>4.1649999999999993E-2</v>
      </c>
      <c r="I39" s="77">
        <f t="shared" si="10"/>
        <v>1.7500000000000002E-2</v>
      </c>
      <c r="J39" s="77">
        <f t="shared" si="10"/>
        <v>3.5000000000000005E-4</v>
      </c>
      <c r="K39" s="77">
        <f t="shared" si="10"/>
        <v>1.75E-3</v>
      </c>
      <c r="L39" s="77">
        <f t="shared" si="10"/>
        <v>7.0000000000000001E-3</v>
      </c>
      <c r="M39" s="77">
        <f t="shared" si="10"/>
        <v>7.0000000000000001E-3</v>
      </c>
      <c r="N39" s="77">
        <f t="shared" si="10"/>
        <v>0</v>
      </c>
      <c r="O39" s="77">
        <f t="shared" si="10"/>
        <v>0</v>
      </c>
      <c r="P39" s="77">
        <f t="shared" si="10"/>
        <v>0.88549999999999995</v>
      </c>
      <c r="Q39" s="77">
        <f t="shared" si="11"/>
        <v>28.875</v>
      </c>
      <c r="R39" s="77">
        <f t="shared" si="12"/>
        <v>7.000000000000001E-4</v>
      </c>
      <c r="S39" s="77">
        <f t="shared" si="12"/>
        <v>1.7500000000000002E-2</v>
      </c>
      <c r="T39" s="77">
        <f t="shared" si="12"/>
        <v>1.75E-3</v>
      </c>
      <c r="U39" s="77">
        <f t="shared" si="12"/>
        <v>0.35000000000000003</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10"/>
        <v>0</v>
      </c>
      <c r="H40" s="77">
        <f t="shared" si="10"/>
        <v>0</v>
      </c>
      <c r="I40" s="77">
        <f t="shared" si="10"/>
        <v>0</v>
      </c>
      <c r="J40" s="77">
        <f t="shared" si="10"/>
        <v>0</v>
      </c>
      <c r="K40" s="77">
        <f t="shared" si="10"/>
        <v>0</v>
      </c>
      <c r="L40" s="77">
        <f t="shared" si="10"/>
        <v>0</v>
      </c>
      <c r="M40" s="77">
        <f t="shared" si="10"/>
        <v>0</v>
      </c>
      <c r="N40" s="77">
        <f t="shared" si="10"/>
        <v>0</v>
      </c>
      <c r="O40" s="77">
        <f t="shared" si="10"/>
        <v>0</v>
      </c>
      <c r="P40" s="77">
        <f t="shared" si="10"/>
        <v>0</v>
      </c>
      <c r="Q40" s="77">
        <f t="shared" si="11"/>
        <v>0</v>
      </c>
      <c r="R40" s="77">
        <f t="shared" si="12"/>
        <v>0</v>
      </c>
      <c r="S40" s="77">
        <f t="shared" si="12"/>
        <v>0</v>
      </c>
      <c r="T40" s="77">
        <f t="shared" si="12"/>
        <v>0</v>
      </c>
      <c r="U40" s="77">
        <f t="shared" si="12"/>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v>6.88</v>
      </c>
      <c r="C55" s="116">
        <v>1</v>
      </c>
      <c r="D55" s="117">
        <f>(B55/100)*C55</f>
        <v>6.88E-2</v>
      </c>
      <c r="E55" s="117">
        <f>G55</f>
        <v>0.1376</v>
      </c>
      <c r="F55" s="116">
        <v>2</v>
      </c>
      <c r="G55" s="117">
        <f>(B55/100)*F55</f>
        <v>0.1376</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SJC1</v>
      </c>
      <c r="C57" s="8" t="str">
        <f t="shared" ref="C57:U57" si="13">D8</f>
        <v>SJC2</v>
      </c>
      <c r="D57" s="8" t="str">
        <f t="shared" si="13"/>
        <v>SJC3</v>
      </c>
      <c r="E57" s="8" t="str">
        <f t="shared" si="13"/>
        <v>SJC4</v>
      </c>
      <c r="F57" s="8" t="str">
        <f t="shared" si="13"/>
        <v>SJC5</v>
      </c>
      <c r="G57" s="8" t="str">
        <f t="shared" si="13"/>
        <v>SJC6</v>
      </c>
      <c r="H57" s="8" t="str">
        <f t="shared" si="13"/>
        <v>SJC7</v>
      </c>
      <c r="I57" s="8" t="str">
        <f t="shared" si="13"/>
        <v>Bonolwyn A</v>
      </c>
      <c r="J57" s="8" t="str">
        <f t="shared" si="13"/>
        <v>Bodnolwyn B</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6.2</v>
      </c>
      <c r="C59" s="76">
        <f>VLOOKUP(D$14,Table24[],5,FALSE)</f>
        <v>6.2</v>
      </c>
      <c r="D59" s="76">
        <f>VLOOKUP(E$14,Table24[],5,FALSE)</f>
        <v>6.2</v>
      </c>
      <c r="E59" s="76">
        <f>VLOOKUP(F$14,Table24[],5,FALSE)</f>
        <v>6.2</v>
      </c>
      <c r="F59" s="76">
        <f>VLOOKUP(G$14,Table24[],5,FALSE)</f>
        <v>6.2</v>
      </c>
      <c r="G59" s="76">
        <f>VLOOKUP(H$14,Table24[],5,FALSE)</f>
        <v>6.2</v>
      </c>
      <c r="H59" s="76">
        <f>VLOOKUP(I$14,Table24[],5,FALSE)</f>
        <v>6.2</v>
      </c>
      <c r="I59" s="76">
        <f>VLOOKUP(J$14,Table24[],5,FALSE)</f>
        <v>6.2</v>
      </c>
      <c r="J59" s="76">
        <f>VLOOKUP(K$14,Table24[],5,FALSE)</f>
        <v>6.2</v>
      </c>
      <c r="K59" s="76" t="e">
        <f>VLOOKUP(L$14,Table24[],5,FALSE)</f>
        <v>#N/A</v>
      </c>
      <c r="L59" s="76" t="e">
        <f>VLOOKUP(M$14,Table24[],5,FALSE)</f>
        <v>#N/A</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6.4</v>
      </c>
      <c r="C60" s="76">
        <f t="shared" ref="C60:U60" si="14">D10</f>
        <v>5.8</v>
      </c>
      <c r="D60" s="76">
        <f t="shared" si="14"/>
        <v>6</v>
      </c>
      <c r="E60" s="76">
        <f t="shared" si="14"/>
        <v>6</v>
      </c>
      <c r="F60" s="76">
        <f t="shared" si="14"/>
        <v>5.9</v>
      </c>
      <c r="G60" s="76">
        <f t="shared" si="14"/>
        <v>6.1</v>
      </c>
      <c r="H60" s="76">
        <f t="shared" si="14"/>
        <v>5.8</v>
      </c>
      <c r="I60" s="76">
        <f t="shared" si="14"/>
        <v>5.8</v>
      </c>
      <c r="J60" s="76">
        <f t="shared" si="14"/>
        <v>5.7</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35</v>
      </c>
      <c r="C62" s="77">
        <f>B32</f>
        <v>35</v>
      </c>
      <c r="D62" s="77">
        <f>B33</f>
        <v>35</v>
      </c>
      <c r="E62" s="77">
        <f>B34</f>
        <v>35</v>
      </c>
      <c r="F62" s="77">
        <f>B35</f>
        <v>35</v>
      </c>
      <c r="G62" s="77">
        <f>B36</f>
        <v>35</v>
      </c>
      <c r="H62" s="77">
        <f>B37</f>
        <v>35</v>
      </c>
      <c r="I62" s="77">
        <f>B38</f>
        <v>35</v>
      </c>
      <c r="J62" s="77">
        <f>B39</f>
        <v>35</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4.8159999999999994E-2</v>
      </c>
      <c r="C63" s="77">
        <f t="shared" ref="C63:U63" si="16">$E55*(C62/100)</f>
        <v>4.8159999999999994E-2</v>
      </c>
      <c r="D63" s="77">
        <f t="shared" si="16"/>
        <v>4.8159999999999994E-2</v>
      </c>
      <c r="E63" s="77">
        <f t="shared" si="16"/>
        <v>4.8159999999999994E-2</v>
      </c>
      <c r="F63" s="77">
        <f>$E55*(F62/100)</f>
        <v>4.8159999999999994E-2</v>
      </c>
      <c r="G63" s="77">
        <f t="shared" si="16"/>
        <v>4.8159999999999994E-2</v>
      </c>
      <c r="H63" s="77">
        <f t="shared" si="16"/>
        <v>4.8159999999999994E-2</v>
      </c>
      <c r="I63" s="77">
        <f t="shared" si="16"/>
        <v>4.8159999999999994E-2</v>
      </c>
      <c r="J63" s="77">
        <f t="shared" si="16"/>
        <v>4.8159999999999994E-2</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-1.2000000000000011</v>
      </c>
      <c r="C64" s="77">
        <f t="shared" ref="C64:U64" si="17">(C59-C60)*C61</f>
        <v>2.4000000000000021</v>
      </c>
      <c r="D64" s="77">
        <f t="shared" si="17"/>
        <v>1.2000000000000011</v>
      </c>
      <c r="E64" s="77">
        <f t="shared" si="17"/>
        <v>1.2000000000000011</v>
      </c>
      <c r="F64" s="77">
        <f t="shared" si="17"/>
        <v>1.7999999999999989</v>
      </c>
      <c r="G64" s="77">
        <f t="shared" si="17"/>
        <v>0.6000000000000032</v>
      </c>
      <c r="H64" s="77">
        <f t="shared" si="17"/>
        <v>2.4000000000000021</v>
      </c>
      <c r="I64" s="77">
        <f t="shared" si="17"/>
        <v>2.4000000000000021</v>
      </c>
      <c r="J64" s="77">
        <f t="shared" si="17"/>
        <v>3</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1.248160000000001</v>
      </c>
      <c r="C65" s="77">
        <f t="shared" ref="C65:U65" si="18">C63-C64</f>
        <v>-2.3518400000000019</v>
      </c>
      <c r="D65" s="77">
        <f t="shared" si="18"/>
        <v>-1.1518400000000011</v>
      </c>
      <c r="E65" s="77">
        <f t="shared" si="18"/>
        <v>-1.1518400000000011</v>
      </c>
      <c r="F65" s="77">
        <f t="shared" si="18"/>
        <v>-1.751839999999999</v>
      </c>
      <c r="G65" s="77">
        <f t="shared" si="18"/>
        <v>-0.55184000000000322</v>
      </c>
      <c r="H65" s="77">
        <f t="shared" si="18"/>
        <v>-2.3518400000000019</v>
      </c>
      <c r="I65" s="77">
        <f t="shared" si="18"/>
        <v>-2.3518400000000019</v>
      </c>
      <c r="J65" s="77">
        <f t="shared" si="18"/>
        <v>-2.9518399999999998</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phoneticPr fontId="12" type="noConversion"/>
  <conditionalFormatting sqref="C20:V21">
    <cfRule type="cellIs" dxfId="419" priority="43" operator="equal">
      <formula>"DECREASE"</formula>
    </cfRule>
    <cfRule type="cellIs" dxfId="418" priority="44" operator="equal">
      <formula>"INCREASE"</formula>
    </cfRule>
  </conditionalFormatting>
  <conditionalFormatting sqref="B31:B50 B62:U66">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W37" sqref="W3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Aber Falls'!C1:D1</f>
        <v>PAN-019961</v>
      </c>
      <c r="D1" s="141"/>
      <c r="E1" s="93" t="s">
        <v>45</v>
      </c>
      <c r="F1" s="39">
        <f>'Field data and Aber Falls'!F1</f>
        <v>48</v>
      </c>
      <c r="G1" s="120" t="s">
        <v>43</v>
      </c>
      <c r="H1" s="121"/>
      <c r="I1" s="118">
        <v>7.4</v>
      </c>
      <c r="J1" s="119" t="s">
        <v>153</v>
      </c>
      <c r="K1" s="119"/>
      <c r="L1" s="97">
        <v>77.8</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Aber Falls'!C2:D2</f>
        <v>EPR/GP3792SK</v>
      </c>
      <c r="D2" s="143"/>
      <c r="E2" s="93" t="s">
        <v>109</v>
      </c>
      <c r="F2" s="96" t="s">
        <v>174</v>
      </c>
      <c r="G2" s="138" t="s">
        <v>110</v>
      </c>
      <c r="H2" s="139"/>
      <c r="I2" s="118"/>
      <c r="J2" s="119" t="s">
        <v>158</v>
      </c>
      <c r="K2" s="119"/>
      <c r="L2" s="97">
        <v>0.98</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Aber Falls'!C3:D3</f>
        <v>ByProduct Recovery Ltd</v>
      </c>
      <c r="D3" s="143"/>
      <c r="E3" s="93" t="s">
        <v>108</v>
      </c>
      <c r="F3" s="31" t="s">
        <v>104</v>
      </c>
      <c r="G3" s="119" t="s">
        <v>159</v>
      </c>
      <c r="H3" s="119"/>
      <c r="I3" s="118"/>
      <c r="J3" s="120" t="s">
        <v>154</v>
      </c>
      <c r="K3" s="121"/>
      <c r="L3" s="97">
        <f>(L1/(L2*10000))*100</f>
        <v>0.79387755102040802</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Aber Falls'!C4:D4</f>
        <v>Plas Bach, Cerrigceinwen, Bodorgan, LL62 5NS</v>
      </c>
      <c r="D4" s="141"/>
      <c r="E4" s="94" t="s">
        <v>1</v>
      </c>
      <c r="F4" s="96" t="s">
        <v>175</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Aber Falls'!C5:D5</f>
        <v>Bryan Burn</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'Field data and Aber Falls'!C8</f>
        <v>SJC1</v>
      </c>
      <c r="D8" s="60" t="str">
        <f>'Field data and Aber Falls'!D8</f>
        <v>SJC2</v>
      </c>
      <c r="E8" s="60" t="str">
        <f>'Field data and Aber Falls'!E8</f>
        <v>SJC3</v>
      </c>
      <c r="F8" s="60" t="str">
        <f>'Field data and Aber Falls'!F8</f>
        <v>SJC4</v>
      </c>
      <c r="G8" s="60" t="str">
        <f>'Field data and Aber Falls'!G8</f>
        <v>SJC5</v>
      </c>
      <c r="H8" s="60" t="str">
        <f>'Field data and Aber Falls'!H8</f>
        <v>SJC6</v>
      </c>
      <c r="I8" s="60" t="str">
        <f>'Field data and Aber Falls'!I8</f>
        <v>SJC7</v>
      </c>
      <c r="J8" s="60" t="str">
        <f>'Field data and Aber Falls'!J8</f>
        <v>Bonolwyn A</v>
      </c>
      <c r="K8" s="60" t="str">
        <f>'Field data and Aber Falls'!K8</f>
        <v>Bodnolwyn B</v>
      </c>
      <c r="L8" s="60">
        <f>'Field data and Aber Falls'!L8</f>
        <v>0</v>
      </c>
      <c r="M8" s="60">
        <f>'Field data and Aber Falls'!M8</f>
        <v>0</v>
      </c>
      <c r="N8" s="60">
        <f>'Field data and Aber Falls'!N8</f>
        <v>0</v>
      </c>
      <c r="O8" s="60">
        <f>'Field data and Aber Falls'!O8</f>
        <v>0</v>
      </c>
      <c r="P8" s="60">
        <f>'Field data and Aber Falls'!P8</f>
        <v>0</v>
      </c>
      <c r="Q8" s="60">
        <f>'Field data and Aber Falls'!Q8</f>
        <v>0</v>
      </c>
      <c r="R8" s="60">
        <f>'Field data and Aber Falls'!R8</f>
        <v>0</v>
      </c>
      <c r="S8" s="60">
        <f>'Field data and Aber Falls'!S8</f>
        <v>0</v>
      </c>
      <c r="T8" s="60">
        <f>'Field data and Aber Falls'!T8</f>
        <v>0</v>
      </c>
      <c r="U8" s="60">
        <f>'Field data and Aber Falls'!U8</f>
        <v>0</v>
      </c>
      <c r="V8" s="60">
        <f>'Field data and Aber Falls'!V8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Aber Falls'!C9</f>
        <v>med</v>
      </c>
      <c r="D9" s="60" t="str">
        <f>'Field data and Aber Falls'!D9</f>
        <v>med</v>
      </c>
      <c r="E9" s="60" t="str">
        <f>'Field data and Aber Falls'!E9</f>
        <v>med</v>
      </c>
      <c r="F9" s="60" t="str">
        <f>'Field data and Aber Falls'!F9</f>
        <v>med</v>
      </c>
      <c r="G9" s="60" t="str">
        <f>'Field data and Aber Falls'!G9</f>
        <v>med</v>
      </c>
      <c r="H9" s="60" t="str">
        <f>'Field data and Aber Falls'!H9</f>
        <v>med</v>
      </c>
      <c r="I9" s="60" t="str">
        <f>'Field data and Aber Falls'!I9</f>
        <v>med</v>
      </c>
      <c r="J9" s="60" t="str">
        <f>'Field data and Aber Falls'!J9</f>
        <v>med</v>
      </c>
      <c r="K9" s="60" t="str">
        <f>'Field data and Aber Falls'!K9</f>
        <v>med</v>
      </c>
      <c r="L9" s="60">
        <f>'Field data and Aber Falls'!L9</f>
        <v>0</v>
      </c>
      <c r="M9" s="60">
        <f>'Field data and Aber Falls'!M9</f>
        <v>0</v>
      </c>
      <c r="N9" s="60">
        <f>'Field data and Aber Falls'!N9</f>
        <v>0</v>
      </c>
      <c r="O9" s="60">
        <f>'Field data and Aber Falls'!O9</f>
        <v>0</v>
      </c>
      <c r="P9" s="60">
        <f>'Field data and Aber Falls'!P9</f>
        <v>0</v>
      </c>
      <c r="Q9" s="60">
        <f>'Field data and Aber Falls'!Q9</f>
        <v>0</v>
      </c>
      <c r="R9" s="60">
        <f>'Field data and Aber Falls'!R9</f>
        <v>0</v>
      </c>
      <c r="S9" s="60">
        <f>'Field data and Aber Falls'!S9</f>
        <v>0</v>
      </c>
      <c r="T9" s="60">
        <f>'Field data and Aber Falls'!T9</f>
        <v>0</v>
      </c>
      <c r="U9" s="60">
        <f>'Field data and Aber Falls'!U9</f>
        <v>0</v>
      </c>
      <c r="V9" s="60">
        <f>'Field data and Aber Falls'!V9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Aber Falls'!C10</f>
        <v>6.4</v>
      </c>
      <c r="D10" s="60">
        <f>'Field data and Aber Falls'!D10</f>
        <v>5.8</v>
      </c>
      <c r="E10" s="60">
        <f>'Field data and Aber Falls'!E10</f>
        <v>6</v>
      </c>
      <c r="F10" s="60">
        <f>'Field data and Aber Falls'!F10</f>
        <v>6</v>
      </c>
      <c r="G10" s="60">
        <f>'Field data and Aber Falls'!G10</f>
        <v>5.9</v>
      </c>
      <c r="H10" s="60">
        <f>'Field data and Aber Falls'!H10</f>
        <v>6.1</v>
      </c>
      <c r="I10" s="60">
        <f>'Field data and Aber Falls'!I10</f>
        <v>5.8</v>
      </c>
      <c r="J10" s="60">
        <f>'Field data and Aber Falls'!J10</f>
        <v>5.8</v>
      </c>
      <c r="K10" s="60">
        <f>'Field data and Aber Falls'!K10</f>
        <v>5.7</v>
      </c>
      <c r="L10" s="60">
        <f>'Field data and Aber Falls'!L10</f>
        <v>0</v>
      </c>
      <c r="M10" s="60">
        <f>'Field data and Aber Falls'!M10</f>
        <v>0</v>
      </c>
      <c r="N10" s="60">
        <f>'Field data and Aber Falls'!N10</f>
        <v>0</v>
      </c>
      <c r="O10" s="60">
        <f>'Field data and Aber Falls'!O10</f>
        <v>0</v>
      </c>
      <c r="P10" s="60">
        <f>'Field data and Aber Falls'!P10</f>
        <v>0</v>
      </c>
      <c r="Q10" s="60">
        <f>'Field data and Aber Falls'!Q10</f>
        <v>0</v>
      </c>
      <c r="R10" s="60">
        <f>'Field data and Aber Falls'!R10</f>
        <v>0</v>
      </c>
      <c r="S10" s="60">
        <f>'Field data and Aber Falls'!S10</f>
        <v>0</v>
      </c>
      <c r="T10" s="60">
        <f>'Field data and Aber Falls'!T10</f>
        <v>0</v>
      </c>
      <c r="U10" s="60">
        <f>'Field data and Aber Falls'!U10</f>
        <v>0</v>
      </c>
      <c r="V10" s="60">
        <f>'Field data and Aber Falls'!V10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Aber Falls'!C11</f>
        <v>2</v>
      </c>
      <c r="D11" s="60">
        <f>'Field data and Aber Falls'!D11</f>
        <v>2</v>
      </c>
      <c r="E11" s="60">
        <f>'Field data and Aber Falls'!E11</f>
        <v>3</v>
      </c>
      <c r="F11" s="60">
        <f>'Field data and Aber Falls'!F11</f>
        <v>1</v>
      </c>
      <c r="G11" s="60">
        <f>'Field data and Aber Falls'!G11</f>
        <v>0</v>
      </c>
      <c r="H11" s="60">
        <f>'Field data and Aber Falls'!H11</f>
        <v>3</v>
      </c>
      <c r="I11" s="60">
        <f>'Field data and Aber Falls'!I11</f>
        <v>2</v>
      </c>
      <c r="J11" s="60">
        <f>'Field data and Aber Falls'!J11</f>
        <v>2</v>
      </c>
      <c r="K11" s="60">
        <f>'Field data and Aber Falls'!K11</f>
        <v>2</v>
      </c>
      <c r="L11" s="60">
        <f>'Field data and Aber Falls'!L11</f>
        <v>0</v>
      </c>
      <c r="M11" s="60">
        <f>'Field data and Aber Falls'!M11</f>
        <v>0</v>
      </c>
      <c r="N11" s="60">
        <f>'Field data and Aber Falls'!N11</f>
        <v>0</v>
      </c>
      <c r="O11" s="60">
        <f>'Field data and Aber Falls'!O11</f>
        <v>0</v>
      </c>
      <c r="P11" s="60">
        <f>'Field data and Aber Falls'!P11</f>
        <v>0</v>
      </c>
      <c r="Q11" s="60">
        <f>'Field data and Aber Falls'!Q11</f>
        <v>0</v>
      </c>
      <c r="R11" s="60">
        <f>'Field data and Aber Falls'!R11</f>
        <v>0</v>
      </c>
      <c r="S11" s="60">
        <f>'Field data and Aber Falls'!S11</f>
        <v>0</v>
      </c>
      <c r="T11" s="60">
        <f>'Field data and Aber Falls'!T11</f>
        <v>0</v>
      </c>
      <c r="U11" s="60">
        <f>'Field data and Aber Falls'!U11</f>
        <v>0</v>
      </c>
      <c r="V11" s="60">
        <f>'Field data and Aber Falls'!V11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Aber Falls'!C12</f>
        <v>3</v>
      </c>
      <c r="D12" s="60">
        <f>'Field data and Aber Falls'!D12</f>
        <v>4</v>
      </c>
      <c r="E12" s="60">
        <f>'Field data and Aber Falls'!E12</f>
        <v>4</v>
      </c>
      <c r="F12" s="60">
        <f>'Field data and Aber Falls'!F12</f>
        <v>1</v>
      </c>
      <c r="G12" s="60">
        <f>'Field data and Aber Falls'!G12</f>
        <v>1</v>
      </c>
      <c r="H12" s="60">
        <f>'Field data and Aber Falls'!H12</f>
        <v>2</v>
      </c>
      <c r="I12" s="60">
        <f>'Field data and Aber Falls'!I12</f>
        <v>1</v>
      </c>
      <c r="J12" s="60">
        <f>'Field data and Aber Falls'!J12</f>
        <v>2</v>
      </c>
      <c r="K12" s="60">
        <f>'Field data and Aber Falls'!K12</f>
        <v>2</v>
      </c>
      <c r="L12" s="60">
        <f>'Field data and Aber Falls'!L12</f>
        <v>0</v>
      </c>
      <c r="M12" s="60">
        <f>'Field data and Aber Falls'!M12</f>
        <v>0</v>
      </c>
      <c r="N12" s="60">
        <f>'Field data and Aber Falls'!N12</f>
        <v>0</v>
      </c>
      <c r="O12" s="60">
        <f>'Field data and Aber Falls'!O12</f>
        <v>0</v>
      </c>
      <c r="P12" s="60">
        <f>'Field data and Aber Falls'!P12</f>
        <v>0</v>
      </c>
      <c r="Q12" s="60">
        <f>'Field data and Aber Falls'!Q12</f>
        <v>0</v>
      </c>
      <c r="R12" s="60">
        <f>'Field data and Aber Falls'!R12</f>
        <v>0</v>
      </c>
      <c r="S12" s="60">
        <f>'Field data and Aber Falls'!S12</f>
        <v>0</v>
      </c>
      <c r="T12" s="60">
        <f>'Field data and Aber Falls'!T12</f>
        <v>0</v>
      </c>
      <c r="U12" s="60">
        <f>'Field data and Aber Falls'!U12</f>
        <v>0</v>
      </c>
      <c r="V12" s="60">
        <f>'Field data and Aber Falls'!V12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Aber Falls'!C13</f>
        <v>4</v>
      </c>
      <c r="D13" s="60">
        <f>'Field data and Aber Falls'!D13</f>
        <v>3</v>
      </c>
      <c r="E13" s="60">
        <f>'Field data and Aber Falls'!E13</f>
        <v>3</v>
      </c>
      <c r="F13" s="60">
        <f>'Field data and Aber Falls'!F13</f>
        <v>3</v>
      </c>
      <c r="G13" s="60">
        <f>'Field data and Aber Falls'!G13</f>
        <v>3</v>
      </c>
      <c r="H13" s="60">
        <f>'Field data and Aber Falls'!H13</f>
        <v>3</v>
      </c>
      <c r="I13" s="60">
        <f>'Field data and Aber Falls'!I13</f>
        <v>3</v>
      </c>
      <c r="J13" s="60">
        <f>'Field data and Aber Falls'!J13</f>
        <v>3</v>
      </c>
      <c r="K13" s="60">
        <f>'Field data and Aber Falls'!K13</f>
        <v>3</v>
      </c>
      <c r="L13" s="60">
        <f>'Field data and Aber Falls'!L13</f>
        <v>0</v>
      </c>
      <c r="M13" s="60">
        <f>'Field data and Aber Falls'!M13</f>
        <v>0</v>
      </c>
      <c r="N13" s="60">
        <f>'Field data and Aber Falls'!N13</f>
        <v>0</v>
      </c>
      <c r="O13" s="60">
        <f>'Field data and Aber Falls'!O13</f>
        <v>0</v>
      </c>
      <c r="P13" s="60">
        <f>'Field data and Aber Falls'!P13</f>
        <v>0</v>
      </c>
      <c r="Q13" s="60">
        <f>'Field data and Aber Falls'!Q13</f>
        <v>0</v>
      </c>
      <c r="R13" s="60">
        <f>'Field data and Aber Falls'!R13</f>
        <v>0</v>
      </c>
      <c r="S13" s="60">
        <f>'Field data and Aber Falls'!S13</f>
        <v>0</v>
      </c>
      <c r="T13" s="60">
        <f>'Field data and Aber Falls'!T13</f>
        <v>0</v>
      </c>
      <c r="U13" s="60">
        <f>'Field data and Aber Falls'!U13</f>
        <v>0</v>
      </c>
      <c r="V13" s="60">
        <f>'Field data and Aber Falls'!V13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Aber Falls'!C14</f>
        <v xml:space="preserve">Grass Silage (30% DM) </v>
      </c>
      <c r="D14" s="102" t="str">
        <f>'Field data and Aber Falls'!D14</f>
        <v xml:space="preserve">Grass Silage (30% DM) </v>
      </c>
      <c r="E14" s="102" t="str">
        <f>'Field data and Aber Falls'!E14</f>
        <v xml:space="preserve">Grass Silage (30% DM) </v>
      </c>
      <c r="F14" s="102" t="str">
        <f>'Field data and Aber Falls'!F14</f>
        <v xml:space="preserve">Grass Silage (30% DM) </v>
      </c>
      <c r="G14" s="102" t="str">
        <f>'Field data and Aber Falls'!G14</f>
        <v xml:space="preserve">Grass Silage (30% DM) </v>
      </c>
      <c r="H14" s="102" t="str">
        <f>'Field data and Aber Falls'!H14</f>
        <v xml:space="preserve">Grass Silage (30% DM) </v>
      </c>
      <c r="I14" s="102" t="str">
        <f>'Field data and Aber Falls'!I14</f>
        <v xml:space="preserve">Grass Silage (30% DM) </v>
      </c>
      <c r="J14" s="102" t="str">
        <f>'Field data and Aber Falls'!J14</f>
        <v xml:space="preserve">Grass Silage (30% DM) </v>
      </c>
      <c r="K14" s="102" t="str">
        <f>'Field data and Aber Falls'!K14</f>
        <v xml:space="preserve">Grass Silage (30% DM) </v>
      </c>
      <c r="L14" s="102">
        <f>'Field data and Aber Falls'!L14</f>
        <v>0</v>
      </c>
      <c r="M14" s="102">
        <f>'Field data and Aber Falls'!M14</f>
        <v>0</v>
      </c>
      <c r="N14" s="102">
        <f>'Field data and Aber Falls'!N14</f>
        <v>0</v>
      </c>
      <c r="O14" s="102">
        <f>'Field data and Aber Falls'!O14</f>
        <v>0</v>
      </c>
      <c r="P14" s="102">
        <f>'Field data and Aber Falls'!P14</f>
        <v>0</v>
      </c>
      <c r="Q14" s="102">
        <f>'Field data and Aber Falls'!Q14</f>
        <v>0</v>
      </c>
      <c r="R14" s="102">
        <f>'Field data and Aber Falls'!R14</f>
        <v>0</v>
      </c>
      <c r="S14" s="102">
        <f>'Field data and Aber Falls'!S14</f>
        <v>0</v>
      </c>
      <c r="T14" s="102">
        <f>'Field data and Aber Falls'!T14</f>
        <v>0</v>
      </c>
      <c r="U14" s="102">
        <f>'Field data and Aber Falls'!U14</f>
        <v>0</v>
      </c>
      <c r="V14" s="102">
        <f>'Field data and Aber Falls'!V14</f>
        <v>0</v>
      </c>
      <c r="AD14" s="30" t="s">
        <v>138</v>
      </c>
      <c r="AE14" s="30">
        <v>6</v>
      </c>
      <c r="AI14" s="53" t="s">
        <v>119</v>
      </c>
      <c r="AJ14" s="54">
        <v>0.8</v>
      </c>
      <c r="AK14" s="55">
        <v>1.7</v>
      </c>
      <c r="AL14" s="11">
        <v>12</v>
      </c>
      <c r="AM14" s="11">
        <v>6.7</v>
      </c>
      <c r="AN14" s="11" t="s">
        <v>135</v>
      </c>
    </row>
    <row r="15" spans="1:41" ht="13" x14ac:dyDescent="0.25">
      <c r="A15" s="130" t="s">
        <v>9</v>
      </c>
      <c r="B15" s="130"/>
      <c r="C15" s="60">
        <f>'Field data and Aber Falls'!C15</f>
        <v>47</v>
      </c>
      <c r="D15" s="60">
        <f>'Field data and Aber Falls'!D15</f>
        <v>47</v>
      </c>
      <c r="E15" s="60">
        <f>'Field data and Aber Falls'!E15</f>
        <v>47</v>
      </c>
      <c r="F15" s="60">
        <f>'Field data and Aber Falls'!F15</f>
        <v>47</v>
      </c>
      <c r="G15" s="60">
        <f>'Field data and Aber Falls'!G15</f>
        <v>47</v>
      </c>
      <c r="H15" s="60">
        <f>'Field data and Aber Falls'!H15</f>
        <v>47</v>
      </c>
      <c r="I15" s="60">
        <f>'Field data and Aber Falls'!I15</f>
        <v>47</v>
      </c>
      <c r="J15" s="60">
        <f>'Field data and Aber Falls'!J15</f>
        <v>47</v>
      </c>
      <c r="K15" s="60">
        <f>'Field data and Aber Falls'!K15</f>
        <v>47</v>
      </c>
      <c r="L15" s="60">
        <f>'Field data and Aber Falls'!L15</f>
        <v>0</v>
      </c>
      <c r="M15" s="60">
        <f>'Field data and Aber Falls'!M15</f>
        <v>0</v>
      </c>
      <c r="N15" s="60">
        <f>'Field data and Aber Falls'!N15</f>
        <v>0</v>
      </c>
      <c r="O15" s="60">
        <f>'Field data and Aber Falls'!O15</f>
        <v>0</v>
      </c>
      <c r="P15" s="60">
        <f>'Field data and Aber Falls'!P15</f>
        <v>0</v>
      </c>
      <c r="Q15" s="60">
        <f>'Field data and Aber Falls'!Q15</f>
        <v>0</v>
      </c>
      <c r="R15" s="60">
        <f>'Field data and Aber Falls'!R15</f>
        <v>0</v>
      </c>
      <c r="S15" s="60">
        <f>'Field data and Aber Falls'!S15</f>
        <v>0</v>
      </c>
      <c r="T15" s="60">
        <f>'Field data and Aber Falls'!T15</f>
        <v>0</v>
      </c>
      <c r="U15" s="60">
        <f>'Field data and Aber Falls'!U15</f>
        <v>0</v>
      </c>
      <c r="V15" s="60">
        <f>'Field data and Aber Falls'!V15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Aber Falls'!C16</f>
        <v>Medium/Clay</v>
      </c>
      <c r="D16" s="103" t="str">
        <f>'Field data and Aber Falls'!D16</f>
        <v>Medium/Clay</v>
      </c>
      <c r="E16" s="103" t="str">
        <f>'Field data and Aber Falls'!E16</f>
        <v>Medium/Clay</v>
      </c>
      <c r="F16" s="103" t="str">
        <f>'Field data and Aber Falls'!F16</f>
        <v>Medium/Clay</v>
      </c>
      <c r="G16" s="103" t="str">
        <f>'Field data and Aber Falls'!G16</f>
        <v>Medium/Clay</v>
      </c>
      <c r="H16" s="103" t="str">
        <f>'Field data and Aber Falls'!H16</f>
        <v>Medium/Clay</v>
      </c>
      <c r="I16" s="103" t="str">
        <f>'Field data and Aber Falls'!I16</f>
        <v>Medium/Clay</v>
      </c>
      <c r="J16" s="103" t="str">
        <f>'Field data and Aber Falls'!J16</f>
        <v>Medium/Clay</v>
      </c>
      <c r="K16" s="103" t="str">
        <f>'Field data and Aber Falls'!K16</f>
        <v>Medium/Clay</v>
      </c>
      <c r="L16" s="103">
        <f>'Field data and Aber Falls'!L16</f>
        <v>0</v>
      </c>
      <c r="M16" s="103">
        <f>'Field data and Aber Falls'!M16</f>
        <v>0</v>
      </c>
      <c r="N16" s="103">
        <f>'Field data and Aber Falls'!N16</f>
        <v>0</v>
      </c>
      <c r="O16" s="103">
        <f>'Field data and Aber Falls'!O16</f>
        <v>0</v>
      </c>
      <c r="P16" s="103">
        <f>'Field data and Aber Falls'!P16</f>
        <v>0</v>
      </c>
      <c r="Q16" s="103">
        <f>'Field data and Aber Falls'!Q16</f>
        <v>0</v>
      </c>
      <c r="R16" s="103">
        <f>'Field data and Aber Falls'!R16</f>
        <v>0</v>
      </c>
      <c r="S16" s="103">
        <f>'Field data and Aber Falls'!S16</f>
        <v>0</v>
      </c>
      <c r="T16" s="103">
        <f>'Field data and Aber Falls'!T16</f>
        <v>0</v>
      </c>
      <c r="U16" s="103">
        <f>'Field data and Aber Falls'!U16</f>
        <v>0</v>
      </c>
      <c r="V16" s="103">
        <f>'Field data and Aber Falls'!V16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98.7</v>
      </c>
      <c r="D17" s="28">
        <f t="shared" ref="D17:V17" si="0">(VLOOKUP(D$14,$AI2:$AK26,2,FALSE))*D$15</f>
        <v>98.7</v>
      </c>
      <c r="E17" s="28">
        <f t="shared" si="0"/>
        <v>98.7</v>
      </c>
      <c r="F17" s="28">
        <f t="shared" si="0"/>
        <v>98.7</v>
      </c>
      <c r="G17" s="28">
        <f t="shared" si="0"/>
        <v>98.7</v>
      </c>
      <c r="H17" s="28">
        <f t="shared" si="0"/>
        <v>98.7</v>
      </c>
      <c r="I17" s="28">
        <f t="shared" si="0"/>
        <v>98.7</v>
      </c>
      <c r="J17" s="28">
        <f t="shared" si="0"/>
        <v>98.7</v>
      </c>
      <c r="K17" s="28">
        <f t="shared" si="0"/>
        <v>98.7</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63.547757999999995</v>
      </c>
      <c r="D18" s="16">
        <f>$D32</f>
        <v>0</v>
      </c>
      <c r="E18" s="16">
        <f>$D33</f>
        <v>63.547757999999995</v>
      </c>
      <c r="F18" s="16">
        <f>$D34</f>
        <v>69.073650000000001</v>
      </c>
      <c r="G18" s="16">
        <f>$D35</f>
        <v>0</v>
      </c>
      <c r="H18" s="16">
        <f>$D36</f>
        <v>63.547757999999995</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-35.152242000000008</v>
      </c>
      <c r="D19" s="16">
        <f t="shared" ref="D19:V19" si="1">D18-D17</f>
        <v>-98.7</v>
      </c>
      <c r="E19" s="16">
        <f t="shared" si="1"/>
        <v>-35.152242000000008</v>
      </c>
      <c r="F19" s="16">
        <f t="shared" si="1"/>
        <v>-29.626350000000002</v>
      </c>
      <c r="G19" s="16">
        <f t="shared" si="1"/>
        <v>-98.7</v>
      </c>
      <c r="H19" s="16">
        <f t="shared" si="1"/>
        <v>-35.152242000000008</v>
      </c>
      <c r="I19" s="16">
        <f t="shared" si="1"/>
        <v>-98.7</v>
      </c>
      <c r="J19" s="16">
        <f t="shared" si="1"/>
        <v>-98.7</v>
      </c>
      <c r="K19" s="16">
        <f t="shared" si="1"/>
        <v>-98.7</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338.40000000000003</v>
      </c>
      <c r="D21" s="28">
        <f t="shared" ref="D21:V21" si="2">(VLOOKUP(D$14,$AI2:$AK26,3,FALSE))*D$15</f>
        <v>338.40000000000003</v>
      </c>
      <c r="E21" s="28">
        <f t="shared" si="2"/>
        <v>338.40000000000003</v>
      </c>
      <c r="F21" s="28">
        <f t="shared" si="2"/>
        <v>338.40000000000003</v>
      </c>
      <c r="G21" s="28">
        <f t="shared" si="2"/>
        <v>338.40000000000003</v>
      </c>
      <c r="H21" s="28">
        <f t="shared" si="2"/>
        <v>338.40000000000003</v>
      </c>
      <c r="I21" s="28">
        <f t="shared" si="2"/>
        <v>338.40000000000003</v>
      </c>
      <c r="J21" s="28">
        <f t="shared" si="2"/>
        <v>338.40000000000003</v>
      </c>
      <c r="K21" s="28">
        <f t="shared" si="2"/>
        <v>338.40000000000003</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8.0218296000000009E-4</v>
      </c>
      <c r="D22" s="16">
        <f>$E32</f>
        <v>0</v>
      </c>
      <c r="E22" s="16">
        <f>$E33</f>
        <v>8.0218296000000009E-4</v>
      </c>
      <c r="F22" s="16">
        <f>$E34</f>
        <v>8.7193800000000005E-4</v>
      </c>
      <c r="G22" s="16">
        <f>$E35</f>
        <v>0</v>
      </c>
      <c r="H22" s="16">
        <f>$E36</f>
        <v>8.0218296000000009E-4</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-338.39919781704003</v>
      </c>
      <c r="D23" s="16">
        <f t="shared" ref="D23:V23" si="3">D22-D21</f>
        <v>-338.40000000000003</v>
      </c>
      <c r="E23" s="16">
        <f t="shared" si="3"/>
        <v>-338.39919781704003</v>
      </c>
      <c r="F23" s="16">
        <f t="shared" si="3"/>
        <v>-338.39912806200005</v>
      </c>
      <c r="G23" s="16">
        <f t="shared" si="3"/>
        <v>-338.40000000000003</v>
      </c>
      <c r="H23" s="16">
        <f t="shared" si="3"/>
        <v>-338.39919781704003</v>
      </c>
      <c r="I23" s="16">
        <f t="shared" si="3"/>
        <v>-338.40000000000003</v>
      </c>
      <c r="J23" s="16">
        <f t="shared" si="3"/>
        <v>-338.40000000000003</v>
      </c>
      <c r="K23" s="16">
        <f t="shared" si="3"/>
        <v>-338.40000000000003</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55</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20.100000000000001</v>
      </c>
      <c r="C28" s="15">
        <v>0.98199999999999998</v>
      </c>
      <c r="D28" s="15">
        <v>0.12</v>
      </c>
      <c r="E28" s="15">
        <v>2.8799999999999999E-2</v>
      </c>
      <c r="F28" s="15">
        <v>13300</v>
      </c>
      <c r="G28" s="15">
        <v>24.8</v>
      </c>
      <c r="H28" s="15">
        <v>553</v>
      </c>
      <c r="I28" s="15">
        <v>6.2</v>
      </c>
      <c r="J28" s="15">
        <v>0.28999999999999998</v>
      </c>
      <c r="K28" s="23">
        <v>0.25</v>
      </c>
      <c r="L28" s="15">
        <v>5.3</v>
      </c>
      <c r="M28" s="15">
        <v>4.3</v>
      </c>
      <c r="N28" s="15">
        <v>186000</v>
      </c>
      <c r="O28" s="15">
        <v>11100</v>
      </c>
      <c r="P28" s="15"/>
      <c r="Q28" s="15">
        <v>6870</v>
      </c>
      <c r="R28" s="15"/>
      <c r="S28" s="15">
        <v>11.8</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SJC1</v>
      </c>
      <c r="B31" s="15">
        <v>115</v>
      </c>
      <c r="C31" s="77">
        <f>IF(C$27="%w/w SAR",((C$28*10)*$B31),IF(C$27="%w/w DM",(((C$28*10)*($B$28/100))*$B31),IF(C$27="kg/t SAR",(C$28*$B31),IF(C$27="kg/t DM",((C$28*($B$28/100))*$B31),IF(C$27="mg/kg SAR",((C$28*0.001)*$B31),IF(C$27="mg/kg DM",(((C$28*0.001)*($B$28/100))*$B31),0))))))</f>
        <v>226.98930000000001</v>
      </c>
      <c r="D31" s="77">
        <f>(IF(D$27="%w/w SAR",((D$28*10)*$B31),IF(D$27="%w/w DM",(((D$28*10)*($B$28/100))*$B31),IF(D$27="kg/t SAR",(D$28*$B31),IF(D$27="kg/t DM",((D$28*($B$28/100))*$B31),IF(D$27="mg/kg SAR",((D$28*0.001)*$B31),IF(D$27="mg/kg DM",(((D$28*0.001)*($B$28/100))*$B31),"0")))))))*2.291</f>
        <v>63.547757999999995</v>
      </c>
      <c r="E31" s="77">
        <f>(IF(E$27="%w/w SAR",((E$28*10)*$B31),IF(E$27="%w/w DM",(((E$28*10)*($B$28/100))*$B31),IF(E$27="kg/t SAR",(E$28*$B31),IF(E$27="kg/t DM",((E$28*($B$28/100))*$B31),IF(E$27="mg/kg SAR",((E$28*0.001)*$B31),IF(E$27="mg/kg DM",(((E$28*0.001)*($B$28/100))*$B31),"0")))))))*1.205</f>
        <v>8.0218296000000009E-4</v>
      </c>
      <c r="F31" s="77">
        <f>(IF(F$27="%w/w SAR",((F$28*10)*$B31),IF(F$27="%w/w DM",(((F$28*10)*($B$28/100))*$B31),IF(F$27="kg/t SAR",(F$28*$B31),IF(F$27="kg/t DM",((F$28*($B$28/100))*$B31),IF(F$27="mg/kg SAR",((F$28*0.001)*$B31),IF(F$27="mg/kg DM",(((F$28*0.001)*($B$28/100))*$B31),"0")))))))*1.658</f>
        <v>509.71811100000002</v>
      </c>
      <c r="G31" s="77">
        <f t="shared" ref="G31:P46" si="5">IF(G$27="%w/w SAR",((G$28*10)*$B31),IF(G$27="%w/w DM",(((G$28*10)*($B$28/100))*$B31),IF(G$27="kg/t SAR",(G$28*$B31),IF(G$27="kg/t DM",((G$28*($B$28/100))*$B31),IF(G$27="mg/kg SAR",((G$28*0.001)*$B31),IF(G$27="mg/kg DM",(((G$28*0.001)*($B$28/100))*$B31),0))))))</f>
        <v>0.57325200000000009</v>
      </c>
      <c r="H31" s="77">
        <f t="shared" si="5"/>
        <v>12.782595000000002</v>
      </c>
      <c r="I31" s="77">
        <f t="shared" si="5"/>
        <v>0.14331300000000002</v>
      </c>
      <c r="J31" s="77">
        <f t="shared" si="5"/>
        <v>6.7033500000000003E-3</v>
      </c>
      <c r="K31" s="77">
        <f t="shared" si="5"/>
        <v>5.77875E-3</v>
      </c>
      <c r="L31" s="77">
        <f t="shared" si="5"/>
        <v>0.12250950000000002</v>
      </c>
      <c r="M31" s="77">
        <f t="shared" si="5"/>
        <v>9.9394499999999997E-2</v>
      </c>
      <c r="N31" s="77">
        <f t="shared" si="5"/>
        <v>4299.3900000000003</v>
      </c>
      <c r="O31" s="77">
        <f t="shared" si="5"/>
        <v>256.57650000000001</v>
      </c>
      <c r="P31" s="77">
        <f t="shared" si="5"/>
        <v>0</v>
      </c>
      <c r="Q31" s="77">
        <f>(IF(Q$27="%w/w SAR",((Q$28*10)*$B31),IF(Q$27="%w/w DM",(((Q$28*10)*($B$28/100))*$B31),IF(Q$27="kg/t SAR",(Q$28*$B31),IF(Q$27="kg/t DM",((Q$28*($B$28/100))*$B31),IF(Q$27="mg/kg SAR",((Q$28*0.001)*$B31),IF(Q$27="mg/kg DM",(((Q$28*0.001)*($B$28/100))*$B31),0)))))))*2.5</f>
        <v>397.00012500000003</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0.27275700000000003</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SJC2</v>
      </c>
      <c r="B32" s="15">
        <v>0</v>
      </c>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SJC3</v>
      </c>
      <c r="B33" s="15">
        <v>115</v>
      </c>
      <c r="C33" s="77">
        <f t="shared" si="6"/>
        <v>226.98930000000001</v>
      </c>
      <c r="D33" s="77">
        <f t="shared" si="7"/>
        <v>63.547757999999995</v>
      </c>
      <c r="E33" s="77">
        <f t="shared" si="8"/>
        <v>8.0218296000000009E-4</v>
      </c>
      <c r="F33" s="77">
        <f t="shared" si="9"/>
        <v>509.71811100000002</v>
      </c>
      <c r="G33" s="77">
        <f t="shared" si="5"/>
        <v>0.57325200000000009</v>
      </c>
      <c r="H33" s="77">
        <f t="shared" si="5"/>
        <v>12.782595000000002</v>
      </c>
      <c r="I33" s="77">
        <f t="shared" si="5"/>
        <v>0.14331300000000002</v>
      </c>
      <c r="J33" s="77">
        <f t="shared" si="5"/>
        <v>6.7033500000000003E-3</v>
      </c>
      <c r="K33" s="77">
        <f t="shared" si="5"/>
        <v>5.77875E-3</v>
      </c>
      <c r="L33" s="77">
        <f t="shared" si="5"/>
        <v>0.12250950000000002</v>
      </c>
      <c r="M33" s="77">
        <f t="shared" si="5"/>
        <v>9.9394499999999997E-2</v>
      </c>
      <c r="N33" s="77">
        <f t="shared" si="5"/>
        <v>4299.3900000000003</v>
      </c>
      <c r="O33" s="77">
        <f t="shared" si="5"/>
        <v>256.57650000000001</v>
      </c>
      <c r="P33" s="77">
        <f t="shared" si="5"/>
        <v>0</v>
      </c>
      <c r="Q33" s="77">
        <f t="shared" si="10"/>
        <v>397.00012500000003</v>
      </c>
      <c r="R33" s="77">
        <f t="shared" si="11"/>
        <v>0</v>
      </c>
      <c r="S33" s="77">
        <f t="shared" si="11"/>
        <v>0.27275700000000003</v>
      </c>
      <c r="T33" s="77">
        <f t="shared" si="11"/>
        <v>0</v>
      </c>
      <c r="U33" s="77">
        <f t="shared" si="11"/>
        <v>0</v>
      </c>
      <c r="AB33" s="59"/>
      <c r="AC33" s="59"/>
      <c r="AD33" s="59"/>
      <c r="AE33" s="59"/>
      <c r="AF33" s="59"/>
      <c r="AG33" s="59"/>
      <c r="AH33" s="59"/>
      <c r="AI33" s="59"/>
    </row>
    <row r="34" spans="1:35" s="72" customFormat="1" ht="13" x14ac:dyDescent="0.35">
      <c r="A34" s="13" t="str">
        <f>F8</f>
        <v>SJC4</v>
      </c>
      <c r="B34" s="15">
        <v>125</v>
      </c>
      <c r="C34" s="77">
        <f t="shared" si="6"/>
        <v>246.72750000000002</v>
      </c>
      <c r="D34" s="77">
        <f t="shared" si="7"/>
        <v>69.073650000000001</v>
      </c>
      <c r="E34" s="77">
        <f t="shared" si="8"/>
        <v>8.7193800000000005E-4</v>
      </c>
      <c r="F34" s="77">
        <f t="shared" si="9"/>
        <v>554.041425</v>
      </c>
      <c r="G34" s="77">
        <f t="shared" si="5"/>
        <v>0.6231000000000001</v>
      </c>
      <c r="H34" s="77">
        <f t="shared" si="5"/>
        <v>13.894125000000003</v>
      </c>
      <c r="I34" s="77">
        <f t="shared" si="5"/>
        <v>0.15577500000000002</v>
      </c>
      <c r="J34" s="77">
        <f t="shared" si="5"/>
        <v>7.2862500000000011E-3</v>
      </c>
      <c r="K34" s="77">
        <f t="shared" si="5"/>
        <v>6.2812500000000004E-3</v>
      </c>
      <c r="L34" s="77">
        <f t="shared" si="5"/>
        <v>0.13316250000000002</v>
      </c>
      <c r="M34" s="77">
        <f t="shared" si="5"/>
        <v>0.10803750000000001</v>
      </c>
      <c r="N34" s="77">
        <f t="shared" si="5"/>
        <v>4673.25</v>
      </c>
      <c r="O34" s="77">
        <f t="shared" si="5"/>
        <v>278.88749999999999</v>
      </c>
      <c r="P34" s="77">
        <f t="shared" si="5"/>
        <v>0</v>
      </c>
      <c r="Q34" s="77">
        <f t="shared" si="10"/>
        <v>431.52187500000002</v>
      </c>
      <c r="R34" s="77">
        <f t="shared" si="11"/>
        <v>0</v>
      </c>
      <c r="S34" s="77">
        <f t="shared" si="11"/>
        <v>0.29647500000000004</v>
      </c>
      <c r="T34" s="77">
        <f t="shared" si="11"/>
        <v>0</v>
      </c>
      <c r="U34" s="77">
        <f t="shared" si="11"/>
        <v>0</v>
      </c>
      <c r="AB34" s="59"/>
      <c r="AC34" s="59"/>
      <c r="AD34" s="59"/>
      <c r="AE34" s="59"/>
      <c r="AF34" s="59"/>
      <c r="AG34" s="59"/>
      <c r="AH34" s="59"/>
      <c r="AI34" s="59"/>
    </row>
    <row r="35" spans="1:35" s="72" customFormat="1" ht="13" x14ac:dyDescent="0.35">
      <c r="A35" s="13" t="str">
        <f>G8</f>
        <v>SJC5</v>
      </c>
      <c r="B35" s="15">
        <v>0</v>
      </c>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SJC6</v>
      </c>
      <c r="B36" s="15">
        <v>115</v>
      </c>
      <c r="C36" s="77">
        <f t="shared" si="6"/>
        <v>226.98930000000001</v>
      </c>
      <c r="D36" s="77">
        <f t="shared" si="7"/>
        <v>63.547757999999995</v>
      </c>
      <c r="E36" s="77">
        <f t="shared" si="8"/>
        <v>8.0218296000000009E-4</v>
      </c>
      <c r="F36" s="77">
        <f t="shared" si="9"/>
        <v>509.71811100000002</v>
      </c>
      <c r="G36" s="77">
        <f t="shared" si="5"/>
        <v>0.57325200000000009</v>
      </c>
      <c r="H36" s="77">
        <f t="shared" si="5"/>
        <v>12.782595000000002</v>
      </c>
      <c r="I36" s="77">
        <f t="shared" si="5"/>
        <v>0.14331300000000002</v>
      </c>
      <c r="J36" s="77">
        <f t="shared" si="5"/>
        <v>6.7033500000000003E-3</v>
      </c>
      <c r="K36" s="77">
        <f t="shared" si="5"/>
        <v>5.77875E-3</v>
      </c>
      <c r="L36" s="77">
        <f t="shared" si="5"/>
        <v>0.12250950000000002</v>
      </c>
      <c r="M36" s="77">
        <f t="shared" si="5"/>
        <v>9.9394499999999997E-2</v>
      </c>
      <c r="N36" s="77">
        <f t="shared" si="5"/>
        <v>4299.3900000000003</v>
      </c>
      <c r="O36" s="77">
        <f t="shared" si="5"/>
        <v>256.57650000000001</v>
      </c>
      <c r="P36" s="77">
        <f t="shared" si="5"/>
        <v>0</v>
      </c>
      <c r="Q36" s="77">
        <f t="shared" si="10"/>
        <v>397.00012500000003</v>
      </c>
      <c r="R36" s="77">
        <f t="shared" si="11"/>
        <v>0</v>
      </c>
      <c r="S36" s="77">
        <f t="shared" si="11"/>
        <v>0.27275700000000003</v>
      </c>
      <c r="T36" s="77">
        <f t="shared" si="11"/>
        <v>0</v>
      </c>
      <c r="U36" s="77">
        <f t="shared" si="11"/>
        <v>0</v>
      </c>
      <c r="AB36" s="59"/>
      <c r="AC36" s="59"/>
      <c r="AD36" s="59"/>
      <c r="AE36" s="59"/>
      <c r="AF36" s="59"/>
      <c r="AG36" s="59"/>
      <c r="AH36" s="59"/>
      <c r="AI36" s="59"/>
    </row>
    <row r="37" spans="1:35" s="72" customFormat="1" ht="13" x14ac:dyDescent="0.35">
      <c r="A37" s="13" t="str">
        <f>I8</f>
        <v>SJC7</v>
      </c>
      <c r="B37" s="15">
        <v>0</v>
      </c>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Bonolwyn A</v>
      </c>
      <c r="B38" s="15">
        <v>0</v>
      </c>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Bodnolwyn B</v>
      </c>
      <c r="B39" s="15">
        <v>0</v>
      </c>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SJC1</v>
      </c>
      <c r="C57" s="8" t="str">
        <f t="shared" ref="C57:U57" si="13">D8</f>
        <v>SJC2</v>
      </c>
      <c r="D57" s="8" t="str">
        <f t="shared" si="13"/>
        <v>SJC3</v>
      </c>
      <c r="E57" s="8" t="str">
        <f t="shared" si="13"/>
        <v>SJC4</v>
      </c>
      <c r="F57" s="8" t="str">
        <f t="shared" si="13"/>
        <v>SJC5</v>
      </c>
      <c r="G57" s="8" t="str">
        <f t="shared" si="13"/>
        <v>SJC6</v>
      </c>
      <c r="H57" s="8" t="str">
        <f t="shared" si="13"/>
        <v>SJC7</v>
      </c>
      <c r="I57" s="8" t="str">
        <f t="shared" si="13"/>
        <v>Bonolwyn A</v>
      </c>
      <c r="J57" s="8" t="str">
        <f t="shared" si="13"/>
        <v>Bodnolwyn B</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e">
        <f>L16&amp;" I "&amp;(VLOOKUP(L14,Table245[],6,FALSE))</f>
        <v>#N/A</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6.2</v>
      </c>
      <c r="C59" s="76">
        <f>VLOOKUP(D$14,Table245[],5,FALSE)</f>
        <v>6.2</v>
      </c>
      <c r="D59" s="76">
        <f>VLOOKUP(E$14,Table245[],5,FALSE)</f>
        <v>6.2</v>
      </c>
      <c r="E59" s="76">
        <f>VLOOKUP(F$14,Table245[],5,FALSE)</f>
        <v>6.2</v>
      </c>
      <c r="F59" s="76">
        <f>VLOOKUP(G$14,Table245[],5,FALSE)</f>
        <v>6.2</v>
      </c>
      <c r="G59" s="76">
        <f>VLOOKUP(H$14,Table245[],5,FALSE)</f>
        <v>6.2</v>
      </c>
      <c r="H59" s="76">
        <f>VLOOKUP(I$14,Table245[],5,FALSE)</f>
        <v>6.2</v>
      </c>
      <c r="I59" s="76">
        <f>VLOOKUP(J$14,Table245[],5,FALSE)</f>
        <v>6.2</v>
      </c>
      <c r="J59" s="76">
        <f>VLOOKUP(K$14,Table245[],5,FALSE)</f>
        <v>6.2</v>
      </c>
      <c r="K59" s="76" t="e">
        <f>VLOOKUP(L$14,Table245[],5,FALSE)</f>
        <v>#N/A</v>
      </c>
      <c r="L59" s="76" t="e">
        <f>VLOOKUP(M$14,Table245[],5,FALSE)</f>
        <v>#N/A</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6.4</v>
      </c>
      <c r="C60" s="76">
        <f t="shared" ref="C60:U60" si="14">D10</f>
        <v>5.8</v>
      </c>
      <c r="D60" s="76">
        <f t="shared" si="14"/>
        <v>6</v>
      </c>
      <c r="E60" s="76">
        <f t="shared" si="14"/>
        <v>6</v>
      </c>
      <c r="F60" s="76">
        <f t="shared" si="14"/>
        <v>5.9</v>
      </c>
      <c r="G60" s="76">
        <f t="shared" si="14"/>
        <v>6.1</v>
      </c>
      <c r="H60" s="76">
        <f t="shared" si="14"/>
        <v>5.8</v>
      </c>
      <c r="I60" s="76">
        <f t="shared" si="14"/>
        <v>5.8</v>
      </c>
      <c r="J60" s="76">
        <f t="shared" si="14"/>
        <v>5.7</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115</v>
      </c>
      <c r="C62" s="77">
        <f>B32</f>
        <v>0</v>
      </c>
      <c r="D62" s="77">
        <f>B33</f>
        <v>115</v>
      </c>
      <c r="E62" s="77">
        <f>B34</f>
        <v>125</v>
      </c>
      <c r="F62" s="77">
        <f>B35</f>
        <v>0</v>
      </c>
      <c r="G62" s="77">
        <f>B36</f>
        <v>115</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-1.2000000000000011</v>
      </c>
      <c r="C64" s="77">
        <f t="shared" ref="C64:U64" si="17">(C59-C60)*C61</f>
        <v>2.4000000000000021</v>
      </c>
      <c r="D64" s="77">
        <f t="shared" si="17"/>
        <v>1.2000000000000011</v>
      </c>
      <c r="E64" s="77">
        <f t="shared" si="17"/>
        <v>1.2000000000000011</v>
      </c>
      <c r="F64" s="77">
        <f t="shared" si="17"/>
        <v>1.7999999999999989</v>
      </c>
      <c r="G64" s="77">
        <f t="shared" si="17"/>
        <v>0.6000000000000032</v>
      </c>
      <c r="H64" s="77">
        <f t="shared" si="17"/>
        <v>2.4000000000000021</v>
      </c>
      <c r="I64" s="77">
        <f t="shared" si="17"/>
        <v>2.4000000000000021</v>
      </c>
      <c r="J64" s="77">
        <f t="shared" si="17"/>
        <v>3</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1.2000000000000011</v>
      </c>
      <c r="C65" s="77">
        <f t="shared" ref="C65:U65" si="18">C63-C64</f>
        <v>-2.4000000000000021</v>
      </c>
      <c r="D65" s="77">
        <f t="shared" si="18"/>
        <v>-1.2000000000000011</v>
      </c>
      <c r="E65" s="77">
        <f t="shared" si="18"/>
        <v>-1.2000000000000011</v>
      </c>
      <c r="F65" s="77">
        <f t="shared" si="18"/>
        <v>-1.7999999999999989</v>
      </c>
      <c r="G65" s="77">
        <f t="shared" si="18"/>
        <v>-0.6000000000000032</v>
      </c>
      <c r="H65" s="77">
        <f t="shared" si="18"/>
        <v>-2.4000000000000021</v>
      </c>
      <c r="I65" s="77">
        <f t="shared" si="18"/>
        <v>-2.4000000000000021</v>
      </c>
      <c r="J65" s="77">
        <f t="shared" si="18"/>
        <v>-3</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77" priority="37" operator="equal">
      <formula>"DECREASE"</formula>
    </cfRule>
    <cfRule type="cellIs" dxfId="376" priority="38" operator="equal">
      <formula>"INCREASE"</formula>
    </cfRule>
  </conditionalFormatting>
  <conditionalFormatting sqref="B31:B50 B62:U66">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S27" sqref="S2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Aber Falls'!C1:D1</f>
        <v>PAN-019961</v>
      </c>
      <c r="D1" s="141"/>
      <c r="E1" s="93" t="s">
        <v>45</v>
      </c>
      <c r="F1" s="39">
        <f>'Field data and Aber Falls'!F1</f>
        <v>48</v>
      </c>
      <c r="G1" s="120" t="s">
        <v>43</v>
      </c>
      <c r="H1" s="121"/>
      <c r="I1" s="118">
        <v>5.2</v>
      </c>
      <c r="J1" s="119" t="s">
        <v>153</v>
      </c>
      <c r="K1" s="119"/>
      <c r="L1" s="97">
        <v>183</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Aber Falls'!C2:D2</f>
        <v>EPR/GP3792SK</v>
      </c>
      <c r="D2" s="143"/>
      <c r="E2" s="93" t="s">
        <v>109</v>
      </c>
      <c r="F2" s="96" t="s">
        <v>174</v>
      </c>
      <c r="G2" s="138" t="s">
        <v>110</v>
      </c>
      <c r="H2" s="139"/>
      <c r="I2" s="118"/>
      <c r="J2" s="119" t="s">
        <v>158</v>
      </c>
      <c r="K2" s="119"/>
      <c r="L2" s="97">
        <v>0.56999999999999995</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Aber Falls'!C3:D3</f>
        <v>ByProduct Recovery Ltd</v>
      </c>
      <c r="D3" s="143"/>
      <c r="E3" s="93" t="s">
        <v>108</v>
      </c>
      <c r="F3" s="31" t="s">
        <v>78</v>
      </c>
      <c r="G3" s="119" t="s">
        <v>159</v>
      </c>
      <c r="H3" s="119"/>
      <c r="I3" s="118"/>
      <c r="J3" s="120" t="s">
        <v>154</v>
      </c>
      <c r="K3" s="121"/>
      <c r="L3" s="97">
        <f>(L1/(L2*10000))*100</f>
        <v>3.2105263157894739</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Aber Falls'!C4:D4</f>
        <v>Plas Bach, Cerrigceinwen, Bodorgan, LL62 5NS</v>
      </c>
      <c r="D4" s="141"/>
      <c r="E4" s="94" t="s">
        <v>1</v>
      </c>
      <c r="F4" s="96" t="s">
        <v>176</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Aber Falls'!C5:D5</f>
        <v>Bryan Burn</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'Field data and Aber Falls'!C8</f>
        <v>SJC1</v>
      </c>
      <c r="D8" s="60" t="str">
        <f>'Field data and Aber Falls'!D8</f>
        <v>SJC2</v>
      </c>
      <c r="E8" s="60" t="str">
        <f>'Field data and Aber Falls'!E8</f>
        <v>SJC3</v>
      </c>
      <c r="F8" s="60" t="str">
        <f>'Field data and Aber Falls'!F8</f>
        <v>SJC4</v>
      </c>
      <c r="G8" s="60" t="str">
        <f>'Field data and Aber Falls'!G8</f>
        <v>SJC5</v>
      </c>
      <c r="H8" s="60" t="str">
        <f>'Field data and Aber Falls'!H8</f>
        <v>SJC6</v>
      </c>
      <c r="I8" s="60" t="str">
        <f>'Field data and Aber Falls'!I8</f>
        <v>SJC7</v>
      </c>
      <c r="J8" s="60" t="str">
        <f>'Field data and Aber Falls'!J8</f>
        <v>Bonolwyn A</v>
      </c>
      <c r="K8" s="60" t="str">
        <f>'Field data and Aber Falls'!K8</f>
        <v>Bodnolwyn B</v>
      </c>
      <c r="L8" s="60">
        <f>'Field data and Aber Falls'!L8</f>
        <v>0</v>
      </c>
      <c r="M8" s="60">
        <f>'Field data and Aber Falls'!M8</f>
        <v>0</v>
      </c>
      <c r="N8" s="60">
        <f>'Field data and Aber Falls'!N8</f>
        <v>0</v>
      </c>
      <c r="O8" s="60">
        <f>'Field data and Aber Falls'!O8</f>
        <v>0</v>
      </c>
      <c r="P8" s="60">
        <f>'Field data and Aber Falls'!P8</f>
        <v>0</v>
      </c>
      <c r="Q8" s="60">
        <f>'Field data and Aber Falls'!Q8</f>
        <v>0</v>
      </c>
      <c r="R8" s="60">
        <f>'Field data and Aber Falls'!R8</f>
        <v>0</v>
      </c>
      <c r="S8" s="60">
        <f>'Field data and Aber Falls'!S8</f>
        <v>0</v>
      </c>
      <c r="T8" s="60">
        <f>'Field data and Aber Falls'!T8</f>
        <v>0</v>
      </c>
      <c r="U8" s="60">
        <f>'Field data and Aber Falls'!U8</f>
        <v>0</v>
      </c>
      <c r="V8" s="60">
        <f>'Field data and Aber Falls'!V8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Aber Falls'!C9</f>
        <v>med</v>
      </c>
      <c r="D9" s="60" t="str">
        <f>'Field data and Aber Falls'!D9</f>
        <v>med</v>
      </c>
      <c r="E9" s="60" t="str">
        <f>'Field data and Aber Falls'!E9</f>
        <v>med</v>
      </c>
      <c r="F9" s="60" t="str">
        <f>'Field data and Aber Falls'!F9</f>
        <v>med</v>
      </c>
      <c r="G9" s="60" t="str">
        <f>'Field data and Aber Falls'!G9</f>
        <v>med</v>
      </c>
      <c r="H9" s="60" t="str">
        <f>'Field data and Aber Falls'!H9</f>
        <v>med</v>
      </c>
      <c r="I9" s="60" t="str">
        <f>'Field data and Aber Falls'!I9</f>
        <v>med</v>
      </c>
      <c r="J9" s="60" t="str">
        <f>'Field data and Aber Falls'!J9</f>
        <v>med</v>
      </c>
      <c r="K9" s="60" t="str">
        <f>'Field data and Aber Falls'!K9</f>
        <v>med</v>
      </c>
      <c r="L9" s="60">
        <f>'Field data and Aber Falls'!L9</f>
        <v>0</v>
      </c>
      <c r="M9" s="60">
        <f>'Field data and Aber Falls'!M9</f>
        <v>0</v>
      </c>
      <c r="N9" s="60">
        <f>'Field data and Aber Falls'!N9</f>
        <v>0</v>
      </c>
      <c r="O9" s="60">
        <f>'Field data and Aber Falls'!O9</f>
        <v>0</v>
      </c>
      <c r="P9" s="60">
        <f>'Field data and Aber Falls'!P9</f>
        <v>0</v>
      </c>
      <c r="Q9" s="60">
        <f>'Field data and Aber Falls'!Q9</f>
        <v>0</v>
      </c>
      <c r="R9" s="60">
        <f>'Field data and Aber Falls'!R9</f>
        <v>0</v>
      </c>
      <c r="S9" s="60">
        <f>'Field data and Aber Falls'!S9</f>
        <v>0</v>
      </c>
      <c r="T9" s="60">
        <f>'Field data and Aber Falls'!T9</f>
        <v>0</v>
      </c>
      <c r="U9" s="60">
        <f>'Field data and Aber Falls'!U9</f>
        <v>0</v>
      </c>
      <c r="V9" s="60">
        <f>'Field data and Aber Falls'!V9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Aber Falls'!C10</f>
        <v>6.4</v>
      </c>
      <c r="D10" s="60">
        <f>'Field data and Aber Falls'!D10</f>
        <v>5.8</v>
      </c>
      <c r="E10" s="60">
        <f>'Field data and Aber Falls'!E10</f>
        <v>6</v>
      </c>
      <c r="F10" s="60">
        <f>'Field data and Aber Falls'!F10</f>
        <v>6</v>
      </c>
      <c r="G10" s="60">
        <f>'Field data and Aber Falls'!G10</f>
        <v>5.9</v>
      </c>
      <c r="H10" s="60">
        <f>'Field data and Aber Falls'!H10</f>
        <v>6.1</v>
      </c>
      <c r="I10" s="60">
        <f>'Field data and Aber Falls'!I10</f>
        <v>5.8</v>
      </c>
      <c r="J10" s="60">
        <f>'Field data and Aber Falls'!J10</f>
        <v>5.8</v>
      </c>
      <c r="K10" s="60">
        <f>'Field data and Aber Falls'!K10</f>
        <v>5.7</v>
      </c>
      <c r="L10" s="60">
        <f>'Field data and Aber Falls'!L10</f>
        <v>0</v>
      </c>
      <c r="M10" s="60">
        <f>'Field data and Aber Falls'!M10</f>
        <v>0</v>
      </c>
      <c r="N10" s="60">
        <f>'Field data and Aber Falls'!N10</f>
        <v>0</v>
      </c>
      <c r="O10" s="60">
        <f>'Field data and Aber Falls'!O10</f>
        <v>0</v>
      </c>
      <c r="P10" s="60">
        <f>'Field data and Aber Falls'!P10</f>
        <v>0</v>
      </c>
      <c r="Q10" s="60">
        <f>'Field data and Aber Falls'!Q10</f>
        <v>0</v>
      </c>
      <c r="R10" s="60">
        <f>'Field data and Aber Falls'!R10</f>
        <v>0</v>
      </c>
      <c r="S10" s="60">
        <f>'Field data and Aber Falls'!S10</f>
        <v>0</v>
      </c>
      <c r="T10" s="60">
        <f>'Field data and Aber Falls'!T10</f>
        <v>0</v>
      </c>
      <c r="U10" s="60">
        <f>'Field data and Aber Falls'!U10</f>
        <v>0</v>
      </c>
      <c r="V10" s="60">
        <f>'Field data and Aber Falls'!V10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Aber Falls'!C11</f>
        <v>2</v>
      </c>
      <c r="D11" s="60">
        <f>'Field data and Aber Falls'!D11</f>
        <v>2</v>
      </c>
      <c r="E11" s="60">
        <f>'Field data and Aber Falls'!E11</f>
        <v>3</v>
      </c>
      <c r="F11" s="60">
        <f>'Field data and Aber Falls'!F11</f>
        <v>1</v>
      </c>
      <c r="G11" s="60">
        <f>'Field data and Aber Falls'!G11</f>
        <v>0</v>
      </c>
      <c r="H11" s="60">
        <f>'Field data and Aber Falls'!H11</f>
        <v>3</v>
      </c>
      <c r="I11" s="60">
        <f>'Field data and Aber Falls'!I11</f>
        <v>2</v>
      </c>
      <c r="J11" s="60">
        <f>'Field data and Aber Falls'!J11</f>
        <v>2</v>
      </c>
      <c r="K11" s="60">
        <f>'Field data and Aber Falls'!K11</f>
        <v>2</v>
      </c>
      <c r="L11" s="60">
        <f>'Field data and Aber Falls'!L11</f>
        <v>0</v>
      </c>
      <c r="M11" s="60">
        <f>'Field data and Aber Falls'!M11</f>
        <v>0</v>
      </c>
      <c r="N11" s="60">
        <f>'Field data and Aber Falls'!N11</f>
        <v>0</v>
      </c>
      <c r="O11" s="60">
        <f>'Field data and Aber Falls'!O11</f>
        <v>0</v>
      </c>
      <c r="P11" s="60">
        <f>'Field data and Aber Falls'!P11</f>
        <v>0</v>
      </c>
      <c r="Q11" s="60">
        <f>'Field data and Aber Falls'!Q11</f>
        <v>0</v>
      </c>
      <c r="R11" s="60">
        <f>'Field data and Aber Falls'!R11</f>
        <v>0</v>
      </c>
      <c r="S11" s="60">
        <f>'Field data and Aber Falls'!S11</f>
        <v>0</v>
      </c>
      <c r="T11" s="60">
        <f>'Field data and Aber Falls'!T11</f>
        <v>0</v>
      </c>
      <c r="U11" s="60">
        <f>'Field data and Aber Falls'!U11</f>
        <v>0</v>
      </c>
      <c r="V11" s="60">
        <f>'Field data and Aber Falls'!V11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Aber Falls'!C12</f>
        <v>3</v>
      </c>
      <c r="D12" s="60">
        <f>'Field data and Aber Falls'!D12</f>
        <v>4</v>
      </c>
      <c r="E12" s="60">
        <f>'Field data and Aber Falls'!E12</f>
        <v>4</v>
      </c>
      <c r="F12" s="60">
        <f>'Field data and Aber Falls'!F12</f>
        <v>1</v>
      </c>
      <c r="G12" s="60">
        <f>'Field data and Aber Falls'!G12</f>
        <v>1</v>
      </c>
      <c r="H12" s="60">
        <f>'Field data and Aber Falls'!H12</f>
        <v>2</v>
      </c>
      <c r="I12" s="60">
        <f>'Field data and Aber Falls'!I12</f>
        <v>1</v>
      </c>
      <c r="J12" s="60">
        <f>'Field data and Aber Falls'!J12</f>
        <v>2</v>
      </c>
      <c r="K12" s="60">
        <f>'Field data and Aber Falls'!K12</f>
        <v>2</v>
      </c>
      <c r="L12" s="60">
        <f>'Field data and Aber Falls'!L12</f>
        <v>0</v>
      </c>
      <c r="M12" s="60">
        <f>'Field data and Aber Falls'!M12</f>
        <v>0</v>
      </c>
      <c r="N12" s="60">
        <f>'Field data and Aber Falls'!N12</f>
        <v>0</v>
      </c>
      <c r="O12" s="60">
        <f>'Field data and Aber Falls'!O12</f>
        <v>0</v>
      </c>
      <c r="P12" s="60">
        <f>'Field data and Aber Falls'!P12</f>
        <v>0</v>
      </c>
      <c r="Q12" s="60">
        <f>'Field data and Aber Falls'!Q12</f>
        <v>0</v>
      </c>
      <c r="R12" s="60">
        <f>'Field data and Aber Falls'!R12</f>
        <v>0</v>
      </c>
      <c r="S12" s="60">
        <f>'Field data and Aber Falls'!S12</f>
        <v>0</v>
      </c>
      <c r="T12" s="60">
        <f>'Field data and Aber Falls'!T12</f>
        <v>0</v>
      </c>
      <c r="U12" s="60">
        <f>'Field data and Aber Falls'!U12</f>
        <v>0</v>
      </c>
      <c r="V12" s="60">
        <f>'Field data and Aber Falls'!V12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Aber Falls'!C13</f>
        <v>4</v>
      </c>
      <c r="D13" s="60">
        <f>'Field data and Aber Falls'!D13</f>
        <v>3</v>
      </c>
      <c r="E13" s="60">
        <f>'Field data and Aber Falls'!E13</f>
        <v>3</v>
      </c>
      <c r="F13" s="60">
        <f>'Field data and Aber Falls'!F13</f>
        <v>3</v>
      </c>
      <c r="G13" s="60">
        <f>'Field data and Aber Falls'!G13</f>
        <v>3</v>
      </c>
      <c r="H13" s="60">
        <f>'Field data and Aber Falls'!H13</f>
        <v>3</v>
      </c>
      <c r="I13" s="60">
        <f>'Field data and Aber Falls'!I13</f>
        <v>3</v>
      </c>
      <c r="J13" s="60">
        <f>'Field data and Aber Falls'!J13</f>
        <v>3</v>
      </c>
      <c r="K13" s="60">
        <f>'Field data and Aber Falls'!K13</f>
        <v>3</v>
      </c>
      <c r="L13" s="60">
        <f>'Field data and Aber Falls'!L13</f>
        <v>0</v>
      </c>
      <c r="M13" s="60">
        <f>'Field data and Aber Falls'!M13</f>
        <v>0</v>
      </c>
      <c r="N13" s="60">
        <f>'Field data and Aber Falls'!N13</f>
        <v>0</v>
      </c>
      <c r="O13" s="60">
        <f>'Field data and Aber Falls'!O13</f>
        <v>0</v>
      </c>
      <c r="P13" s="60">
        <f>'Field data and Aber Falls'!P13</f>
        <v>0</v>
      </c>
      <c r="Q13" s="60">
        <f>'Field data and Aber Falls'!Q13</f>
        <v>0</v>
      </c>
      <c r="R13" s="60">
        <f>'Field data and Aber Falls'!R13</f>
        <v>0</v>
      </c>
      <c r="S13" s="60">
        <f>'Field data and Aber Falls'!S13</f>
        <v>0</v>
      </c>
      <c r="T13" s="60">
        <f>'Field data and Aber Falls'!T13</f>
        <v>0</v>
      </c>
      <c r="U13" s="60">
        <f>'Field data and Aber Falls'!U13</f>
        <v>0</v>
      </c>
      <c r="V13" s="60">
        <f>'Field data and Aber Falls'!V13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Aber Falls'!C14</f>
        <v xml:space="preserve">Grass Silage (30% DM) </v>
      </c>
      <c r="D14" s="102" t="str">
        <f>'Field data and Aber Falls'!D14</f>
        <v xml:space="preserve">Grass Silage (30% DM) </v>
      </c>
      <c r="E14" s="102" t="str">
        <f>'Field data and Aber Falls'!E14</f>
        <v xml:space="preserve">Grass Silage (30% DM) </v>
      </c>
      <c r="F14" s="102" t="str">
        <f>'Field data and Aber Falls'!F14</f>
        <v xml:space="preserve">Grass Silage (30% DM) </v>
      </c>
      <c r="G14" s="102" t="str">
        <f>'Field data and Aber Falls'!G14</f>
        <v xml:space="preserve">Grass Silage (30% DM) </v>
      </c>
      <c r="H14" s="102" t="str">
        <f>'Field data and Aber Falls'!H14</f>
        <v xml:space="preserve">Grass Silage (30% DM) </v>
      </c>
      <c r="I14" s="102" t="str">
        <f>'Field data and Aber Falls'!I14</f>
        <v xml:space="preserve">Grass Silage (30% DM) </v>
      </c>
      <c r="J14" s="102" t="str">
        <f>'Field data and Aber Falls'!J14</f>
        <v xml:space="preserve">Grass Silage (30% DM) </v>
      </c>
      <c r="K14" s="102" t="str">
        <f>'Field data and Aber Falls'!K14</f>
        <v xml:space="preserve">Grass Silage (30% DM) </v>
      </c>
      <c r="L14" s="102">
        <f>'Field data and Aber Falls'!L14</f>
        <v>0</v>
      </c>
      <c r="M14" s="102">
        <f>'Field data and Aber Falls'!M14</f>
        <v>0</v>
      </c>
      <c r="N14" s="102">
        <f>'Field data and Aber Falls'!N14</f>
        <v>0</v>
      </c>
      <c r="O14" s="102">
        <f>'Field data and Aber Falls'!O14</f>
        <v>0</v>
      </c>
      <c r="P14" s="102">
        <f>'Field data and Aber Falls'!P14</f>
        <v>0</v>
      </c>
      <c r="Q14" s="102">
        <f>'Field data and Aber Falls'!Q14</f>
        <v>0</v>
      </c>
      <c r="R14" s="102">
        <f>'Field data and Aber Falls'!R14</f>
        <v>0</v>
      </c>
      <c r="S14" s="102">
        <f>'Field data and Aber Falls'!S14</f>
        <v>0</v>
      </c>
      <c r="T14" s="102">
        <f>'Field data and Aber Falls'!T14</f>
        <v>0</v>
      </c>
      <c r="U14" s="102">
        <f>'Field data and Aber Falls'!U14</f>
        <v>0</v>
      </c>
      <c r="V14" s="102">
        <f>'Field data and Aber Falls'!V14</f>
        <v>0</v>
      </c>
      <c r="AD14" s="30" t="s">
        <v>138</v>
      </c>
      <c r="AE14" s="30">
        <v>6</v>
      </c>
      <c r="AI14" s="53" t="s">
        <v>119</v>
      </c>
      <c r="AJ14" s="54">
        <v>0.8</v>
      </c>
      <c r="AK14" s="55">
        <v>1.7</v>
      </c>
      <c r="AL14" s="11">
        <v>12</v>
      </c>
      <c r="AM14" s="11">
        <v>6.7</v>
      </c>
      <c r="AN14" s="11" t="s">
        <v>135</v>
      </c>
    </row>
    <row r="15" spans="1:41" ht="13" x14ac:dyDescent="0.25">
      <c r="A15" s="130" t="s">
        <v>9</v>
      </c>
      <c r="B15" s="130"/>
      <c r="C15" s="60">
        <f>'Field data and Aber Falls'!C15</f>
        <v>47</v>
      </c>
      <c r="D15" s="60">
        <f>'Field data and Aber Falls'!D15</f>
        <v>47</v>
      </c>
      <c r="E15" s="60">
        <f>'Field data and Aber Falls'!E15</f>
        <v>47</v>
      </c>
      <c r="F15" s="60">
        <f>'Field data and Aber Falls'!F15</f>
        <v>47</v>
      </c>
      <c r="G15" s="60">
        <f>'Field data and Aber Falls'!G15</f>
        <v>47</v>
      </c>
      <c r="H15" s="60">
        <f>'Field data and Aber Falls'!H15</f>
        <v>47</v>
      </c>
      <c r="I15" s="60">
        <f>'Field data and Aber Falls'!I15</f>
        <v>47</v>
      </c>
      <c r="J15" s="60">
        <f>'Field data and Aber Falls'!J15</f>
        <v>47</v>
      </c>
      <c r="K15" s="60">
        <f>'Field data and Aber Falls'!K15</f>
        <v>47</v>
      </c>
      <c r="L15" s="60">
        <f>'Field data and Aber Falls'!L15</f>
        <v>0</v>
      </c>
      <c r="M15" s="60">
        <f>'Field data and Aber Falls'!M15</f>
        <v>0</v>
      </c>
      <c r="N15" s="60">
        <f>'Field data and Aber Falls'!N15</f>
        <v>0</v>
      </c>
      <c r="O15" s="60">
        <f>'Field data and Aber Falls'!O15</f>
        <v>0</v>
      </c>
      <c r="P15" s="60">
        <f>'Field data and Aber Falls'!P15</f>
        <v>0</v>
      </c>
      <c r="Q15" s="60">
        <f>'Field data and Aber Falls'!Q15</f>
        <v>0</v>
      </c>
      <c r="R15" s="60">
        <f>'Field data and Aber Falls'!R15</f>
        <v>0</v>
      </c>
      <c r="S15" s="60">
        <f>'Field data and Aber Falls'!S15</f>
        <v>0</v>
      </c>
      <c r="T15" s="60">
        <f>'Field data and Aber Falls'!T15</f>
        <v>0</v>
      </c>
      <c r="U15" s="60">
        <f>'Field data and Aber Falls'!U15</f>
        <v>0</v>
      </c>
      <c r="V15" s="60">
        <f>'Field data and Aber Falls'!V15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Aber Falls'!C16</f>
        <v>Medium/Clay</v>
      </c>
      <c r="D16" s="103" t="str">
        <f>'Field data and Aber Falls'!D16</f>
        <v>Medium/Clay</v>
      </c>
      <c r="E16" s="103" t="str">
        <f>'Field data and Aber Falls'!E16</f>
        <v>Medium/Clay</v>
      </c>
      <c r="F16" s="103" t="str">
        <f>'Field data and Aber Falls'!F16</f>
        <v>Medium/Clay</v>
      </c>
      <c r="G16" s="103" t="str">
        <f>'Field data and Aber Falls'!G16</f>
        <v>Medium/Clay</v>
      </c>
      <c r="H16" s="103" t="str">
        <f>'Field data and Aber Falls'!H16</f>
        <v>Medium/Clay</v>
      </c>
      <c r="I16" s="103" t="str">
        <f>'Field data and Aber Falls'!I16</f>
        <v>Medium/Clay</v>
      </c>
      <c r="J16" s="103" t="str">
        <f>'Field data and Aber Falls'!J16</f>
        <v>Medium/Clay</v>
      </c>
      <c r="K16" s="103" t="str">
        <f>'Field data and Aber Falls'!K16</f>
        <v>Medium/Clay</v>
      </c>
      <c r="L16" s="103">
        <f>'Field data and Aber Falls'!L16</f>
        <v>0</v>
      </c>
      <c r="M16" s="103">
        <f>'Field data and Aber Falls'!M16</f>
        <v>0</v>
      </c>
      <c r="N16" s="103">
        <f>'Field data and Aber Falls'!N16</f>
        <v>0</v>
      </c>
      <c r="O16" s="103">
        <f>'Field data and Aber Falls'!O16</f>
        <v>0</v>
      </c>
      <c r="P16" s="103">
        <f>'Field data and Aber Falls'!P16</f>
        <v>0</v>
      </c>
      <c r="Q16" s="103">
        <f>'Field data and Aber Falls'!Q16</f>
        <v>0</v>
      </c>
      <c r="R16" s="103">
        <f>'Field data and Aber Falls'!R16</f>
        <v>0</v>
      </c>
      <c r="S16" s="103">
        <f>'Field data and Aber Falls'!S16</f>
        <v>0</v>
      </c>
      <c r="T16" s="103">
        <f>'Field data and Aber Falls'!T16</f>
        <v>0</v>
      </c>
      <c r="U16" s="103">
        <f>'Field data and Aber Falls'!U16</f>
        <v>0</v>
      </c>
      <c r="V16" s="103">
        <f>'Field data and Aber Falls'!V16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98.7</v>
      </c>
      <c r="D17" s="28">
        <f t="shared" ref="D17:V17" si="0">(VLOOKUP(D$14,$AI2:$AK26,2,FALSE))*D$15</f>
        <v>98.7</v>
      </c>
      <c r="E17" s="28">
        <f t="shared" si="0"/>
        <v>98.7</v>
      </c>
      <c r="F17" s="28">
        <f t="shared" si="0"/>
        <v>98.7</v>
      </c>
      <c r="G17" s="28">
        <f t="shared" si="0"/>
        <v>98.7</v>
      </c>
      <c r="H17" s="28">
        <f t="shared" si="0"/>
        <v>98.7</v>
      </c>
      <c r="I17" s="28">
        <f t="shared" si="0"/>
        <v>98.7</v>
      </c>
      <c r="J17" s="28">
        <f t="shared" si="0"/>
        <v>98.7</v>
      </c>
      <c r="K17" s="28">
        <f t="shared" si="0"/>
        <v>98.7</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4.5878420499999999</v>
      </c>
      <c r="D18" s="16">
        <f>$D32</f>
        <v>4.5878420499999999</v>
      </c>
      <c r="E18" s="16">
        <f>$D33</f>
        <v>4.5878420499999999</v>
      </c>
      <c r="F18" s="16">
        <f>$D34</f>
        <v>4.5878420499999999</v>
      </c>
      <c r="G18" s="16">
        <f>$D35</f>
        <v>4.5878420499999999</v>
      </c>
      <c r="H18" s="16">
        <f>$D36</f>
        <v>4.5878420499999999</v>
      </c>
      <c r="I18" s="16">
        <f>$D37</f>
        <v>4.5878420499999999</v>
      </c>
      <c r="J18" s="16">
        <f>$D38</f>
        <v>4.5878420499999999</v>
      </c>
      <c r="K18" s="16">
        <f>$D39</f>
        <v>4.5878420499999999</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-94.112157949999997</v>
      </c>
      <c r="D19" s="16">
        <f t="shared" ref="D19:V19" si="1">D18-D17</f>
        <v>-94.112157949999997</v>
      </c>
      <c r="E19" s="16">
        <f t="shared" si="1"/>
        <v>-94.112157949999997</v>
      </c>
      <c r="F19" s="16">
        <f t="shared" si="1"/>
        <v>-94.112157949999997</v>
      </c>
      <c r="G19" s="16">
        <f t="shared" si="1"/>
        <v>-94.112157949999997</v>
      </c>
      <c r="H19" s="16">
        <f t="shared" si="1"/>
        <v>-94.112157949999997</v>
      </c>
      <c r="I19" s="16">
        <f t="shared" si="1"/>
        <v>-94.112157949999997</v>
      </c>
      <c r="J19" s="16">
        <f t="shared" si="1"/>
        <v>-94.112157949999997</v>
      </c>
      <c r="K19" s="16">
        <f t="shared" si="1"/>
        <v>-94.112157949999997</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338.40000000000003</v>
      </c>
      <c r="D21" s="28">
        <f t="shared" ref="D21:V21" si="2">(VLOOKUP(D$14,$AI2:$AK24,3,FALSE))*D$15</f>
        <v>338.40000000000003</v>
      </c>
      <c r="E21" s="28">
        <f t="shared" si="2"/>
        <v>338.40000000000003</v>
      </c>
      <c r="F21" s="28">
        <f t="shared" si="2"/>
        <v>338.40000000000003</v>
      </c>
      <c r="G21" s="28">
        <f t="shared" si="2"/>
        <v>338.40000000000003</v>
      </c>
      <c r="H21" s="28">
        <f t="shared" si="2"/>
        <v>338.40000000000003</v>
      </c>
      <c r="I21" s="28">
        <f t="shared" si="2"/>
        <v>338.40000000000003</v>
      </c>
      <c r="J21" s="28">
        <f t="shared" si="2"/>
        <v>338.40000000000003</v>
      </c>
      <c r="K21" s="28">
        <f t="shared" si="2"/>
        <v>338.40000000000003</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8.6750962499999997E-5</v>
      </c>
      <c r="D22" s="16">
        <f>$E32</f>
        <v>8.6750962499999997E-5</v>
      </c>
      <c r="E22" s="16">
        <f>$E33</f>
        <v>8.6750962499999997E-5</v>
      </c>
      <c r="F22" s="16">
        <f>$E34</f>
        <v>8.6750962499999997E-5</v>
      </c>
      <c r="G22" s="16">
        <f>$E35</f>
        <v>8.6750962499999997E-5</v>
      </c>
      <c r="H22" s="16">
        <f>$E36</f>
        <v>8.6750962499999997E-5</v>
      </c>
      <c r="I22" s="16">
        <f>$E37</f>
        <v>8.6750962499999997E-5</v>
      </c>
      <c r="J22" s="16">
        <f>$E38</f>
        <v>8.6750962499999997E-5</v>
      </c>
      <c r="K22" s="16">
        <f>$E39</f>
        <v>8.6750962499999997E-5</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-338.39991324903752</v>
      </c>
      <c r="D23" s="16">
        <f t="shared" ref="D23:V23" si="3">D22-D21</f>
        <v>-338.39991324903752</v>
      </c>
      <c r="E23" s="16">
        <f t="shared" si="3"/>
        <v>-338.39991324903752</v>
      </c>
      <c r="F23" s="16">
        <f t="shared" si="3"/>
        <v>-338.39991324903752</v>
      </c>
      <c r="G23" s="16">
        <f t="shared" si="3"/>
        <v>-338.39991324903752</v>
      </c>
      <c r="H23" s="16">
        <f t="shared" si="3"/>
        <v>-338.39991324903752</v>
      </c>
      <c r="I23" s="16">
        <f t="shared" si="3"/>
        <v>-338.39991324903752</v>
      </c>
      <c r="J23" s="16">
        <f t="shared" si="3"/>
        <v>-338.39991324903752</v>
      </c>
      <c r="K23" s="16">
        <f t="shared" si="3"/>
        <v>-338.39991324903752</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55</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3.31</v>
      </c>
      <c r="C28" s="15">
        <v>0.56999999999999995</v>
      </c>
      <c r="D28" s="15">
        <v>2.4199999999999999E-2</v>
      </c>
      <c r="E28" s="15">
        <v>8.6999999999999994E-3</v>
      </c>
      <c r="F28" s="15">
        <v>271</v>
      </c>
      <c r="G28" s="15">
        <v>7.8</v>
      </c>
      <c r="H28" s="15">
        <v>145</v>
      </c>
      <c r="I28" s="15">
        <v>26.5</v>
      </c>
      <c r="J28" s="15">
        <v>0.74</v>
      </c>
      <c r="K28" s="23">
        <v>0.61</v>
      </c>
      <c r="L28" s="15">
        <v>43.2</v>
      </c>
      <c r="M28" s="15">
        <v>9.69</v>
      </c>
      <c r="N28" s="15">
        <v>2700</v>
      </c>
      <c r="O28" s="15">
        <v>468000</v>
      </c>
      <c r="P28" s="15"/>
      <c r="Q28" s="15">
        <v>5970</v>
      </c>
      <c r="R28" s="15"/>
      <c r="S28" s="15">
        <v>11.5</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SJC1</v>
      </c>
      <c r="B31" s="15">
        <v>250</v>
      </c>
      <c r="C31" s="77">
        <f>IF(C$27="%w/w SAR",((C$28*10)*$B31),IF(C$27="%w/w DM",(((C$28*10)*($B$28/100))*$B31),IF(C$27="kg/t SAR",(C$28*$B31),IF(C$27="kg/t DM",((C$28*($B$28/100))*$B31),IF(C$27="mg/kg SAR",((C$28*0.001)*$B31),IF(C$27="mg/kg DM",(((C$28*0.001)*($B$28/100))*$B31),0))))))</f>
        <v>47.16749999999999</v>
      </c>
      <c r="D31" s="77">
        <f>(IF(D$27="%w/w SAR",((D$28*10)*$B31),IF(D$27="%w/w DM",(((D$28*10)*($B$28/100))*$B31),IF(D$27="kg/t SAR",(D$28*$B31),IF(D$27="kg/t DM",((D$28*($B$28/100))*$B31),IF(D$27="mg/kg SAR",((D$28*0.001)*$B31),IF(D$27="mg/kg DM",(((D$28*0.001)*($B$28/100))*$B31),"0")))))))*2.291</f>
        <v>4.5878420499999999</v>
      </c>
      <c r="E31" s="77">
        <f>(IF(E$27="%w/w SAR",((E$28*10)*$B31),IF(E$27="%w/w DM",(((E$28*10)*($B$28/100))*$B31),IF(E$27="kg/t SAR",(E$28*$B31),IF(E$27="kg/t DM",((E$28*($B$28/100))*$B31),IF(E$27="mg/kg SAR",((E$28*0.001)*$B31),IF(E$27="mg/kg DM",(((E$28*0.001)*($B$28/100))*$B31),"0")))))))*1.205</f>
        <v>8.6750962499999997E-5</v>
      </c>
      <c r="F31" s="77">
        <f>(IF(F$27="%w/w SAR",((F$28*10)*$B31),IF(F$27="%w/w DM",(((F$28*10)*($B$28/100))*$B31),IF(F$27="kg/t SAR",(F$28*$B31),IF(F$27="kg/t DM",((F$28*($B$28/100))*$B31),IF(F$27="mg/kg SAR",((F$28*0.001)*$B31),IF(F$27="mg/kg DM",(((F$28*0.001)*($B$28/100))*$B31),"0")))))))*1.658</f>
        <v>3.7181064500000001</v>
      </c>
      <c r="G31" s="77">
        <f t="shared" ref="G31:P46" si="5">IF(G$27="%w/w SAR",((G$28*10)*$B31),IF(G$27="%w/w DM",(((G$28*10)*($B$28/100))*$B31),IF(G$27="kg/t SAR",(G$28*$B31),IF(G$27="kg/t DM",((G$28*($B$28/100))*$B31),IF(G$27="mg/kg SAR",((G$28*0.001)*$B31),IF(G$27="mg/kg DM",(((G$28*0.001)*($B$28/100))*$B31),0))))))</f>
        <v>6.4544999999999991E-2</v>
      </c>
      <c r="H31" s="77">
        <f t="shared" si="5"/>
        <v>1.1998749999999998</v>
      </c>
      <c r="I31" s="77">
        <f t="shared" si="5"/>
        <v>0.2192875</v>
      </c>
      <c r="J31" s="77">
        <f t="shared" si="5"/>
        <v>6.1234999999999987E-3</v>
      </c>
      <c r="K31" s="77">
        <f t="shared" si="5"/>
        <v>5.0477499999999993E-3</v>
      </c>
      <c r="L31" s="77">
        <f t="shared" si="5"/>
        <v>0.35747999999999996</v>
      </c>
      <c r="M31" s="77">
        <f t="shared" si="5"/>
        <v>8.0184749999999985E-2</v>
      </c>
      <c r="N31" s="77">
        <f t="shared" si="5"/>
        <v>22.342500000000001</v>
      </c>
      <c r="O31" s="77">
        <f t="shared" si="5"/>
        <v>3872.6999999999994</v>
      </c>
      <c r="P31" s="77">
        <f t="shared" si="5"/>
        <v>0</v>
      </c>
      <c r="Q31" s="77">
        <f>(IF(Q$27="%w/w SAR",((Q$28*10)*$B31),IF(Q$27="%w/w DM",(((Q$28*10)*($B$28/100))*$B31),IF(Q$27="kg/t SAR",(Q$28*$B31),IF(Q$27="kg/t DM",((Q$28*($B$28/100))*$B31),IF(Q$27="mg/kg SAR",((Q$28*0.001)*$B31),IF(Q$27="mg/kg DM",(((Q$28*0.001)*($B$28/100))*$B31),0)))))))*2.5</f>
        <v>123.50437499999998</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9.5162499999999983E-2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SJC2</v>
      </c>
      <c r="B32" s="15">
        <v>250</v>
      </c>
      <c r="C32" s="77">
        <f t="shared" ref="C32:C50" si="6">IF(C$27="%w/w SAR",((C$28*10)*$B32),IF(C$27="%w/w DM",(((C$28*10)*($B$28/100))*$B32),IF(C$27="kg/t SAR",(C$28*$B32),IF(C$27="kg/t DM",((C$28*($B$28/100))*$B32),IF(C$27="mg/kg SAR",((C$28*0.001)*$B32),IF(C$27="mg/kg DM",(((C$28*0.001)*($B$28/100))*$B32),0))))))</f>
        <v>47.16749999999999</v>
      </c>
      <c r="D32" s="77">
        <f t="shared" ref="D32:D50" si="7">(IF(D$27="%w/w SAR",((D$28*10)*$B32),IF(D$27="%w/w DM",(((D$28*10)*($B$28/100))*$B32),IF(D$27="kg/t SAR",(D$28*$B32),IF(D$27="kg/t DM",((D$28*($B$28/100))*$B32),IF(D$27="mg/kg SAR",((D$28*0.001)*$B32),IF(D$27="mg/kg DM",(((D$28*0.001)*($B$28/100))*$B32),"0")))))))*2.291</f>
        <v>4.5878420499999999</v>
      </c>
      <c r="E32" s="77">
        <f t="shared" ref="E32:E50" si="8">(IF(E$27="%w/w SAR",((E$28*10)*$B32),IF(E$27="%w/w DM",(((E$28*10)*($B$28/100))*$B32),IF(E$27="kg/t SAR",(E$28*$B32),IF(E$27="kg/t DM",((E$28*($B$28/100))*$B32),IF(E$27="mg/kg SAR",((E$28*0.001)*$B32),IF(E$27="mg/kg DM",(((E$28*0.001)*($B$28/100))*$B32),"0")))))))*1.205</f>
        <v>8.6750962499999997E-5</v>
      </c>
      <c r="F32" s="77">
        <f t="shared" ref="F32:F50" si="9">(IF(F$27="%w/w SAR",((F$28*10)*$B32),IF(F$27="%w/w DM",(((F$28*10)*($B$28/100))*$B32),IF(F$27="kg/t SAR",(F$28*$B32),IF(F$27="kg/t DM",((F$28*($B$28/100))*$B32),IF(F$27="mg/kg SAR",((F$28*0.001)*$B32),IF(F$27="mg/kg DM",(((F$28*0.001)*($B$28/100))*$B32),"0")))))))*1.658</f>
        <v>3.7181064500000001</v>
      </c>
      <c r="G32" s="77">
        <f t="shared" si="5"/>
        <v>6.4544999999999991E-2</v>
      </c>
      <c r="H32" s="77">
        <f t="shared" si="5"/>
        <v>1.1998749999999998</v>
      </c>
      <c r="I32" s="77">
        <f t="shared" si="5"/>
        <v>0.2192875</v>
      </c>
      <c r="J32" s="77">
        <f t="shared" si="5"/>
        <v>6.1234999999999987E-3</v>
      </c>
      <c r="K32" s="77">
        <f t="shared" si="5"/>
        <v>5.0477499999999993E-3</v>
      </c>
      <c r="L32" s="77">
        <f t="shared" si="5"/>
        <v>0.35747999999999996</v>
      </c>
      <c r="M32" s="77">
        <f t="shared" si="5"/>
        <v>8.0184749999999985E-2</v>
      </c>
      <c r="N32" s="77">
        <f t="shared" si="5"/>
        <v>22.342500000000001</v>
      </c>
      <c r="O32" s="77">
        <f t="shared" si="5"/>
        <v>3872.6999999999994</v>
      </c>
      <c r="P32" s="77">
        <f t="shared" si="5"/>
        <v>0</v>
      </c>
      <c r="Q32" s="77">
        <f t="shared" ref="Q32:Q50" si="10">(IF(Q$27="%w/w SAR",((Q$28*10)*$B32),IF(Q$27="%w/w DM",(((Q$28*10)*($B$28/100))*$B32),IF(Q$27="kg/t SAR",(Q$28*$B32),IF(Q$27="kg/t DM",((Q$28*($B$28/100))*$B32),IF(Q$27="mg/kg SAR",((Q$28*0.001)*$B32),IF(Q$27="mg/kg DM",(((Q$28*0.001)*($B$28/100))*$B32),0)))))))*2.5</f>
        <v>123.50437499999998</v>
      </c>
      <c r="R32" s="77">
        <f t="shared" ref="R32:U50" si="11">IF(R$27="%w/w SAR",((R$28*10)*$B32),IF(R$27="%w/w DM",(((R$28*10)*($B$28/100))*$B32),IF(R$27="kg/t SAR",(R$28*$B32),IF(R$27="kg/t DM",((R$28*($B$28/100))*$B32),IF(R$27="mg/kg SAR",((R$28*0.001)*$B32),IF(R$27="mg/kg DM",(((R$28*0.001)*($B$28/100))*$B32),0))))))</f>
        <v>0</v>
      </c>
      <c r="S32" s="77">
        <f t="shared" si="11"/>
        <v>9.5162499999999983E-2</v>
      </c>
      <c r="T32" s="77">
        <f t="shared" si="11"/>
        <v>0</v>
      </c>
      <c r="U32" s="77">
        <f t="shared" si="11"/>
        <v>0</v>
      </c>
      <c r="AB32" s="59"/>
      <c r="AC32" s="59"/>
      <c r="AD32" s="59"/>
      <c r="AE32" s="59"/>
      <c r="AF32" s="59"/>
      <c r="AG32" s="59"/>
      <c r="AH32" s="59"/>
      <c r="AI32" s="59"/>
    </row>
    <row r="33" spans="1:35" s="72" customFormat="1" ht="13" x14ac:dyDescent="0.35">
      <c r="A33" s="13" t="str">
        <f>E8</f>
        <v>SJC3</v>
      </c>
      <c r="B33" s="15">
        <v>250</v>
      </c>
      <c r="C33" s="77">
        <f t="shared" si="6"/>
        <v>47.16749999999999</v>
      </c>
      <c r="D33" s="77">
        <f t="shared" si="7"/>
        <v>4.5878420499999999</v>
      </c>
      <c r="E33" s="77">
        <f t="shared" si="8"/>
        <v>8.6750962499999997E-5</v>
      </c>
      <c r="F33" s="77">
        <f t="shared" si="9"/>
        <v>3.7181064500000001</v>
      </c>
      <c r="G33" s="77">
        <f t="shared" si="5"/>
        <v>6.4544999999999991E-2</v>
      </c>
      <c r="H33" s="77">
        <f t="shared" si="5"/>
        <v>1.1998749999999998</v>
      </c>
      <c r="I33" s="77">
        <f t="shared" si="5"/>
        <v>0.2192875</v>
      </c>
      <c r="J33" s="77">
        <f t="shared" si="5"/>
        <v>6.1234999999999987E-3</v>
      </c>
      <c r="K33" s="77">
        <f t="shared" si="5"/>
        <v>5.0477499999999993E-3</v>
      </c>
      <c r="L33" s="77">
        <f t="shared" si="5"/>
        <v>0.35747999999999996</v>
      </c>
      <c r="M33" s="77">
        <f t="shared" si="5"/>
        <v>8.0184749999999985E-2</v>
      </c>
      <c r="N33" s="77">
        <f t="shared" si="5"/>
        <v>22.342500000000001</v>
      </c>
      <c r="O33" s="77">
        <f t="shared" si="5"/>
        <v>3872.6999999999994</v>
      </c>
      <c r="P33" s="77">
        <f t="shared" si="5"/>
        <v>0</v>
      </c>
      <c r="Q33" s="77">
        <f t="shared" si="10"/>
        <v>123.50437499999998</v>
      </c>
      <c r="R33" s="77">
        <f t="shared" si="11"/>
        <v>0</v>
      </c>
      <c r="S33" s="77">
        <f t="shared" si="11"/>
        <v>9.5162499999999983E-2</v>
      </c>
      <c r="T33" s="77">
        <f t="shared" si="11"/>
        <v>0</v>
      </c>
      <c r="U33" s="77">
        <f t="shared" si="11"/>
        <v>0</v>
      </c>
      <c r="AB33" s="59"/>
      <c r="AC33" s="59"/>
      <c r="AD33" s="59"/>
      <c r="AE33" s="59"/>
      <c r="AF33" s="59"/>
      <c r="AG33" s="59"/>
      <c r="AH33" s="59"/>
      <c r="AI33" s="59"/>
    </row>
    <row r="34" spans="1:35" s="72" customFormat="1" ht="13" x14ac:dyDescent="0.35">
      <c r="A34" s="13" t="str">
        <f>F8</f>
        <v>SJC4</v>
      </c>
      <c r="B34" s="15">
        <v>250</v>
      </c>
      <c r="C34" s="77">
        <f t="shared" si="6"/>
        <v>47.16749999999999</v>
      </c>
      <c r="D34" s="77">
        <f t="shared" si="7"/>
        <v>4.5878420499999999</v>
      </c>
      <c r="E34" s="77">
        <f t="shared" si="8"/>
        <v>8.6750962499999997E-5</v>
      </c>
      <c r="F34" s="77">
        <f t="shared" si="9"/>
        <v>3.7181064500000001</v>
      </c>
      <c r="G34" s="77">
        <f t="shared" si="5"/>
        <v>6.4544999999999991E-2</v>
      </c>
      <c r="H34" s="77">
        <f t="shared" si="5"/>
        <v>1.1998749999999998</v>
      </c>
      <c r="I34" s="77">
        <f t="shared" si="5"/>
        <v>0.2192875</v>
      </c>
      <c r="J34" s="77">
        <f t="shared" si="5"/>
        <v>6.1234999999999987E-3</v>
      </c>
      <c r="K34" s="77">
        <f t="shared" si="5"/>
        <v>5.0477499999999993E-3</v>
      </c>
      <c r="L34" s="77">
        <f t="shared" si="5"/>
        <v>0.35747999999999996</v>
      </c>
      <c r="M34" s="77">
        <f t="shared" si="5"/>
        <v>8.0184749999999985E-2</v>
      </c>
      <c r="N34" s="77">
        <f t="shared" si="5"/>
        <v>22.342500000000001</v>
      </c>
      <c r="O34" s="77">
        <f t="shared" si="5"/>
        <v>3872.6999999999994</v>
      </c>
      <c r="P34" s="77">
        <f t="shared" si="5"/>
        <v>0</v>
      </c>
      <c r="Q34" s="77">
        <f t="shared" si="10"/>
        <v>123.50437499999998</v>
      </c>
      <c r="R34" s="77">
        <f t="shared" si="11"/>
        <v>0</v>
      </c>
      <c r="S34" s="77">
        <f t="shared" si="11"/>
        <v>9.5162499999999983E-2</v>
      </c>
      <c r="T34" s="77">
        <f t="shared" si="11"/>
        <v>0</v>
      </c>
      <c r="U34" s="77">
        <f t="shared" si="11"/>
        <v>0</v>
      </c>
      <c r="AB34" s="59"/>
      <c r="AC34" s="59"/>
      <c r="AD34" s="59"/>
      <c r="AE34" s="59"/>
      <c r="AF34" s="59"/>
      <c r="AG34" s="59"/>
      <c r="AH34" s="59"/>
      <c r="AI34" s="59"/>
    </row>
    <row r="35" spans="1:35" s="72" customFormat="1" ht="13" x14ac:dyDescent="0.35">
      <c r="A35" s="13" t="str">
        <f>G8</f>
        <v>SJC5</v>
      </c>
      <c r="B35" s="15">
        <v>250</v>
      </c>
      <c r="C35" s="77">
        <f t="shared" si="6"/>
        <v>47.16749999999999</v>
      </c>
      <c r="D35" s="77">
        <f t="shared" si="7"/>
        <v>4.5878420499999999</v>
      </c>
      <c r="E35" s="77">
        <f t="shared" si="8"/>
        <v>8.6750962499999997E-5</v>
      </c>
      <c r="F35" s="77">
        <f t="shared" si="9"/>
        <v>3.7181064500000001</v>
      </c>
      <c r="G35" s="77">
        <f t="shared" si="5"/>
        <v>6.4544999999999991E-2</v>
      </c>
      <c r="H35" s="77">
        <f t="shared" si="5"/>
        <v>1.1998749999999998</v>
      </c>
      <c r="I35" s="77">
        <f t="shared" si="5"/>
        <v>0.2192875</v>
      </c>
      <c r="J35" s="77">
        <f t="shared" si="5"/>
        <v>6.1234999999999987E-3</v>
      </c>
      <c r="K35" s="77">
        <f t="shared" si="5"/>
        <v>5.0477499999999993E-3</v>
      </c>
      <c r="L35" s="77">
        <f t="shared" si="5"/>
        <v>0.35747999999999996</v>
      </c>
      <c r="M35" s="77">
        <f t="shared" si="5"/>
        <v>8.0184749999999985E-2</v>
      </c>
      <c r="N35" s="77">
        <f t="shared" si="5"/>
        <v>22.342500000000001</v>
      </c>
      <c r="O35" s="77">
        <f t="shared" si="5"/>
        <v>3872.6999999999994</v>
      </c>
      <c r="P35" s="77">
        <f t="shared" si="5"/>
        <v>0</v>
      </c>
      <c r="Q35" s="77">
        <f t="shared" si="10"/>
        <v>123.50437499999998</v>
      </c>
      <c r="R35" s="77">
        <f t="shared" si="11"/>
        <v>0</v>
      </c>
      <c r="S35" s="77">
        <f t="shared" si="11"/>
        <v>9.5162499999999983E-2</v>
      </c>
      <c r="T35" s="77">
        <f t="shared" si="11"/>
        <v>0</v>
      </c>
      <c r="U35" s="77">
        <f t="shared" si="11"/>
        <v>0</v>
      </c>
      <c r="AB35" s="59"/>
      <c r="AC35" s="59"/>
      <c r="AD35" s="59"/>
      <c r="AE35" s="59"/>
      <c r="AF35" s="59"/>
      <c r="AG35" s="59"/>
      <c r="AH35" s="59"/>
      <c r="AI35" s="59"/>
    </row>
    <row r="36" spans="1:35" s="72" customFormat="1" ht="13" x14ac:dyDescent="0.35">
      <c r="A36" s="13" t="str">
        <f>H8</f>
        <v>SJC6</v>
      </c>
      <c r="B36" s="15">
        <v>250</v>
      </c>
      <c r="C36" s="77">
        <f t="shared" si="6"/>
        <v>47.16749999999999</v>
      </c>
      <c r="D36" s="77">
        <f t="shared" si="7"/>
        <v>4.5878420499999999</v>
      </c>
      <c r="E36" s="77">
        <f t="shared" si="8"/>
        <v>8.6750962499999997E-5</v>
      </c>
      <c r="F36" s="77">
        <f t="shared" si="9"/>
        <v>3.7181064500000001</v>
      </c>
      <c r="G36" s="77">
        <f t="shared" si="5"/>
        <v>6.4544999999999991E-2</v>
      </c>
      <c r="H36" s="77">
        <f t="shared" si="5"/>
        <v>1.1998749999999998</v>
      </c>
      <c r="I36" s="77">
        <f t="shared" si="5"/>
        <v>0.2192875</v>
      </c>
      <c r="J36" s="77">
        <f t="shared" si="5"/>
        <v>6.1234999999999987E-3</v>
      </c>
      <c r="K36" s="77">
        <f t="shared" si="5"/>
        <v>5.0477499999999993E-3</v>
      </c>
      <c r="L36" s="77">
        <f t="shared" si="5"/>
        <v>0.35747999999999996</v>
      </c>
      <c r="M36" s="77">
        <f t="shared" si="5"/>
        <v>8.0184749999999985E-2</v>
      </c>
      <c r="N36" s="77">
        <f t="shared" si="5"/>
        <v>22.342500000000001</v>
      </c>
      <c r="O36" s="77">
        <f t="shared" si="5"/>
        <v>3872.6999999999994</v>
      </c>
      <c r="P36" s="77">
        <f t="shared" si="5"/>
        <v>0</v>
      </c>
      <c r="Q36" s="77">
        <f t="shared" si="10"/>
        <v>123.50437499999998</v>
      </c>
      <c r="R36" s="77">
        <f t="shared" si="11"/>
        <v>0</v>
      </c>
      <c r="S36" s="77">
        <f t="shared" si="11"/>
        <v>9.5162499999999983E-2</v>
      </c>
      <c r="T36" s="77">
        <f t="shared" si="11"/>
        <v>0</v>
      </c>
      <c r="U36" s="77">
        <f t="shared" si="11"/>
        <v>0</v>
      </c>
      <c r="AB36" s="59"/>
      <c r="AC36" s="59"/>
      <c r="AD36" s="59"/>
      <c r="AE36" s="59"/>
      <c r="AF36" s="59"/>
      <c r="AG36" s="59"/>
      <c r="AH36" s="59"/>
      <c r="AI36" s="59"/>
    </row>
    <row r="37" spans="1:35" s="72" customFormat="1" ht="13" x14ac:dyDescent="0.35">
      <c r="A37" s="13" t="str">
        <f>I8</f>
        <v>SJC7</v>
      </c>
      <c r="B37" s="15">
        <v>250</v>
      </c>
      <c r="C37" s="77">
        <f t="shared" si="6"/>
        <v>47.16749999999999</v>
      </c>
      <c r="D37" s="77">
        <f t="shared" si="7"/>
        <v>4.5878420499999999</v>
      </c>
      <c r="E37" s="77">
        <f t="shared" si="8"/>
        <v>8.6750962499999997E-5</v>
      </c>
      <c r="F37" s="77">
        <f t="shared" si="9"/>
        <v>3.7181064500000001</v>
      </c>
      <c r="G37" s="77">
        <f t="shared" si="5"/>
        <v>6.4544999999999991E-2</v>
      </c>
      <c r="H37" s="77">
        <f t="shared" si="5"/>
        <v>1.1998749999999998</v>
      </c>
      <c r="I37" s="77">
        <f t="shared" si="5"/>
        <v>0.2192875</v>
      </c>
      <c r="J37" s="77">
        <f t="shared" si="5"/>
        <v>6.1234999999999987E-3</v>
      </c>
      <c r="K37" s="77">
        <f t="shared" si="5"/>
        <v>5.0477499999999993E-3</v>
      </c>
      <c r="L37" s="77">
        <f t="shared" si="5"/>
        <v>0.35747999999999996</v>
      </c>
      <c r="M37" s="77">
        <f t="shared" si="5"/>
        <v>8.0184749999999985E-2</v>
      </c>
      <c r="N37" s="77">
        <f t="shared" si="5"/>
        <v>22.342500000000001</v>
      </c>
      <c r="O37" s="77">
        <f t="shared" si="5"/>
        <v>3872.6999999999994</v>
      </c>
      <c r="P37" s="77">
        <f t="shared" si="5"/>
        <v>0</v>
      </c>
      <c r="Q37" s="77">
        <f t="shared" si="10"/>
        <v>123.50437499999998</v>
      </c>
      <c r="R37" s="77">
        <f t="shared" si="11"/>
        <v>0</v>
      </c>
      <c r="S37" s="77">
        <f t="shared" si="11"/>
        <v>9.5162499999999983E-2</v>
      </c>
      <c r="T37" s="77">
        <f t="shared" si="11"/>
        <v>0</v>
      </c>
      <c r="U37" s="77">
        <f t="shared" si="11"/>
        <v>0</v>
      </c>
      <c r="AB37" s="59"/>
      <c r="AC37" s="59"/>
      <c r="AD37" s="59"/>
      <c r="AE37" s="59"/>
      <c r="AF37" s="59"/>
      <c r="AG37" s="59"/>
      <c r="AH37" s="59"/>
      <c r="AI37" s="59"/>
    </row>
    <row r="38" spans="1:35" s="72" customFormat="1" ht="13" x14ac:dyDescent="0.35">
      <c r="A38" s="13" t="str">
        <f>J8</f>
        <v>Bonolwyn A</v>
      </c>
      <c r="B38" s="15">
        <v>250</v>
      </c>
      <c r="C38" s="77">
        <f t="shared" si="6"/>
        <v>47.16749999999999</v>
      </c>
      <c r="D38" s="77">
        <f t="shared" si="7"/>
        <v>4.5878420499999999</v>
      </c>
      <c r="E38" s="77">
        <f t="shared" si="8"/>
        <v>8.6750962499999997E-5</v>
      </c>
      <c r="F38" s="77">
        <f t="shared" si="9"/>
        <v>3.7181064500000001</v>
      </c>
      <c r="G38" s="77">
        <f t="shared" si="5"/>
        <v>6.4544999999999991E-2</v>
      </c>
      <c r="H38" s="77">
        <f t="shared" si="5"/>
        <v>1.1998749999999998</v>
      </c>
      <c r="I38" s="77">
        <f t="shared" si="5"/>
        <v>0.2192875</v>
      </c>
      <c r="J38" s="77">
        <f t="shared" si="5"/>
        <v>6.1234999999999987E-3</v>
      </c>
      <c r="K38" s="77">
        <f t="shared" si="5"/>
        <v>5.0477499999999993E-3</v>
      </c>
      <c r="L38" s="77">
        <f t="shared" si="5"/>
        <v>0.35747999999999996</v>
      </c>
      <c r="M38" s="77">
        <f t="shared" si="5"/>
        <v>8.0184749999999985E-2</v>
      </c>
      <c r="N38" s="77">
        <f t="shared" si="5"/>
        <v>22.342500000000001</v>
      </c>
      <c r="O38" s="77">
        <f t="shared" si="5"/>
        <v>3872.6999999999994</v>
      </c>
      <c r="P38" s="77">
        <f t="shared" si="5"/>
        <v>0</v>
      </c>
      <c r="Q38" s="77">
        <f t="shared" si="10"/>
        <v>123.50437499999998</v>
      </c>
      <c r="R38" s="77">
        <f t="shared" si="11"/>
        <v>0</v>
      </c>
      <c r="S38" s="77">
        <f t="shared" si="11"/>
        <v>9.5162499999999983E-2</v>
      </c>
      <c r="T38" s="77">
        <f t="shared" si="11"/>
        <v>0</v>
      </c>
      <c r="U38" s="77">
        <f t="shared" si="11"/>
        <v>0</v>
      </c>
      <c r="AB38" s="59"/>
      <c r="AC38" s="59"/>
      <c r="AD38" s="59"/>
      <c r="AE38" s="59"/>
      <c r="AF38" s="59"/>
      <c r="AG38" s="59"/>
      <c r="AH38" s="59"/>
      <c r="AI38" s="59"/>
    </row>
    <row r="39" spans="1:35" s="72" customFormat="1" ht="13" x14ac:dyDescent="0.35">
      <c r="A39" s="13" t="str">
        <f>K8</f>
        <v>Bodnolwyn B</v>
      </c>
      <c r="B39" s="15">
        <v>250</v>
      </c>
      <c r="C39" s="77">
        <f t="shared" si="6"/>
        <v>47.16749999999999</v>
      </c>
      <c r="D39" s="77">
        <f t="shared" si="7"/>
        <v>4.5878420499999999</v>
      </c>
      <c r="E39" s="77">
        <f t="shared" si="8"/>
        <v>8.6750962499999997E-5</v>
      </c>
      <c r="F39" s="77">
        <f t="shared" si="9"/>
        <v>3.7181064500000001</v>
      </c>
      <c r="G39" s="77">
        <f t="shared" si="5"/>
        <v>6.4544999999999991E-2</v>
      </c>
      <c r="H39" s="77">
        <f t="shared" si="5"/>
        <v>1.1998749999999998</v>
      </c>
      <c r="I39" s="77">
        <f t="shared" si="5"/>
        <v>0.2192875</v>
      </c>
      <c r="J39" s="77">
        <f t="shared" si="5"/>
        <v>6.1234999999999987E-3</v>
      </c>
      <c r="K39" s="77">
        <f t="shared" si="5"/>
        <v>5.0477499999999993E-3</v>
      </c>
      <c r="L39" s="77">
        <f t="shared" si="5"/>
        <v>0.35747999999999996</v>
      </c>
      <c r="M39" s="77">
        <f t="shared" si="5"/>
        <v>8.0184749999999985E-2</v>
      </c>
      <c r="N39" s="77">
        <f t="shared" si="5"/>
        <v>22.342500000000001</v>
      </c>
      <c r="O39" s="77">
        <f t="shared" si="5"/>
        <v>3872.6999999999994</v>
      </c>
      <c r="P39" s="77">
        <f t="shared" si="5"/>
        <v>0</v>
      </c>
      <c r="Q39" s="77">
        <f t="shared" si="10"/>
        <v>123.50437499999998</v>
      </c>
      <c r="R39" s="77">
        <f t="shared" si="11"/>
        <v>0</v>
      </c>
      <c r="S39" s="77">
        <f t="shared" si="11"/>
        <v>9.5162499999999983E-2</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SJC1</v>
      </c>
      <c r="C57" s="8" t="str">
        <f t="shared" ref="C57:U57" si="13">D8</f>
        <v>SJC2</v>
      </c>
      <c r="D57" s="8" t="str">
        <f t="shared" si="13"/>
        <v>SJC3</v>
      </c>
      <c r="E57" s="8" t="str">
        <f t="shared" si="13"/>
        <v>SJC4</v>
      </c>
      <c r="F57" s="8" t="str">
        <f t="shared" si="13"/>
        <v>SJC5</v>
      </c>
      <c r="G57" s="8" t="str">
        <f t="shared" si="13"/>
        <v>SJC6</v>
      </c>
      <c r="H57" s="8" t="str">
        <f t="shared" si="13"/>
        <v>SJC7</v>
      </c>
      <c r="I57" s="8" t="str">
        <f t="shared" si="13"/>
        <v>Bonolwyn A</v>
      </c>
      <c r="J57" s="8" t="str">
        <f t="shared" si="13"/>
        <v>Bodnolwyn B</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f>VLOOKUP(C$14,Table245811[],5,FALSE)</f>
        <v>6.2</v>
      </c>
      <c r="C59" s="76">
        <f>VLOOKUP(D$14,Table245811[],5,FALSE)</f>
        <v>6.2</v>
      </c>
      <c r="D59" s="76">
        <f>VLOOKUP(E$14,Table245811[],5,FALSE)</f>
        <v>6.2</v>
      </c>
      <c r="E59" s="76">
        <f>VLOOKUP(F$14,Table245811[],5,FALSE)</f>
        <v>6.2</v>
      </c>
      <c r="F59" s="76">
        <f>VLOOKUP(G$14,Table245811[],5,FALSE)</f>
        <v>6.2</v>
      </c>
      <c r="G59" s="76">
        <f>VLOOKUP(H$14,Table245811[],5,FALSE)</f>
        <v>6.2</v>
      </c>
      <c r="H59" s="76">
        <f>VLOOKUP(I$14,Table245811[],5,FALSE)</f>
        <v>6.2</v>
      </c>
      <c r="I59" s="76">
        <f>VLOOKUP(J$14,Table245811[],5,FALSE)</f>
        <v>6.2</v>
      </c>
      <c r="J59" s="76">
        <f>VLOOKUP(K$14,Table245811[],5,FALSE)</f>
        <v>6.2</v>
      </c>
      <c r="K59" s="76" t="e">
        <f>VLOOKUP(L$14,Table245811[],5,FALSE)</f>
        <v>#N/A</v>
      </c>
      <c r="L59" s="76" t="e">
        <f>VLOOKUP(M$14,Table245811[],5,FALSE)</f>
        <v>#N/A</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6.4</v>
      </c>
      <c r="C60" s="76">
        <f t="shared" ref="C60:U60" si="14">D10</f>
        <v>5.8</v>
      </c>
      <c r="D60" s="76">
        <f t="shared" si="14"/>
        <v>6</v>
      </c>
      <c r="E60" s="76">
        <f t="shared" si="14"/>
        <v>6</v>
      </c>
      <c r="F60" s="76">
        <f t="shared" si="14"/>
        <v>5.9</v>
      </c>
      <c r="G60" s="76">
        <f t="shared" si="14"/>
        <v>6.1</v>
      </c>
      <c r="H60" s="76">
        <f t="shared" si="14"/>
        <v>5.8</v>
      </c>
      <c r="I60" s="76">
        <f t="shared" si="14"/>
        <v>5.8</v>
      </c>
      <c r="J60" s="76">
        <f t="shared" si="14"/>
        <v>5.7</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250</v>
      </c>
      <c r="J62" s="77">
        <f>B39</f>
        <v>250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-1.2000000000000011</v>
      </c>
      <c r="C64" s="77">
        <f t="shared" ref="C64:U64" si="17">(C59-C60)*C61</f>
        <v>2.4000000000000021</v>
      </c>
      <c r="D64" s="77">
        <f t="shared" si="17"/>
        <v>1.2000000000000011</v>
      </c>
      <c r="E64" s="77">
        <f t="shared" si="17"/>
        <v>1.2000000000000011</v>
      </c>
      <c r="F64" s="77">
        <f t="shared" si="17"/>
        <v>1.7999999999999989</v>
      </c>
      <c r="G64" s="77">
        <f t="shared" si="17"/>
        <v>0.6000000000000032</v>
      </c>
      <c r="H64" s="77">
        <f t="shared" si="17"/>
        <v>2.4000000000000021</v>
      </c>
      <c r="I64" s="77">
        <f t="shared" si="17"/>
        <v>2.4000000000000021</v>
      </c>
      <c r="J64" s="77">
        <f t="shared" si="17"/>
        <v>3</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1.2000000000000011</v>
      </c>
      <c r="C65" s="77">
        <f t="shared" ref="C65:U65" si="18">C63-C64</f>
        <v>-2.4000000000000021</v>
      </c>
      <c r="D65" s="77">
        <f t="shared" si="18"/>
        <v>-1.2000000000000011</v>
      </c>
      <c r="E65" s="77">
        <f t="shared" si="18"/>
        <v>-1.2000000000000011</v>
      </c>
      <c r="F65" s="77">
        <f t="shared" si="18"/>
        <v>-1.7999999999999989</v>
      </c>
      <c r="G65" s="77">
        <f t="shared" si="18"/>
        <v>-0.6000000000000032</v>
      </c>
      <c r="H65" s="77">
        <f t="shared" si="18"/>
        <v>-2.4000000000000021</v>
      </c>
      <c r="I65" s="77">
        <f t="shared" si="18"/>
        <v>-2.4000000000000021</v>
      </c>
      <c r="J65" s="77">
        <f t="shared" si="18"/>
        <v>-3</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35" priority="37" operator="equal">
      <formula>"DECREASE"</formula>
    </cfRule>
    <cfRule type="cellIs" dxfId="334" priority="38" operator="equal">
      <formula>"INCREASE"</formula>
    </cfRule>
  </conditionalFormatting>
  <conditionalFormatting sqref="B62:U66 B31:B50">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abSelected="1" zoomScale="90" zoomScaleNormal="90" workbookViewId="0">
      <selection activeCell="S27" sqref="S2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Aber Falls'!C1:D1</f>
        <v>PAN-019961</v>
      </c>
      <c r="D1" s="141"/>
      <c r="E1" s="93" t="s">
        <v>45</v>
      </c>
      <c r="F1" s="39">
        <f>'Field data and Aber Falls'!F1</f>
        <v>48</v>
      </c>
      <c r="G1" s="120" t="s">
        <v>43</v>
      </c>
      <c r="H1" s="121"/>
      <c r="I1" s="118">
        <v>6.5</v>
      </c>
      <c r="J1" s="119" t="s">
        <v>153</v>
      </c>
      <c r="K1" s="119"/>
      <c r="L1" s="97">
        <v>507</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Aber Falls'!C2:D2</f>
        <v>EPR/GP3792SK</v>
      </c>
      <c r="D2" s="143"/>
      <c r="E2" s="93" t="s">
        <v>109</v>
      </c>
      <c r="F2" s="96" t="s">
        <v>174</v>
      </c>
      <c r="G2" s="138" t="s">
        <v>110</v>
      </c>
      <c r="H2" s="139"/>
      <c r="I2" s="118"/>
      <c r="J2" s="119" t="s">
        <v>158</v>
      </c>
      <c r="K2" s="119"/>
      <c r="L2" s="97">
        <v>1.17</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Aber Falls'!C3:D3</f>
        <v>ByProduct Recovery Ltd</v>
      </c>
      <c r="D3" s="143"/>
      <c r="E3" s="93" t="s">
        <v>108</v>
      </c>
      <c r="F3" s="31" t="s">
        <v>78</v>
      </c>
      <c r="G3" s="119" t="s">
        <v>159</v>
      </c>
      <c r="H3" s="119"/>
      <c r="I3" s="118"/>
      <c r="J3" s="120" t="s">
        <v>154</v>
      </c>
      <c r="K3" s="121"/>
      <c r="L3" s="97">
        <f>(L1/(L2*10000))*100</f>
        <v>4.3333333333333339</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Aber Falls'!C4:D4</f>
        <v>Plas Bach, Cerrigceinwen, Bodorgan, LL62 5NS</v>
      </c>
      <c r="D4" s="141"/>
      <c r="E4" s="94" t="s">
        <v>1</v>
      </c>
      <c r="F4" s="96" t="s">
        <v>179</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Aber Falls'!C5:D5</f>
        <v>Bryan Burn</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'Field data and Aber Falls'!C8</f>
        <v>SJC1</v>
      </c>
      <c r="D8" s="60" t="str">
        <f>'Field data and Aber Falls'!D8</f>
        <v>SJC2</v>
      </c>
      <c r="E8" s="60" t="str">
        <f>'Field data and Aber Falls'!E8</f>
        <v>SJC3</v>
      </c>
      <c r="F8" s="60" t="str">
        <f>'Field data and Aber Falls'!F8</f>
        <v>SJC4</v>
      </c>
      <c r="G8" s="60" t="str">
        <f>'Field data and Aber Falls'!G8</f>
        <v>SJC5</v>
      </c>
      <c r="H8" s="60" t="str">
        <f>'Field data and Aber Falls'!H8</f>
        <v>SJC6</v>
      </c>
      <c r="I8" s="60" t="str">
        <f>'Field data and Aber Falls'!I8</f>
        <v>SJC7</v>
      </c>
      <c r="J8" s="60" t="str">
        <f>'Field data and Aber Falls'!J8</f>
        <v>Bonolwyn A</v>
      </c>
      <c r="K8" s="60" t="str">
        <f>'Field data and Aber Falls'!K8</f>
        <v>Bodnolwyn B</v>
      </c>
      <c r="L8" s="60">
        <f>'Field data and Aber Falls'!L8</f>
        <v>0</v>
      </c>
      <c r="M8" s="60">
        <f>'Field data and Aber Falls'!M8</f>
        <v>0</v>
      </c>
      <c r="N8" s="60">
        <f>'Field data and Aber Falls'!N8</f>
        <v>0</v>
      </c>
      <c r="O8" s="60">
        <f>'Field data and Aber Falls'!O8</f>
        <v>0</v>
      </c>
      <c r="P8" s="60">
        <f>'Field data and Aber Falls'!P8</f>
        <v>0</v>
      </c>
      <c r="Q8" s="60">
        <f>'Field data and Aber Falls'!Q8</f>
        <v>0</v>
      </c>
      <c r="R8" s="60">
        <f>'Field data and Aber Falls'!R8</f>
        <v>0</v>
      </c>
      <c r="S8" s="60">
        <f>'Field data and Aber Falls'!S8</f>
        <v>0</v>
      </c>
      <c r="T8" s="60">
        <f>'Field data and Aber Falls'!T8</f>
        <v>0</v>
      </c>
      <c r="U8" s="60">
        <f>'Field data and Aber Falls'!U8</f>
        <v>0</v>
      </c>
      <c r="V8" s="60">
        <f>'Field data and Aber Falls'!V8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Aber Falls'!C9</f>
        <v>med</v>
      </c>
      <c r="D9" s="60" t="str">
        <f>'Field data and Aber Falls'!D9</f>
        <v>med</v>
      </c>
      <c r="E9" s="60" t="str">
        <f>'Field data and Aber Falls'!E9</f>
        <v>med</v>
      </c>
      <c r="F9" s="60" t="str">
        <f>'Field data and Aber Falls'!F9</f>
        <v>med</v>
      </c>
      <c r="G9" s="60" t="str">
        <f>'Field data and Aber Falls'!G9</f>
        <v>med</v>
      </c>
      <c r="H9" s="60" t="str">
        <f>'Field data and Aber Falls'!H9</f>
        <v>med</v>
      </c>
      <c r="I9" s="60" t="str">
        <f>'Field data and Aber Falls'!I9</f>
        <v>med</v>
      </c>
      <c r="J9" s="60" t="str">
        <f>'Field data and Aber Falls'!J9</f>
        <v>med</v>
      </c>
      <c r="K9" s="60" t="str">
        <f>'Field data and Aber Falls'!K9</f>
        <v>med</v>
      </c>
      <c r="L9" s="60">
        <f>'Field data and Aber Falls'!L9</f>
        <v>0</v>
      </c>
      <c r="M9" s="60">
        <f>'Field data and Aber Falls'!M9</f>
        <v>0</v>
      </c>
      <c r="N9" s="60">
        <f>'Field data and Aber Falls'!N9</f>
        <v>0</v>
      </c>
      <c r="O9" s="60">
        <f>'Field data and Aber Falls'!O9</f>
        <v>0</v>
      </c>
      <c r="P9" s="60">
        <f>'Field data and Aber Falls'!P9</f>
        <v>0</v>
      </c>
      <c r="Q9" s="60">
        <f>'Field data and Aber Falls'!Q9</f>
        <v>0</v>
      </c>
      <c r="R9" s="60">
        <f>'Field data and Aber Falls'!R9</f>
        <v>0</v>
      </c>
      <c r="S9" s="60">
        <f>'Field data and Aber Falls'!S9</f>
        <v>0</v>
      </c>
      <c r="T9" s="60">
        <f>'Field data and Aber Falls'!T9</f>
        <v>0</v>
      </c>
      <c r="U9" s="60">
        <f>'Field data and Aber Falls'!U9</f>
        <v>0</v>
      </c>
      <c r="V9" s="60">
        <f>'Field data and Aber Falls'!V9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Aber Falls'!C10</f>
        <v>6.4</v>
      </c>
      <c r="D10" s="60">
        <f>'Field data and Aber Falls'!D10</f>
        <v>5.8</v>
      </c>
      <c r="E10" s="60">
        <f>'Field data and Aber Falls'!E10</f>
        <v>6</v>
      </c>
      <c r="F10" s="60">
        <f>'Field data and Aber Falls'!F10</f>
        <v>6</v>
      </c>
      <c r="G10" s="60">
        <f>'Field data and Aber Falls'!G10</f>
        <v>5.9</v>
      </c>
      <c r="H10" s="60">
        <f>'Field data and Aber Falls'!H10</f>
        <v>6.1</v>
      </c>
      <c r="I10" s="60">
        <f>'Field data and Aber Falls'!I10</f>
        <v>5.8</v>
      </c>
      <c r="J10" s="60">
        <f>'Field data and Aber Falls'!J10</f>
        <v>5.8</v>
      </c>
      <c r="K10" s="60">
        <f>'Field data and Aber Falls'!K10</f>
        <v>5.7</v>
      </c>
      <c r="L10" s="60">
        <f>'Field data and Aber Falls'!L10</f>
        <v>0</v>
      </c>
      <c r="M10" s="60">
        <f>'Field data and Aber Falls'!M10</f>
        <v>0</v>
      </c>
      <c r="N10" s="60">
        <f>'Field data and Aber Falls'!N10</f>
        <v>0</v>
      </c>
      <c r="O10" s="60">
        <f>'Field data and Aber Falls'!O10</f>
        <v>0</v>
      </c>
      <c r="P10" s="60">
        <f>'Field data and Aber Falls'!P10</f>
        <v>0</v>
      </c>
      <c r="Q10" s="60">
        <f>'Field data and Aber Falls'!Q10</f>
        <v>0</v>
      </c>
      <c r="R10" s="60">
        <f>'Field data and Aber Falls'!R10</f>
        <v>0</v>
      </c>
      <c r="S10" s="60">
        <f>'Field data and Aber Falls'!S10</f>
        <v>0</v>
      </c>
      <c r="T10" s="60">
        <f>'Field data and Aber Falls'!T10</f>
        <v>0</v>
      </c>
      <c r="U10" s="60">
        <f>'Field data and Aber Falls'!U10</f>
        <v>0</v>
      </c>
      <c r="V10" s="60">
        <f>'Field data and Aber Falls'!V10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Aber Falls'!C11</f>
        <v>2</v>
      </c>
      <c r="D11" s="60">
        <f>'Field data and Aber Falls'!D11</f>
        <v>2</v>
      </c>
      <c r="E11" s="60">
        <f>'Field data and Aber Falls'!E11</f>
        <v>3</v>
      </c>
      <c r="F11" s="60">
        <f>'Field data and Aber Falls'!F11</f>
        <v>1</v>
      </c>
      <c r="G11" s="60">
        <f>'Field data and Aber Falls'!G11</f>
        <v>0</v>
      </c>
      <c r="H11" s="60">
        <f>'Field data and Aber Falls'!H11</f>
        <v>3</v>
      </c>
      <c r="I11" s="60">
        <f>'Field data and Aber Falls'!I11</f>
        <v>2</v>
      </c>
      <c r="J11" s="60">
        <f>'Field data and Aber Falls'!J11</f>
        <v>2</v>
      </c>
      <c r="K11" s="60">
        <f>'Field data and Aber Falls'!K11</f>
        <v>2</v>
      </c>
      <c r="L11" s="60">
        <f>'Field data and Aber Falls'!L11</f>
        <v>0</v>
      </c>
      <c r="M11" s="60">
        <f>'Field data and Aber Falls'!M11</f>
        <v>0</v>
      </c>
      <c r="N11" s="60">
        <f>'Field data and Aber Falls'!N11</f>
        <v>0</v>
      </c>
      <c r="O11" s="60">
        <f>'Field data and Aber Falls'!O11</f>
        <v>0</v>
      </c>
      <c r="P11" s="60">
        <f>'Field data and Aber Falls'!P11</f>
        <v>0</v>
      </c>
      <c r="Q11" s="60">
        <f>'Field data and Aber Falls'!Q11</f>
        <v>0</v>
      </c>
      <c r="R11" s="60">
        <f>'Field data and Aber Falls'!R11</f>
        <v>0</v>
      </c>
      <c r="S11" s="60">
        <f>'Field data and Aber Falls'!S11</f>
        <v>0</v>
      </c>
      <c r="T11" s="60">
        <f>'Field data and Aber Falls'!T11</f>
        <v>0</v>
      </c>
      <c r="U11" s="60">
        <f>'Field data and Aber Falls'!U11</f>
        <v>0</v>
      </c>
      <c r="V11" s="60">
        <f>'Field data and Aber Falls'!V11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Aber Falls'!C12</f>
        <v>3</v>
      </c>
      <c r="D12" s="60">
        <f>'Field data and Aber Falls'!D12</f>
        <v>4</v>
      </c>
      <c r="E12" s="60">
        <f>'Field data and Aber Falls'!E12</f>
        <v>4</v>
      </c>
      <c r="F12" s="60">
        <f>'Field data and Aber Falls'!F12</f>
        <v>1</v>
      </c>
      <c r="G12" s="60">
        <f>'Field data and Aber Falls'!G12</f>
        <v>1</v>
      </c>
      <c r="H12" s="60">
        <f>'Field data and Aber Falls'!H12</f>
        <v>2</v>
      </c>
      <c r="I12" s="60">
        <f>'Field data and Aber Falls'!I12</f>
        <v>1</v>
      </c>
      <c r="J12" s="60">
        <f>'Field data and Aber Falls'!J12</f>
        <v>2</v>
      </c>
      <c r="K12" s="60">
        <f>'Field data and Aber Falls'!K12</f>
        <v>2</v>
      </c>
      <c r="L12" s="60">
        <f>'Field data and Aber Falls'!L12</f>
        <v>0</v>
      </c>
      <c r="M12" s="60">
        <f>'Field data and Aber Falls'!M12</f>
        <v>0</v>
      </c>
      <c r="N12" s="60">
        <f>'Field data and Aber Falls'!N12</f>
        <v>0</v>
      </c>
      <c r="O12" s="60">
        <f>'Field data and Aber Falls'!O12</f>
        <v>0</v>
      </c>
      <c r="P12" s="60">
        <f>'Field data and Aber Falls'!P12</f>
        <v>0</v>
      </c>
      <c r="Q12" s="60">
        <f>'Field data and Aber Falls'!Q12</f>
        <v>0</v>
      </c>
      <c r="R12" s="60">
        <f>'Field data and Aber Falls'!R12</f>
        <v>0</v>
      </c>
      <c r="S12" s="60">
        <f>'Field data and Aber Falls'!S12</f>
        <v>0</v>
      </c>
      <c r="T12" s="60">
        <f>'Field data and Aber Falls'!T12</f>
        <v>0</v>
      </c>
      <c r="U12" s="60">
        <f>'Field data and Aber Falls'!U12</f>
        <v>0</v>
      </c>
      <c r="V12" s="60">
        <f>'Field data and Aber Falls'!V12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Aber Falls'!C13</f>
        <v>4</v>
      </c>
      <c r="D13" s="60">
        <f>'Field data and Aber Falls'!D13</f>
        <v>3</v>
      </c>
      <c r="E13" s="60">
        <f>'Field data and Aber Falls'!E13</f>
        <v>3</v>
      </c>
      <c r="F13" s="60">
        <f>'Field data and Aber Falls'!F13</f>
        <v>3</v>
      </c>
      <c r="G13" s="60">
        <f>'Field data and Aber Falls'!G13</f>
        <v>3</v>
      </c>
      <c r="H13" s="60">
        <f>'Field data and Aber Falls'!H13</f>
        <v>3</v>
      </c>
      <c r="I13" s="60">
        <f>'Field data and Aber Falls'!I13</f>
        <v>3</v>
      </c>
      <c r="J13" s="60">
        <f>'Field data and Aber Falls'!J13</f>
        <v>3</v>
      </c>
      <c r="K13" s="60">
        <f>'Field data and Aber Falls'!K13</f>
        <v>3</v>
      </c>
      <c r="L13" s="60">
        <f>'Field data and Aber Falls'!L13</f>
        <v>0</v>
      </c>
      <c r="M13" s="60">
        <f>'Field data and Aber Falls'!M13</f>
        <v>0</v>
      </c>
      <c r="N13" s="60">
        <f>'Field data and Aber Falls'!N13</f>
        <v>0</v>
      </c>
      <c r="O13" s="60">
        <f>'Field data and Aber Falls'!O13</f>
        <v>0</v>
      </c>
      <c r="P13" s="60">
        <f>'Field data and Aber Falls'!P13</f>
        <v>0</v>
      </c>
      <c r="Q13" s="60">
        <f>'Field data and Aber Falls'!Q13</f>
        <v>0</v>
      </c>
      <c r="R13" s="60">
        <f>'Field data and Aber Falls'!R13</f>
        <v>0</v>
      </c>
      <c r="S13" s="60">
        <f>'Field data and Aber Falls'!S13</f>
        <v>0</v>
      </c>
      <c r="T13" s="60">
        <f>'Field data and Aber Falls'!T13</f>
        <v>0</v>
      </c>
      <c r="U13" s="60">
        <f>'Field data and Aber Falls'!U13</f>
        <v>0</v>
      </c>
      <c r="V13" s="60">
        <f>'Field data and Aber Falls'!V13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Aber Falls'!C14</f>
        <v xml:space="preserve">Grass Silage (30% DM) </v>
      </c>
      <c r="D14" s="102" t="str">
        <f>'Field data and Aber Falls'!D14</f>
        <v xml:space="preserve">Grass Silage (30% DM) </v>
      </c>
      <c r="E14" s="102" t="str">
        <f>'Field data and Aber Falls'!E14</f>
        <v xml:space="preserve">Grass Silage (30% DM) </v>
      </c>
      <c r="F14" s="102" t="str">
        <f>'Field data and Aber Falls'!F14</f>
        <v xml:space="preserve">Grass Silage (30% DM) </v>
      </c>
      <c r="G14" s="102" t="str">
        <f>'Field data and Aber Falls'!G14</f>
        <v xml:space="preserve">Grass Silage (30% DM) </v>
      </c>
      <c r="H14" s="102" t="str">
        <f>'Field data and Aber Falls'!H14</f>
        <v xml:space="preserve">Grass Silage (30% DM) </v>
      </c>
      <c r="I14" s="102" t="str">
        <f>'Field data and Aber Falls'!I14</f>
        <v xml:space="preserve">Grass Silage (30% DM) </v>
      </c>
      <c r="J14" s="102" t="str">
        <f>'Field data and Aber Falls'!J14</f>
        <v xml:space="preserve">Grass Silage (30% DM) </v>
      </c>
      <c r="K14" s="102" t="str">
        <f>'Field data and Aber Falls'!K14</f>
        <v xml:space="preserve">Grass Silage (30% DM) </v>
      </c>
      <c r="L14" s="102">
        <f>'Field data and Aber Falls'!L14</f>
        <v>0</v>
      </c>
      <c r="M14" s="102">
        <f>'Field data and Aber Falls'!M14</f>
        <v>0</v>
      </c>
      <c r="N14" s="102">
        <f>'Field data and Aber Falls'!N14</f>
        <v>0</v>
      </c>
      <c r="O14" s="102">
        <f>'Field data and Aber Falls'!O14</f>
        <v>0</v>
      </c>
      <c r="P14" s="102">
        <f>'Field data and Aber Falls'!P14</f>
        <v>0</v>
      </c>
      <c r="Q14" s="102">
        <f>'Field data and Aber Falls'!Q14</f>
        <v>0</v>
      </c>
      <c r="R14" s="102">
        <f>'Field data and Aber Falls'!R14</f>
        <v>0</v>
      </c>
      <c r="S14" s="102">
        <f>'Field data and Aber Falls'!S14</f>
        <v>0</v>
      </c>
      <c r="T14" s="102">
        <f>'Field data and Aber Falls'!T14</f>
        <v>0</v>
      </c>
      <c r="U14" s="102">
        <f>'Field data and Aber Falls'!U14</f>
        <v>0</v>
      </c>
      <c r="V14" s="102">
        <f>'Field data and Aber Falls'!V14</f>
        <v>0</v>
      </c>
      <c r="AD14" s="30" t="s">
        <v>138</v>
      </c>
      <c r="AE14" s="30">
        <v>6</v>
      </c>
      <c r="AI14" s="53" t="s">
        <v>119</v>
      </c>
      <c r="AJ14" s="54">
        <v>0.8</v>
      </c>
      <c r="AK14" s="55">
        <v>1.7</v>
      </c>
      <c r="AL14" s="11">
        <v>12</v>
      </c>
      <c r="AM14" s="11">
        <v>6.7</v>
      </c>
      <c r="AN14" s="11" t="s">
        <v>135</v>
      </c>
    </row>
    <row r="15" spans="1:41" ht="13" x14ac:dyDescent="0.25">
      <c r="A15" s="130" t="s">
        <v>9</v>
      </c>
      <c r="B15" s="130"/>
      <c r="C15" s="60">
        <f>'Field data and Aber Falls'!C15</f>
        <v>47</v>
      </c>
      <c r="D15" s="60">
        <f>'Field data and Aber Falls'!D15</f>
        <v>47</v>
      </c>
      <c r="E15" s="60">
        <f>'Field data and Aber Falls'!E15</f>
        <v>47</v>
      </c>
      <c r="F15" s="60">
        <f>'Field data and Aber Falls'!F15</f>
        <v>47</v>
      </c>
      <c r="G15" s="60">
        <f>'Field data and Aber Falls'!G15</f>
        <v>47</v>
      </c>
      <c r="H15" s="60">
        <f>'Field data and Aber Falls'!H15</f>
        <v>47</v>
      </c>
      <c r="I15" s="60">
        <f>'Field data and Aber Falls'!I15</f>
        <v>47</v>
      </c>
      <c r="J15" s="60">
        <f>'Field data and Aber Falls'!J15</f>
        <v>47</v>
      </c>
      <c r="K15" s="60">
        <f>'Field data and Aber Falls'!K15</f>
        <v>47</v>
      </c>
      <c r="L15" s="60">
        <f>'Field data and Aber Falls'!L15</f>
        <v>0</v>
      </c>
      <c r="M15" s="60">
        <f>'Field data and Aber Falls'!M15</f>
        <v>0</v>
      </c>
      <c r="N15" s="60">
        <f>'Field data and Aber Falls'!N15</f>
        <v>0</v>
      </c>
      <c r="O15" s="60">
        <f>'Field data and Aber Falls'!O15</f>
        <v>0</v>
      </c>
      <c r="P15" s="60">
        <f>'Field data and Aber Falls'!P15</f>
        <v>0</v>
      </c>
      <c r="Q15" s="60">
        <f>'Field data and Aber Falls'!Q15</f>
        <v>0</v>
      </c>
      <c r="R15" s="60">
        <f>'Field data and Aber Falls'!R15</f>
        <v>0</v>
      </c>
      <c r="S15" s="60">
        <f>'Field data and Aber Falls'!S15</f>
        <v>0</v>
      </c>
      <c r="T15" s="60">
        <f>'Field data and Aber Falls'!T15</f>
        <v>0</v>
      </c>
      <c r="U15" s="60">
        <f>'Field data and Aber Falls'!U15</f>
        <v>0</v>
      </c>
      <c r="V15" s="60">
        <f>'Field data and Aber Falls'!V15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Aber Falls'!C16</f>
        <v>Medium/Clay</v>
      </c>
      <c r="D16" s="103" t="str">
        <f>'Field data and Aber Falls'!D16</f>
        <v>Medium/Clay</v>
      </c>
      <c r="E16" s="103" t="str">
        <f>'Field data and Aber Falls'!E16</f>
        <v>Medium/Clay</v>
      </c>
      <c r="F16" s="103" t="str">
        <f>'Field data and Aber Falls'!F16</f>
        <v>Medium/Clay</v>
      </c>
      <c r="G16" s="103" t="str">
        <f>'Field data and Aber Falls'!G16</f>
        <v>Medium/Clay</v>
      </c>
      <c r="H16" s="103" t="str">
        <f>'Field data and Aber Falls'!H16</f>
        <v>Medium/Clay</v>
      </c>
      <c r="I16" s="103" t="str">
        <f>'Field data and Aber Falls'!I16</f>
        <v>Medium/Clay</v>
      </c>
      <c r="J16" s="103" t="str">
        <f>'Field data and Aber Falls'!J16</f>
        <v>Medium/Clay</v>
      </c>
      <c r="K16" s="103" t="str">
        <f>'Field data and Aber Falls'!K16</f>
        <v>Medium/Clay</v>
      </c>
      <c r="L16" s="103">
        <f>'Field data and Aber Falls'!L16</f>
        <v>0</v>
      </c>
      <c r="M16" s="103">
        <f>'Field data and Aber Falls'!M16</f>
        <v>0</v>
      </c>
      <c r="N16" s="103">
        <f>'Field data and Aber Falls'!N16</f>
        <v>0</v>
      </c>
      <c r="O16" s="103">
        <f>'Field data and Aber Falls'!O16</f>
        <v>0</v>
      </c>
      <c r="P16" s="103">
        <f>'Field data and Aber Falls'!P16</f>
        <v>0</v>
      </c>
      <c r="Q16" s="103">
        <f>'Field data and Aber Falls'!Q16</f>
        <v>0</v>
      </c>
      <c r="R16" s="103">
        <f>'Field data and Aber Falls'!R16</f>
        <v>0</v>
      </c>
      <c r="S16" s="103">
        <f>'Field data and Aber Falls'!S16</f>
        <v>0</v>
      </c>
      <c r="T16" s="103">
        <f>'Field data and Aber Falls'!T16</f>
        <v>0</v>
      </c>
      <c r="U16" s="103">
        <f>'Field data and Aber Falls'!U16</f>
        <v>0</v>
      </c>
      <c r="V16" s="103">
        <f>'Field data and Aber Falls'!V16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98.7</v>
      </c>
      <c r="D17" s="28">
        <f t="shared" ref="D17:V17" si="0">(VLOOKUP(D$14,$AI2:$AK26,2,FALSE))*D$15</f>
        <v>98.7</v>
      </c>
      <c r="E17" s="28">
        <f t="shared" si="0"/>
        <v>98.7</v>
      </c>
      <c r="F17" s="28">
        <f t="shared" si="0"/>
        <v>98.7</v>
      </c>
      <c r="G17" s="28">
        <f t="shared" si="0"/>
        <v>98.7</v>
      </c>
      <c r="H17" s="28">
        <f t="shared" si="0"/>
        <v>98.7</v>
      </c>
      <c r="I17" s="28">
        <f t="shared" si="0"/>
        <v>98.7</v>
      </c>
      <c r="J17" s="28">
        <f t="shared" si="0"/>
        <v>98.7</v>
      </c>
      <c r="K17" s="28">
        <f t="shared" si="0"/>
        <v>98.7</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55.207372499999991</v>
      </c>
      <c r="D18" s="16">
        <f>$D32</f>
        <v>0</v>
      </c>
      <c r="E18" s="16">
        <f>$D33</f>
        <v>55.207372499999991</v>
      </c>
      <c r="F18" s="16">
        <f>$D34</f>
        <v>55.207372499999991</v>
      </c>
      <c r="G18" s="16">
        <f>$D35</f>
        <v>0</v>
      </c>
      <c r="H18" s="16">
        <f>$D36</f>
        <v>55.207372499999991</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-43.492627500000012</v>
      </c>
      <c r="D19" s="16">
        <f t="shared" ref="D19:V19" si="1">D18-D17</f>
        <v>-98.7</v>
      </c>
      <c r="E19" s="16">
        <f t="shared" si="1"/>
        <v>-43.492627500000012</v>
      </c>
      <c r="F19" s="16">
        <f t="shared" si="1"/>
        <v>-43.492627500000012</v>
      </c>
      <c r="G19" s="16">
        <f t="shared" si="1"/>
        <v>-98.7</v>
      </c>
      <c r="H19" s="16">
        <f t="shared" si="1"/>
        <v>-43.492627500000012</v>
      </c>
      <c r="I19" s="16">
        <f t="shared" si="1"/>
        <v>-98.7</v>
      </c>
      <c r="J19" s="16">
        <f t="shared" si="1"/>
        <v>-98.7</v>
      </c>
      <c r="K19" s="16">
        <f t="shared" si="1"/>
        <v>-98.7</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338.40000000000003</v>
      </c>
      <c r="D21" s="28">
        <f t="shared" ref="D21:V21" si="2">(VLOOKUP(D$14,$AI2:$AK26,3,FALSE))*D$15</f>
        <v>338.40000000000003</v>
      </c>
      <c r="E21" s="28">
        <f t="shared" si="2"/>
        <v>338.40000000000003</v>
      </c>
      <c r="F21" s="28">
        <f t="shared" si="2"/>
        <v>338.40000000000003</v>
      </c>
      <c r="G21" s="28">
        <f t="shared" si="2"/>
        <v>338.40000000000003</v>
      </c>
      <c r="H21" s="28">
        <f t="shared" si="2"/>
        <v>338.40000000000003</v>
      </c>
      <c r="I21" s="28">
        <f t="shared" si="2"/>
        <v>338.40000000000003</v>
      </c>
      <c r="J21" s="28">
        <f t="shared" si="2"/>
        <v>338.40000000000003</v>
      </c>
      <c r="K21" s="28">
        <f t="shared" si="2"/>
        <v>338.40000000000003</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3.1201064999999999E-4</v>
      </c>
      <c r="D22" s="16">
        <f>$E32</f>
        <v>0</v>
      </c>
      <c r="E22" s="16">
        <f>$E33</f>
        <v>3.1201064999999999E-4</v>
      </c>
      <c r="F22" s="16">
        <f>$E34</f>
        <v>3.1201064999999999E-4</v>
      </c>
      <c r="G22" s="16">
        <f>$E35</f>
        <v>0</v>
      </c>
      <c r="H22" s="16">
        <f>$E36</f>
        <v>3.1201064999999999E-4</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-338.39968798935001</v>
      </c>
      <c r="D23" s="16">
        <f t="shared" ref="D23:V23" si="3">D22-D21</f>
        <v>-338.40000000000003</v>
      </c>
      <c r="E23" s="16">
        <f t="shared" si="3"/>
        <v>-338.39968798935001</v>
      </c>
      <c r="F23" s="16">
        <f t="shared" si="3"/>
        <v>-338.39968798935001</v>
      </c>
      <c r="G23" s="16">
        <f t="shared" si="3"/>
        <v>-338.40000000000003</v>
      </c>
      <c r="H23" s="16">
        <f t="shared" si="3"/>
        <v>-338.39968798935001</v>
      </c>
      <c r="I23" s="16">
        <f t="shared" si="3"/>
        <v>-338.40000000000003</v>
      </c>
      <c r="J23" s="16">
        <f t="shared" si="3"/>
        <v>-338.40000000000003</v>
      </c>
      <c r="K23" s="16">
        <f t="shared" si="3"/>
        <v>-338.40000000000003</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55</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3.78</v>
      </c>
      <c r="C28" s="15">
        <v>1.17</v>
      </c>
      <c r="D28" s="15">
        <v>0.255</v>
      </c>
      <c r="E28" s="15">
        <v>2.7400000000000001E-2</v>
      </c>
      <c r="F28" s="15">
        <v>891</v>
      </c>
      <c r="G28" s="15">
        <v>28</v>
      </c>
      <c r="H28" s="15">
        <v>89.9</v>
      </c>
      <c r="I28" s="15">
        <v>6.2</v>
      </c>
      <c r="J28" s="15">
        <v>0.41</v>
      </c>
      <c r="K28" s="23">
        <v>0.54</v>
      </c>
      <c r="L28" s="15">
        <v>21.8</v>
      </c>
      <c r="M28" s="15">
        <v>6.61</v>
      </c>
      <c r="N28" s="15">
        <v>173000</v>
      </c>
      <c r="O28" s="15">
        <v>8820</v>
      </c>
      <c r="P28" s="15"/>
      <c r="Q28" s="15">
        <v>13100</v>
      </c>
      <c r="R28" s="15"/>
      <c r="S28" s="15">
        <v>15.4</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SJC1</v>
      </c>
      <c r="B31" s="15">
        <v>250</v>
      </c>
      <c r="C31" s="77">
        <f>IF(C$27="%w/w SAR",((C$28*10)*$B31),IF(C$27="%w/w DM",(((C$28*10)*($B$28/100))*$B31),IF(C$27="kg/t SAR",(C$28*$B31),IF(C$27="kg/t DM",((C$28*($B$28/100))*$B31),IF(C$27="mg/kg SAR",((C$28*0.001)*$B31),IF(C$27="mg/kg DM",(((C$28*0.001)*($B$28/100))*$B31),0))))))</f>
        <v>110.565</v>
      </c>
      <c r="D31" s="77">
        <f>(IF(D$27="%w/w SAR",((D$28*10)*$B31),IF(D$27="%w/w DM",(((D$28*10)*($B$28/100))*$B31),IF(D$27="kg/t SAR",(D$28*$B31),IF(D$27="kg/t DM",((D$28*($B$28/100))*$B31),IF(D$27="mg/kg SAR",((D$28*0.001)*$B31),IF(D$27="mg/kg DM",(((D$28*0.001)*($B$28/100))*$B31),"0")))))))*2.291</f>
        <v>55.207372499999991</v>
      </c>
      <c r="E31" s="77">
        <f>(IF(E$27="%w/w SAR",((E$28*10)*$B31),IF(E$27="%w/w DM",(((E$28*10)*($B$28/100))*$B31),IF(E$27="kg/t SAR",(E$28*$B31),IF(E$27="kg/t DM",((E$28*($B$28/100))*$B31),IF(E$27="mg/kg SAR",((E$28*0.001)*$B31),IF(E$27="mg/kg DM",(((E$28*0.001)*($B$28/100))*$B31),"0")))))))*1.205</f>
        <v>3.1201064999999999E-4</v>
      </c>
      <c r="F31" s="77">
        <f>(IF(F$27="%w/w SAR",((F$28*10)*$B31),IF(F$27="%w/w DM",(((F$28*10)*($B$28/100))*$B31),IF(F$27="kg/t SAR",(F$28*$B31),IF(F$27="kg/t DM",((F$28*($B$28/100))*$B31),IF(F$27="mg/kg SAR",((F$28*0.001)*$B31),IF(F$27="mg/kg DM",(((F$28*0.001)*($B$28/100))*$B31),"0")))))))*1.658</f>
        <v>13.960277099999999</v>
      </c>
      <c r="G31" s="77">
        <f t="shared" ref="G31:P46" si="5">IF(G$27="%w/w SAR",((G$28*10)*$B31),IF(G$27="%w/w DM",(((G$28*10)*($B$28/100))*$B31),IF(G$27="kg/t SAR",(G$28*$B31),IF(G$27="kg/t DM",((G$28*($B$28/100))*$B31),IF(G$27="mg/kg SAR",((G$28*0.001)*$B31),IF(G$27="mg/kg DM",(((G$28*0.001)*($B$28/100))*$B31),0))))))</f>
        <v>0.2646</v>
      </c>
      <c r="H31" s="77">
        <f t="shared" si="5"/>
        <v>0.84955500000000006</v>
      </c>
      <c r="I31" s="77">
        <f t="shared" si="5"/>
        <v>5.8590000000000003E-2</v>
      </c>
      <c r="J31" s="77">
        <f t="shared" si="5"/>
        <v>3.8744999999999999E-3</v>
      </c>
      <c r="K31" s="77">
        <f t="shared" si="5"/>
        <v>5.1029999999999999E-3</v>
      </c>
      <c r="L31" s="77">
        <f t="shared" si="5"/>
        <v>0.20601</v>
      </c>
      <c r="M31" s="77">
        <f t="shared" si="5"/>
        <v>6.2464499999999999E-2</v>
      </c>
      <c r="N31" s="77">
        <f t="shared" si="5"/>
        <v>1634.85</v>
      </c>
      <c r="O31" s="77">
        <f t="shared" si="5"/>
        <v>83.349000000000004</v>
      </c>
      <c r="P31" s="77">
        <f t="shared" si="5"/>
        <v>0</v>
      </c>
      <c r="Q31" s="77">
        <f>(IF(Q$27="%w/w SAR",((Q$28*10)*$B31),IF(Q$27="%w/w DM",(((Q$28*10)*($B$28/100))*$B31),IF(Q$27="kg/t SAR",(Q$28*$B31),IF(Q$27="kg/t DM",((Q$28*($B$28/100))*$B31),IF(Q$27="mg/kg SAR",((Q$28*0.001)*$B31),IF(Q$27="mg/kg DM",(((Q$28*0.001)*($B$28/100))*$B31),0)))))))*2.5</f>
        <v>309.48750000000001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0.14552999999999999</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SJC2</v>
      </c>
      <c r="B32" s="15">
        <v>0</v>
      </c>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SJC3</v>
      </c>
      <c r="B33" s="15">
        <v>250</v>
      </c>
      <c r="C33" s="77">
        <f t="shared" si="6"/>
        <v>110.565</v>
      </c>
      <c r="D33" s="77">
        <f t="shared" si="7"/>
        <v>55.207372499999991</v>
      </c>
      <c r="E33" s="77">
        <f t="shared" si="8"/>
        <v>3.1201064999999999E-4</v>
      </c>
      <c r="F33" s="77">
        <f t="shared" si="9"/>
        <v>13.960277099999999</v>
      </c>
      <c r="G33" s="77">
        <f t="shared" si="5"/>
        <v>0.2646</v>
      </c>
      <c r="H33" s="77">
        <f t="shared" si="5"/>
        <v>0.84955500000000006</v>
      </c>
      <c r="I33" s="77">
        <f t="shared" si="5"/>
        <v>5.8590000000000003E-2</v>
      </c>
      <c r="J33" s="77">
        <f t="shared" si="5"/>
        <v>3.8744999999999999E-3</v>
      </c>
      <c r="K33" s="77">
        <f t="shared" si="5"/>
        <v>5.1029999999999999E-3</v>
      </c>
      <c r="L33" s="77">
        <f t="shared" si="5"/>
        <v>0.20601</v>
      </c>
      <c r="M33" s="77">
        <f t="shared" si="5"/>
        <v>6.2464499999999999E-2</v>
      </c>
      <c r="N33" s="77">
        <f t="shared" si="5"/>
        <v>1634.85</v>
      </c>
      <c r="O33" s="77">
        <f t="shared" si="5"/>
        <v>83.349000000000004</v>
      </c>
      <c r="P33" s="77">
        <f t="shared" si="5"/>
        <v>0</v>
      </c>
      <c r="Q33" s="77">
        <f t="shared" si="10"/>
        <v>309.48750000000001</v>
      </c>
      <c r="R33" s="77">
        <f t="shared" si="11"/>
        <v>0</v>
      </c>
      <c r="S33" s="77">
        <f t="shared" si="11"/>
        <v>0.14552999999999999</v>
      </c>
      <c r="T33" s="77">
        <f t="shared" si="11"/>
        <v>0</v>
      </c>
      <c r="U33" s="77">
        <f t="shared" si="11"/>
        <v>0</v>
      </c>
      <c r="AB33" s="59"/>
      <c r="AC33" s="59"/>
      <c r="AD33" s="59"/>
      <c r="AE33" s="59"/>
      <c r="AF33" s="59"/>
      <c r="AG33" s="59"/>
      <c r="AH33" s="59"/>
      <c r="AI33" s="59"/>
    </row>
    <row r="34" spans="1:35" s="72" customFormat="1" ht="13" x14ac:dyDescent="0.35">
      <c r="A34" s="13" t="str">
        <f>F8</f>
        <v>SJC4</v>
      </c>
      <c r="B34" s="15">
        <v>250</v>
      </c>
      <c r="C34" s="77">
        <f t="shared" si="6"/>
        <v>110.565</v>
      </c>
      <c r="D34" s="77">
        <f t="shared" si="7"/>
        <v>55.207372499999991</v>
      </c>
      <c r="E34" s="77">
        <f t="shared" si="8"/>
        <v>3.1201064999999999E-4</v>
      </c>
      <c r="F34" s="77">
        <f t="shared" si="9"/>
        <v>13.960277099999999</v>
      </c>
      <c r="G34" s="77">
        <f t="shared" si="5"/>
        <v>0.2646</v>
      </c>
      <c r="H34" s="77">
        <f t="shared" si="5"/>
        <v>0.84955500000000006</v>
      </c>
      <c r="I34" s="77">
        <f t="shared" si="5"/>
        <v>5.8590000000000003E-2</v>
      </c>
      <c r="J34" s="77">
        <f t="shared" si="5"/>
        <v>3.8744999999999999E-3</v>
      </c>
      <c r="K34" s="77">
        <f t="shared" si="5"/>
        <v>5.1029999999999999E-3</v>
      </c>
      <c r="L34" s="77">
        <f t="shared" si="5"/>
        <v>0.20601</v>
      </c>
      <c r="M34" s="77">
        <f t="shared" si="5"/>
        <v>6.2464499999999999E-2</v>
      </c>
      <c r="N34" s="77">
        <f t="shared" si="5"/>
        <v>1634.85</v>
      </c>
      <c r="O34" s="77">
        <f t="shared" si="5"/>
        <v>83.349000000000004</v>
      </c>
      <c r="P34" s="77">
        <f t="shared" si="5"/>
        <v>0</v>
      </c>
      <c r="Q34" s="77">
        <f t="shared" si="10"/>
        <v>309.48750000000001</v>
      </c>
      <c r="R34" s="77">
        <f t="shared" si="11"/>
        <v>0</v>
      </c>
      <c r="S34" s="77">
        <f t="shared" si="11"/>
        <v>0.14552999999999999</v>
      </c>
      <c r="T34" s="77">
        <f t="shared" si="11"/>
        <v>0</v>
      </c>
      <c r="U34" s="77">
        <f t="shared" si="11"/>
        <v>0</v>
      </c>
      <c r="AB34" s="59"/>
      <c r="AC34" s="59"/>
      <c r="AD34" s="59"/>
      <c r="AE34" s="59"/>
      <c r="AF34" s="59"/>
      <c r="AG34" s="59"/>
      <c r="AH34" s="59"/>
      <c r="AI34" s="59"/>
    </row>
    <row r="35" spans="1:35" s="72" customFormat="1" ht="13" x14ac:dyDescent="0.35">
      <c r="A35" s="13" t="str">
        <f>G8</f>
        <v>SJC5</v>
      </c>
      <c r="B35" s="15">
        <v>0</v>
      </c>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SJC6</v>
      </c>
      <c r="B36" s="15">
        <v>250</v>
      </c>
      <c r="C36" s="77">
        <f t="shared" si="6"/>
        <v>110.565</v>
      </c>
      <c r="D36" s="77">
        <f t="shared" si="7"/>
        <v>55.207372499999991</v>
      </c>
      <c r="E36" s="77">
        <f t="shared" si="8"/>
        <v>3.1201064999999999E-4</v>
      </c>
      <c r="F36" s="77">
        <f t="shared" si="9"/>
        <v>13.960277099999999</v>
      </c>
      <c r="G36" s="77">
        <f t="shared" si="5"/>
        <v>0.2646</v>
      </c>
      <c r="H36" s="77">
        <f t="shared" si="5"/>
        <v>0.84955500000000006</v>
      </c>
      <c r="I36" s="77">
        <f t="shared" si="5"/>
        <v>5.8590000000000003E-2</v>
      </c>
      <c r="J36" s="77">
        <f t="shared" si="5"/>
        <v>3.8744999999999999E-3</v>
      </c>
      <c r="K36" s="77">
        <f t="shared" si="5"/>
        <v>5.1029999999999999E-3</v>
      </c>
      <c r="L36" s="77">
        <f t="shared" si="5"/>
        <v>0.20601</v>
      </c>
      <c r="M36" s="77">
        <f t="shared" si="5"/>
        <v>6.2464499999999999E-2</v>
      </c>
      <c r="N36" s="77">
        <f t="shared" si="5"/>
        <v>1634.85</v>
      </c>
      <c r="O36" s="77">
        <f t="shared" si="5"/>
        <v>83.349000000000004</v>
      </c>
      <c r="P36" s="77">
        <f t="shared" si="5"/>
        <v>0</v>
      </c>
      <c r="Q36" s="77">
        <f t="shared" si="10"/>
        <v>309.48750000000001</v>
      </c>
      <c r="R36" s="77">
        <f t="shared" si="11"/>
        <v>0</v>
      </c>
      <c r="S36" s="77">
        <f t="shared" si="11"/>
        <v>0.14552999999999999</v>
      </c>
      <c r="T36" s="77">
        <f t="shared" si="11"/>
        <v>0</v>
      </c>
      <c r="U36" s="77">
        <f t="shared" si="11"/>
        <v>0</v>
      </c>
      <c r="AB36" s="59"/>
      <c r="AC36" s="59"/>
      <c r="AD36" s="59"/>
      <c r="AE36" s="59"/>
      <c r="AF36" s="59"/>
      <c r="AG36" s="59"/>
      <c r="AH36" s="59"/>
      <c r="AI36" s="59"/>
    </row>
    <row r="37" spans="1:35" s="72" customFormat="1" ht="13" x14ac:dyDescent="0.35">
      <c r="A37" s="13" t="str">
        <f>I8</f>
        <v>SJC7</v>
      </c>
      <c r="B37" s="15">
        <v>0</v>
      </c>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Bonolwyn A</v>
      </c>
      <c r="B38" s="15">
        <v>0</v>
      </c>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Bodnolwyn B</v>
      </c>
      <c r="B39" s="15">
        <v>0</v>
      </c>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SJC1</v>
      </c>
      <c r="C57" s="8" t="str">
        <f t="shared" ref="C57:U57" si="13">D8</f>
        <v>SJC2</v>
      </c>
      <c r="D57" s="8" t="str">
        <f t="shared" si="13"/>
        <v>SJC3</v>
      </c>
      <c r="E57" s="8" t="str">
        <f t="shared" si="13"/>
        <v>SJC4</v>
      </c>
      <c r="F57" s="8" t="str">
        <f t="shared" si="13"/>
        <v>SJC5</v>
      </c>
      <c r="G57" s="8" t="str">
        <f t="shared" si="13"/>
        <v>SJC6</v>
      </c>
      <c r="H57" s="8" t="str">
        <f t="shared" si="13"/>
        <v>SJC7</v>
      </c>
      <c r="I57" s="8" t="str">
        <f t="shared" si="13"/>
        <v>Bonolwyn A</v>
      </c>
      <c r="J57" s="8" t="str">
        <f t="shared" si="13"/>
        <v>Bodnolwyn B</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e">
        <f>L16&amp;" I "&amp;(VLOOKUP(L14,Table24581112[],6,FALSE))</f>
        <v>#N/A</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132</v>
      </c>
      <c r="B59" s="76">
        <f>VLOOKUP(C$14,Table24581112[],5,FALSE)</f>
        <v>6.2</v>
      </c>
      <c r="C59" s="76">
        <f>VLOOKUP(D$14,Table24581112[],5,FALSE)</f>
        <v>6.2</v>
      </c>
      <c r="D59" s="76">
        <f>VLOOKUP(E$14,Table24581112[],5,FALSE)</f>
        <v>6.2</v>
      </c>
      <c r="E59" s="76">
        <f>VLOOKUP(F$14,Table24581112[],5,FALSE)</f>
        <v>6.2</v>
      </c>
      <c r="F59" s="76">
        <f>VLOOKUP(G$14,Table24581112[],5,FALSE)</f>
        <v>6.2</v>
      </c>
      <c r="G59" s="76">
        <f>VLOOKUP(H$14,Table24581112[],5,FALSE)</f>
        <v>6.2</v>
      </c>
      <c r="H59" s="76">
        <f>VLOOKUP(I$14,Table24581112[],5,FALSE)</f>
        <v>6.2</v>
      </c>
      <c r="I59" s="76">
        <f>VLOOKUP(J$14,Table24581112[],5,FALSE)</f>
        <v>6.2</v>
      </c>
      <c r="J59" s="76">
        <f>VLOOKUP(K$14,Table24581112[],5,FALSE)</f>
        <v>6.2</v>
      </c>
      <c r="K59" s="76" t="e">
        <f>VLOOKUP(L$14,Table24581112[],5,FALSE)</f>
        <v>#N/A</v>
      </c>
      <c r="L59" s="76" t="e">
        <f>VLOOKUP(M$14,Table24581112[],5,FALSE)</f>
        <v>#N/A</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6.4</v>
      </c>
      <c r="C60" s="76">
        <f t="shared" ref="C60:U60" si="14">D10</f>
        <v>5.8</v>
      </c>
      <c r="D60" s="76">
        <f t="shared" si="14"/>
        <v>6</v>
      </c>
      <c r="E60" s="76">
        <f t="shared" si="14"/>
        <v>6</v>
      </c>
      <c r="F60" s="76">
        <f t="shared" si="14"/>
        <v>5.9</v>
      </c>
      <c r="G60" s="76">
        <f t="shared" si="14"/>
        <v>6.1</v>
      </c>
      <c r="H60" s="76">
        <f t="shared" si="14"/>
        <v>5.8</v>
      </c>
      <c r="I60" s="76">
        <f t="shared" si="14"/>
        <v>5.8</v>
      </c>
      <c r="J60" s="76">
        <f t="shared" si="14"/>
        <v>5.7</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0</v>
      </c>
      <c r="D62" s="77">
        <f>B33</f>
        <v>250</v>
      </c>
      <c r="E62" s="77">
        <f>B34</f>
        <v>250</v>
      </c>
      <c r="F62" s="77">
        <f>B35</f>
        <v>0</v>
      </c>
      <c r="G62" s="77">
        <f>B36</f>
        <v>250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-1.2000000000000011</v>
      </c>
      <c r="C64" s="77">
        <f t="shared" ref="C64:U64" si="17">(C59-C60)*C61</f>
        <v>2.4000000000000021</v>
      </c>
      <c r="D64" s="77">
        <f t="shared" si="17"/>
        <v>1.2000000000000011</v>
      </c>
      <c r="E64" s="77">
        <f t="shared" si="17"/>
        <v>1.2000000000000011</v>
      </c>
      <c r="F64" s="77">
        <f t="shared" si="17"/>
        <v>1.7999999999999989</v>
      </c>
      <c r="G64" s="77">
        <f t="shared" si="17"/>
        <v>0.6000000000000032</v>
      </c>
      <c r="H64" s="77">
        <f t="shared" si="17"/>
        <v>2.4000000000000021</v>
      </c>
      <c r="I64" s="77">
        <f t="shared" si="17"/>
        <v>2.4000000000000021</v>
      </c>
      <c r="J64" s="77">
        <f t="shared" si="17"/>
        <v>3</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1.2000000000000011</v>
      </c>
      <c r="C65" s="77">
        <f t="shared" ref="C65:U65" si="18">C63-C64</f>
        <v>-2.4000000000000021</v>
      </c>
      <c r="D65" s="77">
        <f t="shared" si="18"/>
        <v>-1.2000000000000011</v>
      </c>
      <c r="E65" s="77">
        <f t="shared" si="18"/>
        <v>-1.2000000000000011</v>
      </c>
      <c r="F65" s="77">
        <f t="shared" si="18"/>
        <v>-1.7999999999999989</v>
      </c>
      <c r="G65" s="77">
        <f t="shared" si="18"/>
        <v>-0.6000000000000032</v>
      </c>
      <c r="H65" s="77">
        <f t="shared" si="18"/>
        <v>-2.4000000000000021</v>
      </c>
      <c r="I65" s="77">
        <f t="shared" si="18"/>
        <v>-2.4000000000000021</v>
      </c>
      <c r="J65" s="77">
        <f t="shared" si="18"/>
        <v>-3</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93" priority="37" operator="equal">
      <formula>"DECREASE"</formula>
    </cfRule>
    <cfRule type="cellIs" dxfId="292" priority="38" operator="equal">
      <formula>"INCREASE"</formula>
    </cfRule>
  </conditionalFormatting>
  <conditionalFormatting sqref="B31:B50 B62:U66">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S27" sqref="S2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19" t="s">
        <v>41</v>
      </c>
      <c r="B1" s="119"/>
      <c r="C1" s="140" t="str">
        <f>'Field data and Aber Falls'!C1:D1</f>
        <v>PAN-019961</v>
      </c>
      <c r="D1" s="141"/>
      <c r="E1" s="93" t="s">
        <v>45</v>
      </c>
      <c r="F1" s="39">
        <f>'Field data and Aber Falls'!F1</f>
        <v>48</v>
      </c>
      <c r="G1" s="120" t="s">
        <v>43</v>
      </c>
      <c r="H1" s="121"/>
      <c r="I1" s="118">
        <v>7</v>
      </c>
      <c r="J1" s="119" t="s">
        <v>153</v>
      </c>
      <c r="K1" s="119"/>
      <c r="L1" s="97">
        <v>316</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Aber Falls'!C2:D2</f>
        <v>EPR/GP3792SK</v>
      </c>
      <c r="D2" s="143"/>
      <c r="E2" s="93" t="s">
        <v>109</v>
      </c>
      <c r="F2" s="96" t="s">
        <v>174</v>
      </c>
      <c r="G2" s="138" t="s">
        <v>110</v>
      </c>
      <c r="H2" s="139"/>
      <c r="I2" s="118"/>
      <c r="J2" s="119" t="s">
        <v>158</v>
      </c>
      <c r="K2" s="119"/>
      <c r="L2" s="97">
        <v>1.08</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Aber Falls'!C3:D3</f>
        <v>ByProduct Recovery Ltd</v>
      </c>
      <c r="D3" s="143"/>
      <c r="E3" s="93" t="s">
        <v>108</v>
      </c>
      <c r="F3" s="31" t="s">
        <v>78</v>
      </c>
      <c r="G3" s="119" t="s">
        <v>159</v>
      </c>
      <c r="H3" s="119"/>
      <c r="I3" s="118"/>
      <c r="J3" s="120" t="s">
        <v>154</v>
      </c>
      <c r="K3" s="121"/>
      <c r="L3" s="97">
        <f>(L1/(L2*10000))*100</f>
        <v>2.925925925925926</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Aber Falls'!C4:D4</f>
        <v>Plas Bach, Cerrigceinwen, Bodorgan, LL62 5NS</v>
      </c>
      <c r="D4" s="141"/>
      <c r="E4" s="94" t="s">
        <v>1</v>
      </c>
      <c r="F4" s="96" t="s">
        <v>180</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Aber Falls'!C5:D5</f>
        <v>Bryan Burn</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'Field data and Aber Falls'!C8</f>
        <v>SJC1</v>
      </c>
      <c r="D8" s="60" t="str">
        <f>'Field data and Aber Falls'!D8</f>
        <v>SJC2</v>
      </c>
      <c r="E8" s="60" t="str">
        <f>'Field data and Aber Falls'!E8</f>
        <v>SJC3</v>
      </c>
      <c r="F8" s="60" t="str">
        <f>'Field data and Aber Falls'!F8</f>
        <v>SJC4</v>
      </c>
      <c r="G8" s="60" t="str">
        <f>'Field data and Aber Falls'!G8</f>
        <v>SJC5</v>
      </c>
      <c r="H8" s="60" t="str">
        <f>'Field data and Aber Falls'!H8</f>
        <v>SJC6</v>
      </c>
      <c r="I8" s="60" t="str">
        <f>'Field data and Aber Falls'!I8</f>
        <v>SJC7</v>
      </c>
      <c r="J8" s="60" t="str">
        <f>'Field data and Aber Falls'!J8</f>
        <v>Bonolwyn A</v>
      </c>
      <c r="K8" s="60" t="str">
        <f>'Field data and Aber Falls'!K8</f>
        <v>Bodnolwyn B</v>
      </c>
      <c r="L8" s="60">
        <f>'Field data and Aber Falls'!L8</f>
        <v>0</v>
      </c>
      <c r="M8" s="60">
        <f>'Field data and Aber Falls'!M8</f>
        <v>0</v>
      </c>
      <c r="N8" s="60">
        <f>'Field data and Aber Falls'!N8</f>
        <v>0</v>
      </c>
      <c r="O8" s="60">
        <f>'Field data and Aber Falls'!O8</f>
        <v>0</v>
      </c>
      <c r="P8" s="60">
        <f>'Field data and Aber Falls'!P8</f>
        <v>0</v>
      </c>
      <c r="Q8" s="60">
        <f>'Field data and Aber Falls'!Q8</f>
        <v>0</v>
      </c>
      <c r="R8" s="60">
        <f>'Field data and Aber Falls'!R8</f>
        <v>0</v>
      </c>
      <c r="S8" s="60">
        <f>'Field data and Aber Falls'!S8</f>
        <v>0</v>
      </c>
      <c r="T8" s="60">
        <f>'Field data and Aber Falls'!T8</f>
        <v>0</v>
      </c>
      <c r="U8" s="60">
        <f>'Field data and Aber Falls'!U8</f>
        <v>0</v>
      </c>
      <c r="V8" s="60">
        <f>'Field data and Aber Falls'!V8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Aber Falls'!C9</f>
        <v>med</v>
      </c>
      <c r="D9" s="60" t="str">
        <f>'Field data and Aber Falls'!D9</f>
        <v>med</v>
      </c>
      <c r="E9" s="60" t="str">
        <f>'Field data and Aber Falls'!E9</f>
        <v>med</v>
      </c>
      <c r="F9" s="60" t="str">
        <f>'Field data and Aber Falls'!F9</f>
        <v>med</v>
      </c>
      <c r="G9" s="60" t="str">
        <f>'Field data and Aber Falls'!G9</f>
        <v>med</v>
      </c>
      <c r="H9" s="60" t="str">
        <f>'Field data and Aber Falls'!H9</f>
        <v>med</v>
      </c>
      <c r="I9" s="60" t="str">
        <f>'Field data and Aber Falls'!I9</f>
        <v>med</v>
      </c>
      <c r="J9" s="60" t="str">
        <f>'Field data and Aber Falls'!J9</f>
        <v>med</v>
      </c>
      <c r="K9" s="60" t="str">
        <f>'Field data and Aber Falls'!K9</f>
        <v>med</v>
      </c>
      <c r="L9" s="60">
        <f>'Field data and Aber Falls'!L9</f>
        <v>0</v>
      </c>
      <c r="M9" s="60">
        <f>'Field data and Aber Falls'!M9</f>
        <v>0</v>
      </c>
      <c r="N9" s="60">
        <f>'Field data and Aber Falls'!N9</f>
        <v>0</v>
      </c>
      <c r="O9" s="60">
        <f>'Field data and Aber Falls'!O9</f>
        <v>0</v>
      </c>
      <c r="P9" s="60">
        <f>'Field data and Aber Falls'!P9</f>
        <v>0</v>
      </c>
      <c r="Q9" s="60">
        <f>'Field data and Aber Falls'!Q9</f>
        <v>0</v>
      </c>
      <c r="R9" s="60">
        <f>'Field data and Aber Falls'!R9</f>
        <v>0</v>
      </c>
      <c r="S9" s="60">
        <f>'Field data and Aber Falls'!S9</f>
        <v>0</v>
      </c>
      <c r="T9" s="60">
        <f>'Field data and Aber Falls'!T9</f>
        <v>0</v>
      </c>
      <c r="U9" s="60">
        <f>'Field data and Aber Falls'!U9</f>
        <v>0</v>
      </c>
      <c r="V9" s="60">
        <f>'Field data and Aber Falls'!V9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Aber Falls'!C10</f>
        <v>6.4</v>
      </c>
      <c r="D10" s="60">
        <f>'Field data and Aber Falls'!D10</f>
        <v>5.8</v>
      </c>
      <c r="E10" s="60">
        <f>'Field data and Aber Falls'!E10</f>
        <v>6</v>
      </c>
      <c r="F10" s="60">
        <f>'Field data and Aber Falls'!F10</f>
        <v>6</v>
      </c>
      <c r="G10" s="60">
        <f>'Field data and Aber Falls'!G10</f>
        <v>5.9</v>
      </c>
      <c r="H10" s="60">
        <f>'Field data and Aber Falls'!H10</f>
        <v>6.1</v>
      </c>
      <c r="I10" s="60">
        <f>'Field data and Aber Falls'!I10</f>
        <v>5.8</v>
      </c>
      <c r="J10" s="60">
        <f>'Field data and Aber Falls'!J10</f>
        <v>5.8</v>
      </c>
      <c r="K10" s="60">
        <f>'Field data and Aber Falls'!K10</f>
        <v>5.7</v>
      </c>
      <c r="L10" s="60">
        <f>'Field data and Aber Falls'!L10</f>
        <v>0</v>
      </c>
      <c r="M10" s="60">
        <f>'Field data and Aber Falls'!M10</f>
        <v>0</v>
      </c>
      <c r="N10" s="60">
        <f>'Field data and Aber Falls'!N10</f>
        <v>0</v>
      </c>
      <c r="O10" s="60">
        <f>'Field data and Aber Falls'!O10</f>
        <v>0</v>
      </c>
      <c r="P10" s="60">
        <f>'Field data and Aber Falls'!P10</f>
        <v>0</v>
      </c>
      <c r="Q10" s="60">
        <f>'Field data and Aber Falls'!Q10</f>
        <v>0</v>
      </c>
      <c r="R10" s="60">
        <f>'Field data and Aber Falls'!R10</f>
        <v>0</v>
      </c>
      <c r="S10" s="60">
        <f>'Field data and Aber Falls'!S10</f>
        <v>0</v>
      </c>
      <c r="T10" s="60">
        <f>'Field data and Aber Falls'!T10</f>
        <v>0</v>
      </c>
      <c r="U10" s="60">
        <f>'Field data and Aber Falls'!U10</f>
        <v>0</v>
      </c>
      <c r="V10" s="60">
        <f>'Field data and Aber Falls'!V10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Aber Falls'!C11</f>
        <v>2</v>
      </c>
      <c r="D11" s="60">
        <f>'Field data and Aber Falls'!D11</f>
        <v>2</v>
      </c>
      <c r="E11" s="60">
        <f>'Field data and Aber Falls'!E11</f>
        <v>3</v>
      </c>
      <c r="F11" s="60">
        <f>'Field data and Aber Falls'!F11</f>
        <v>1</v>
      </c>
      <c r="G11" s="60">
        <f>'Field data and Aber Falls'!G11</f>
        <v>0</v>
      </c>
      <c r="H11" s="60">
        <f>'Field data and Aber Falls'!H11</f>
        <v>3</v>
      </c>
      <c r="I11" s="60">
        <f>'Field data and Aber Falls'!I11</f>
        <v>2</v>
      </c>
      <c r="J11" s="60">
        <f>'Field data and Aber Falls'!J11</f>
        <v>2</v>
      </c>
      <c r="K11" s="60">
        <f>'Field data and Aber Falls'!K11</f>
        <v>2</v>
      </c>
      <c r="L11" s="60">
        <f>'Field data and Aber Falls'!L11</f>
        <v>0</v>
      </c>
      <c r="M11" s="60">
        <f>'Field data and Aber Falls'!M11</f>
        <v>0</v>
      </c>
      <c r="N11" s="60">
        <f>'Field data and Aber Falls'!N11</f>
        <v>0</v>
      </c>
      <c r="O11" s="60">
        <f>'Field data and Aber Falls'!O11</f>
        <v>0</v>
      </c>
      <c r="P11" s="60">
        <f>'Field data and Aber Falls'!P11</f>
        <v>0</v>
      </c>
      <c r="Q11" s="60">
        <f>'Field data and Aber Falls'!Q11</f>
        <v>0</v>
      </c>
      <c r="R11" s="60">
        <f>'Field data and Aber Falls'!R11</f>
        <v>0</v>
      </c>
      <c r="S11" s="60">
        <f>'Field data and Aber Falls'!S11</f>
        <v>0</v>
      </c>
      <c r="T11" s="60">
        <f>'Field data and Aber Falls'!T11</f>
        <v>0</v>
      </c>
      <c r="U11" s="60">
        <f>'Field data and Aber Falls'!U11</f>
        <v>0</v>
      </c>
      <c r="V11" s="60">
        <f>'Field data and Aber Falls'!V11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Aber Falls'!C12</f>
        <v>3</v>
      </c>
      <c r="D12" s="60">
        <f>'Field data and Aber Falls'!D12</f>
        <v>4</v>
      </c>
      <c r="E12" s="60">
        <f>'Field data and Aber Falls'!E12</f>
        <v>4</v>
      </c>
      <c r="F12" s="60">
        <f>'Field data and Aber Falls'!F12</f>
        <v>1</v>
      </c>
      <c r="G12" s="60">
        <f>'Field data and Aber Falls'!G12</f>
        <v>1</v>
      </c>
      <c r="H12" s="60">
        <f>'Field data and Aber Falls'!H12</f>
        <v>2</v>
      </c>
      <c r="I12" s="60">
        <f>'Field data and Aber Falls'!I12</f>
        <v>1</v>
      </c>
      <c r="J12" s="60">
        <f>'Field data and Aber Falls'!J12</f>
        <v>2</v>
      </c>
      <c r="K12" s="60">
        <f>'Field data and Aber Falls'!K12</f>
        <v>2</v>
      </c>
      <c r="L12" s="60">
        <f>'Field data and Aber Falls'!L12</f>
        <v>0</v>
      </c>
      <c r="M12" s="60">
        <f>'Field data and Aber Falls'!M12</f>
        <v>0</v>
      </c>
      <c r="N12" s="60">
        <f>'Field data and Aber Falls'!N12</f>
        <v>0</v>
      </c>
      <c r="O12" s="60">
        <f>'Field data and Aber Falls'!O12</f>
        <v>0</v>
      </c>
      <c r="P12" s="60">
        <f>'Field data and Aber Falls'!P12</f>
        <v>0</v>
      </c>
      <c r="Q12" s="60">
        <f>'Field data and Aber Falls'!Q12</f>
        <v>0</v>
      </c>
      <c r="R12" s="60">
        <f>'Field data and Aber Falls'!R12</f>
        <v>0</v>
      </c>
      <c r="S12" s="60">
        <f>'Field data and Aber Falls'!S12</f>
        <v>0</v>
      </c>
      <c r="T12" s="60">
        <f>'Field data and Aber Falls'!T12</f>
        <v>0</v>
      </c>
      <c r="U12" s="60">
        <f>'Field data and Aber Falls'!U12</f>
        <v>0</v>
      </c>
      <c r="V12" s="60">
        <f>'Field data and Aber Falls'!V12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Aber Falls'!C13</f>
        <v>4</v>
      </c>
      <c r="D13" s="60">
        <f>'Field data and Aber Falls'!D13</f>
        <v>3</v>
      </c>
      <c r="E13" s="60">
        <f>'Field data and Aber Falls'!E13</f>
        <v>3</v>
      </c>
      <c r="F13" s="60">
        <f>'Field data and Aber Falls'!F13</f>
        <v>3</v>
      </c>
      <c r="G13" s="60">
        <f>'Field data and Aber Falls'!G13</f>
        <v>3</v>
      </c>
      <c r="H13" s="60">
        <f>'Field data and Aber Falls'!H13</f>
        <v>3</v>
      </c>
      <c r="I13" s="60">
        <f>'Field data and Aber Falls'!I13</f>
        <v>3</v>
      </c>
      <c r="J13" s="60">
        <f>'Field data and Aber Falls'!J13</f>
        <v>3</v>
      </c>
      <c r="K13" s="60">
        <f>'Field data and Aber Falls'!K13</f>
        <v>3</v>
      </c>
      <c r="L13" s="60">
        <f>'Field data and Aber Falls'!L13</f>
        <v>0</v>
      </c>
      <c r="M13" s="60">
        <f>'Field data and Aber Falls'!M13</f>
        <v>0</v>
      </c>
      <c r="N13" s="60">
        <f>'Field data and Aber Falls'!N13</f>
        <v>0</v>
      </c>
      <c r="O13" s="60">
        <f>'Field data and Aber Falls'!O13</f>
        <v>0</v>
      </c>
      <c r="P13" s="60">
        <f>'Field data and Aber Falls'!P13</f>
        <v>0</v>
      </c>
      <c r="Q13" s="60">
        <f>'Field data and Aber Falls'!Q13</f>
        <v>0</v>
      </c>
      <c r="R13" s="60">
        <f>'Field data and Aber Falls'!R13</f>
        <v>0</v>
      </c>
      <c r="S13" s="60">
        <f>'Field data and Aber Falls'!S13</f>
        <v>0</v>
      </c>
      <c r="T13" s="60">
        <f>'Field data and Aber Falls'!T13</f>
        <v>0</v>
      </c>
      <c r="U13" s="60">
        <f>'Field data and Aber Falls'!U13</f>
        <v>0</v>
      </c>
      <c r="V13" s="60">
        <f>'Field data and Aber Falls'!V13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Aber Falls'!C14</f>
        <v xml:space="preserve">Grass Silage (30% DM) </v>
      </c>
      <c r="D14" s="102" t="str">
        <f>'Field data and Aber Falls'!D14</f>
        <v xml:space="preserve">Grass Silage (30% DM) </v>
      </c>
      <c r="E14" s="102" t="str">
        <f>'Field data and Aber Falls'!E14</f>
        <v xml:space="preserve">Grass Silage (30% DM) </v>
      </c>
      <c r="F14" s="102" t="str">
        <f>'Field data and Aber Falls'!F14</f>
        <v xml:space="preserve">Grass Silage (30% DM) </v>
      </c>
      <c r="G14" s="102" t="str">
        <f>'Field data and Aber Falls'!G14</f>
        <v xml:space="preserve">Grass Silage (30% DM) </v>
      </c>
      <c r="H14" s="102" t="str">
        <f>'Field data and Aber Falls'!H14</f>
        <v xml:space="preserve">Grass Silage (30% DM) </v>
      </c>
      <c r="I14" s="102" t="str">
        <f>'Field data and Aber Falls'!I14</f>
        <v xml:space="preserve">Grass Silage (30% DM) </v>
      </c>
      <c r="J14" s="102" t="str">
        <f>'Field data and Aber Falls'!J14</f>
        <v xml:space="preserve">Grass Silage (30% DM) </v>
      </c>
      <c r="K14" s="102" t="str">
        <f>'Field data and Aber Falls'!K14</f>
        <v xml:space="preserve">Grass Silage (30% DM) </v>
      </c>
      <c r="L14" s="102">
        <f>'Field data and Aber Falls'!L14</f>
        <v>0</v>
      </c>
      <c r="M14" s="102">
        <f>'Field data and Aber Falls'!M14</f>
        <v>0</v>
      </c>
      <c r="N14" s="102">
        <f>'Field data and Aber Falls'!N14</f>
        <v>0</v>
      </c>
      <c r="O14" s="102">
        <f>'Field data and Aber Falls'!O14</f>
        <v>0</v>
      </c>
      <c r="P14" s="102">
        <f>'Field data and Aber Falls'!P14</f>
        <v>0</v>
      </c>
      <c r="Q14" s="102">
        <f>'Field data and Aber Falls'!Q14</f>
        <v>0</v>
      </c>
      <c r="R14" s="102">
        <f>'Field data and Aber Falls'!R14</f>
        <v>0</v>
      </c>
      <c r="S14" s="102">
        <f>'Field data and Aber Falls'!S14</f>
        <v>0</v>
      </c>
      <c r="T14" s="102">
        <f>'Field data and Aber Falls'!T14</f>
        <v>0</v>
      </c>
      <c r="U14" s="102">
        <f>'Field data and Aber Falls'!U14</f>
        <v>0</v>
      </c>
      <c r="V14" s="102">
        <f>'Field data and Aber Falls'!V14</f>
        <v>0</v>
      </c>
      <c r="AD14" s="30" t="s">
        <v>138</v>
      </c>
      <c r="AE14" s="30">
        <v>6</v>
      </c>
      <c r="AI14" s="53" t="s">
        <v>119</v>
      </c>
      <c r="AJ14" s="54">
        <v>0.8</v>
      </c>
      <c r="AK14" s="55">
        <v>1.7</v>
      </c>
      <c r="AL14" s="11">
        <v>12</v>
      </c>
      <c r="AM14" s="11">
        <v>6.7</v>
      </c>
      <c r="AN14" s="11" t="s">
        <v>135</v>
      </c>
    </row>
    <row r="15" spans="1:41" ht="13" x14ac:dyDescent="0.25">
      <c r="A15" s="130" t="s">
        <v>9</v>
      </c>
      <c r="B15" s="130"/>
      <c r="C15" s="60">
        <f>'Field data and Aber Falls'!C15</f>
        <v>47</v>
      </c>
      <c r="D15" s="60">
        <f>'Field data and Aber Falls'!D15</f>
        <v>47</v>
      </c>
      <c r="E15" s="60">
        <f>'Field data and Aber Falls'!E15</f>
        <v>47</v>
      </c>
      <c r="F15" s="60">
        <f>'Field data and Aber Falls'!F15</f>
        <v>47</v>
      </c>
      <c r="G15" s="60">
        <f>'Field data and Aber Falls'!G15</f>
        <v>47</v>
      </c>
      <c r="H15" s="60">
        <f>'Field data and Aber Falls'!H15</f>
        <v>47</v>
      </c>
      <c r="I15" s="60">
        <f>'Field data and Aber Falls'!I15</f>
        <v>47</v>
      </c>
      <c r="J15" s="60">
        <f>'Field data and Aber Falls'!J15</f>
        <v>47</v>
      </c>
      <c r="K15" s="60">
        <f>'Field data and Aber Falls'!K15</f>
        <v>47</v>
      </c>
      <c r="L15" s="60">
        <f>'Field data and Aber Falls'!L15</f>
        <v>0</v>
      </c>
      <c r="M15" s="60">
        <f>'Field data and Aber Falls'!M15</f>
        <v>0</v>
      </c>
      <c r="N15" s="60">
        <f>'Field data and Aber Falls'!N15</f>
        <v>0</v>
      </c>
      <c r="O15" s="60">
        <f>'Field data and Aber Falls'!O15</f>
        <v>0</v>
      </c>
      <c r="P15" s="60">
        <f>'Field data and Aber Falls'!P15</f>
        <v>0</v>
      </c>
      <c r="Q15" s="60">
        <f>'Field data and Aber Falls'!Q15</f>
        <v>0</v>
      </c>
      <c r="R15" s="60">
        <f>'Field data and Aber Falls'!R15</f>
        <v>0</v>
      </c>
      <c r="S15" s="60">
        <f>'Field data and Aber Falls'!S15</f>
        <v>0</v>
      </c>
      <c r="T15" s="60">
        <f>'Field data and Aber Falls'!T15</f>
        <v>0</v>
      </c>
      <c r="U15" s="60">
        <f>'Field data and Aber Falls'!U15</f>
        <v>0</v>
      </c>
      <c r="V15" s="60">
        <f>'Field data and Aber Falls'!V15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Aber Falls'!C16</f>
        <v>Medium/Clay</v>
      </c>
      <c r="D16" s="103" t="str">
        <f>'Field data and Aber Falls'!D16</f>
        <v>Medium/Clay</v>
      </c>
      <c r="E16" s="103" t="str">
        <f>'Field data and Aber Falls'!E16</f>
        <v>Medium/Clay</v>
      </c>
      <c r="F16" s="103" t="str">
        <f>'Field data and Aber Falls'!F16</f>
        <v>Medium/Clay</v>
      </c>
      <c r="G16" s="103" t="str">
        <f>'Field data and Aber Falls'!G16</f>
        <v>Medium/Clay</v>
      </c>
      <c r="H16" s="103" t="str">
        <f>'Field data and Aber Falls'!H16</f>
        <v>Medium/Clay</v>
      </c>
      <c r="I16" s="103" t="str">
        <f>'Field data and Aber Falls'!I16</f>
        <v>Medium/Clay</v>
      </c>
      <c r="J16" s="103" t="str">
        <f>'Field data and Aber Falls'!J16</f>
        <v>Medium/Clay</v>
      </c>
      <c r="K16" s="103" t="str">
        <f>'Field data and Aber Falls'!K16</f>
        <v>Medium/Clay</v>
      </c>
      <c r="L16" s="103">
        <f>'Field data and Aber Falls'!L16</f>
        <v>0</v>
      </c>
      <c r="M16" s="103">
        <f>'Field data and Aber Falls'!M16</f>
        <v>0</v>
      </c>
      <c r="N16" s="103">
        <f>'Field data and Aber Falls'!N16</f>
        <v>0</v>
      </c>
      <c r="O16" s="103">
        <f>'Field data and Aber Falls'!O16</f>
        <v>0</v>
      </c>
      <c r="P16" s="103">
        <f>'Field data and Aber Falls'!P16</f>
        <v>0</v>
      </c>
      <c r="Q16" s="103">
        <f>'Field data and Aber Falls'!Q16</f>
        <v>0</v>
      </c>
      <c r="R16" s="103">
        <f>'Field data and Aber Falls'!R16</f>
        <v>0</v>
      </c>
      <c r="S16" s="103">
        <f>'Field data and Aber Falls'!S16</f>
        <v>0</v>
      </c>
      <c r="T16" s="103">
        <f>'Field data and Aber Falls'!T16</f>
        <v>0</v>
      </c>
      <c r="U16" s="103">
        <f>'Field data and Aber Falls'!U16</f>
        <v>0</v>
      </c>
      <c r="V16" s="103">
        <f>'Field data and Aber Falls'!V16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98.7</v>
      </c>
      <c r="D17" s="28">
        <f t="shared" ref="D17:V17" si="0">(VLOOKUP(D$14,$AI2:$AK26,2,FALSE))*D$15</f>
        <v>98.7</v>
      </c>
      <c r="E17" s="28">
        <f t="shared" si="0"/>
        <v>98.7</v>
      </c>
      <c r="F17" s="28">
        <f t="shared" si="0"/>
        <v>98.7</v>
      </c>
      <c r="G17" s="28">
        <f t="shared" si="0"/>
        <v>98.7</v>
      </c>
      <c r="H17" s="28">
        <f t="shared" si="0"/>
        <v>98.7</v>
      </c>
      <c r="I17" s="28">
        <f t="shared" si="0"/>
        <v>98.7</v>
      </c>
      <c r="J17" s="28">
        <f t="shared" si="0"/>
        <v>98.7</v>
      </c>
      <c r="K17" s="28">
        <f t="shared" si="0"/>
        <v>98.7</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63.955853829999988</v>
      </c>
      <c r="D18" s="16">
        <f>$D32</f>
        <v>0</v>
      </c>
      <c r="E18" s="16">
        <f>$D33</f>
        <v>63.955853829999988</v>
      </c>
      <c r="F18" s="16">
        <f>$D34</f>
        <v>63.955853829999988</v>
      </c>
      <c r="G18" s="16">
        <f>$D35</f>
        <v>0</v>
      </c>
      <c r="H18" s="16">
        <f>$D36</f>
        <v>63.955853829999988</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-34.744146170000015</v>
      </c>
      <c r="D19" s="16">
        <f t="shared" ref="D19:V19" si="1">D18-D17</f>
        <v>-98.7</v>
      </c>
      <c r="E19" s="16">
        <f t="shared" si="1"/>
        <v>-34.744146170000015</v>
      </c>
      <c r="F19" s="16">
        <f t="shared" si="1"/>
        <v>-34.744146170000015</v>
      </c>
      <c r="G19" s="16">
        <f t="shared" si="1"/>
        <v>-98.7</v>
      </c>
      <c r="H19" s="16">
        <f t="shared" si="1"/>
        <v>-34.744146170000015</v>
      </c>
      <c r="I19" s="16">
        <f t="shared" si="1"/>
        <v>-98.7</v>
      </c>
      <c r="J19" s="16">
        <f t="shared" si="1"/>
        <v>-98.7</v>
      </c>
      <c r="K19" s="16">
        <f t="shared" si="1"/>
        <v>-98.7</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338.40000000000003</v>
      </c>
      <c r="D21" s="28">
        <f t="shared" ref="D21:V21" si="2">(VLOOKUP(D$14,$AI2:$AK26,3,FALSE))*D$15</f>
        <v>338.40000000000003</v>
      </c>
      <c r="E21" s="28">
        <f t="shared" si="2"/>
        <v>338.40000000000003</v>
      </c>
      <c r="F21" s="28">
        <f t="shared" si="2"/>
        <v>338.40000000000003</v>
      </c>
      <c r="G21" s="28">
        <f t="shared" si="2"/>
        <v>338.40000000000003</v>
      </c>
      <c r="H21" s="28">
        <f t="shared" si="2"/>
        <v>338.40000000000003</v>
      </c>
      <c r="I21" s="28">
        <f t="shared" si="2"/>
        <v>338.40000000000003</v>
      </c>
      <c r="J21" s="28">
        <f t="shared" si="2"/>
        <v>338.40000000000003</v>
      </c>
      <c r="K21" s="28">
        <f t="shared" si="2"/>
        <v>338.40000000000003</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1.6027415800000001E-4</v>
      </c>
      <c r="D22" s="16">
        <f>$E32</f>
        <v>0</v>
      </c>
      <c r="E22" s="16">
        <f>$E33</f>
        <v>1.6027415800000001E-4</v>
      </c>
      <c r="F22" s="16">
        <f>$E34</f>
        <v>1.6027415800000001E-4</v>
      </c>
      <c r="G22" s="16">
        <f>$E35</f>
        <v>0</v>
      </c>
      <c r="H22" s="16">
        <f>$E36</f>
        <v>1.6027415800000001E-4</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-338.39983972584201</v>
      </c>
      <c r="D23" s="16">
        <f t="shared" ref="D23:V23" si="3">D22-D21</f>
        <v>-338.40000000000003</v>
      </c>
      <c r="E23" s="16">
        <f t="shared" si="3"/>
        <v>-338.39983972584201</v>
      </c>
      <c r="F23" s="16">
        <f t="shared" si="3"/>
        <v>-338.39983972584201</v>
      </c>
      <c r="G23" s="16">
        <f t="shared" si="3"/>
        <v>-338.40000000000003</v>
      </c>
      <c r="H23" s="16">
        <f t="shared" si="3"/>
        <v>-338.39983972584201</v>
      </c>
      <c r="I23" s="16">
        <f t="shared" si="3"/>
        <v>-338.40000000000003</v>
      </c>
      <c r="J23" s="16">
        <f t="shared" si="3"/>
        <v>-338.40000000000003</v>
      </c>
      <c r="K23" s="16">
        <f t="shared" si="3"/>
        <v>-338.40000000000003</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55</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4.18</v>
      </c>
      <c r="C28" s="15">
        <v>1.08</v>
      </c>
      <c r="D28" s="15">
        <v>0.36099999999999999</v>
      </c>
      <c r="E28" s="15">
        <v>1.72E-2</v>
      </c>
      <c r="F28" s="15">
        <v>448</v>
      </c>
      <c r="G28" s="15">
        <v>69.900000000000006</v>
      </c>
      <c r="H28" s="15">
        <v>232</v>
      </c>
      <c r="I28" s="15">
        <v>6.2</v>
      </c>
      <c r="J28" s="15">
        <v>0.55000000000000004</v>
      </c>
      <c r="K28" s="23">
        <v>0.48</v>
      </c>
      <c r="L28" s="15">
        <v>18.2</v>
      </c>
      <c r="M28" s="15">
        <v>4.3</v>
      </c>
      <c r="N28" s="15">
        <v>185000</v>
      </c>
      <c r="O28" s="15">
        <v>6990</v>
      </c>
      <c r="P28" s="15"/>
      <c r="Q28" s="15">
        <v>9850</v>
      </c>
      <c r="R28" s="15"/>
      <c r="S28" s="15">
        <v>29.7</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SJC1</v>
      </c>
      <c r="B31" s="15">
        <v>185</v>
      </c>
      <c r="C31" s="77">
        <f>IF(C$27="%w/w SAR",((C$28*10)*$B31),IF(C$27="%w/w DM",(((C$28*10)*($B$28/100))*$B31),IF(C$27="kg/t SAR",(C$28*$B31),IF(C$27="kg/t DM",((C$28*($B$28/100))*$B31),IF(C$27="mg/kg SAR",((C$28*0.001)*$B31),IF(C$27="mg/kg DM",(((C$28*0.001)*($B$28/100))*$B31),0))))))</f>
        <v>83.516400000000004</v>
      </c>
      <c r="D31" s="77">
        <f>(IF(D$27="%w/w SAR",((D$28*10)*$B31),IF(D$27="%w/w DM",(((D$28*10)*($B$28/100))*$B31),IF(D$27="kg/t SAR",(D$28*$B31),IF(D$27="kg/t DM",((D$28*($B$28/100))*$B31),IF(D$27="mg/kg SAR",((D$28*0.001)*$B31),IF(D$27="mg/kg DM",(((D$28*0.001)*($B$28/100))*$B31),"0")))))))*2.291</f>
        <v>63.955853829999988</v>
      </c>
      <c r="E31" s="77">
        <f>(IF(E$27="%w/w SAR",((E$28*10)*$B31),IF(E$27="%w/w DM",(((E$28*10)*($B$28/100))*$B31),IF(E$27="kg/t SAR",(E$28*$B31),IF(E$27="kg/t DM",((E$28*($B$28/100))*$B31),IF(E$27="mg/kg SAR",((E$28*0.001)*$B31),IF(E$27="mg/kg DM",(((E$28*0.001)*($B$28/100))*$B31),"0")))))))*1.205</f>
        <v>1.6027415800000001E-4</v>
      </c>
      <c r="F31" s="77">
        <f>(IF(F$27="%w/w SAR",((F$28*10)*$B31),IF(F$27="%w/w DM",(((F$28*10)*($B$28/100))*$B31),IF(F$27="kg/t SAR",(F$28*$B31),IF(F$27="kg/t DM",((F$28*($B$28/100))*$B31),IF(F$27="mg/kg SAR",((F$28*0.001)*$B31),IF(F$27="mg/kg DM",(((F$28*0.001)*($B$28/100))*$B31),"0")))))))*1.658</f>
        <v>5.7439486719999993</v>
      </c>
      <c r="G31" s="77">
        <f t="shared" ref="G31:P46" si="5">IF(G$27="%w/w SAR",((G$28*10)*$B31),IF(G$27="%w/w DM",(((G$28*10)*($B$28/100))*$B31),IF(G$27="kg/t SAR",(G$28*$B31),IF(G$27="kg/t DM",((G$28*($B$28/100))*$B31),IF(G$27="mg/kg SAR",((G$28*0.001)*$B31),IF(G$27="mg/kg DM",(((G$28*0.001)*($B$28/100))*$B31),0))))))</f>
        <v>0.54053669999999998</v>
      </c>
      <c r="H31" s="77">
        <f t="shared" si="5"/>
        <v>1.7940559999999999</v>
      </c>
      <c r="I31" s="77">
        <f t="shared" si="5"/>
        <v>4.7944600000000004E-2</v>
      </c>
      <c r="J31" s="77">
        <f t="shared" si="5"/>
        <v>4.2531499999999998E-3</v>
      </c>
      <c r="K31" s="77">
        <f t="shared" si="5"/>
        <v>3.7118400000000001E-3</v>
      </c>
      <c r="L31" s="77">
        <f t="shared" si="5"/>
        <v>0.14074059999999999</v>
      </c>
      <c r="M31" s="77">
        <f t="shared" si="5"/>
        <v>3.3251899999999994E-2</v>
      </c>
      <c r="N31" s="77">
        <f t="shared" si="5"/>
        <v>1430.605</v>
      </c>
      <c r="O31" s="77">
        <f t="shared" si="5"/>
        <v>54.053669999999997</v>
      </c>
      <c r="P31" s="77">
        <f t="shared" si="5"/>
        <v>0</v>
      </c>
      <c r="Q31" s="77">
        <f>(IF(Q$27="%w/w SAR",((Q$28*10)*$B31),IF(Q$27="%w/w DM",(((Q$28*10)*($B$28/100))*$B31),IF(Q$27="kg/t SAR",(Q$28*$B31),IF(Q$27="kg/t DM",((Q$28*($B$28/100))*$B31),IF(Q$27="mg/kg SAR",((Q$28*0.001)*$B31),IF(Q$27="mg/kg DM",(((Q$28*0.001)*($B$28/100))*$B31),0)))))))*2.5</f>
        <v>190.42512499999998</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0.22967009999999999</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SJC2</v>
      </c>
      <c r="B32" s="15">
        <v>0</v>
      </c>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SJC3</v>
      </c>
      <c r="B33" s="15">
        <v>185</v>
      </c>
      <c r="C33" s="77">
        <f t="shared" si="6"/>
        <v>83.516400000000004</v>
      </c>
      <c r="D33" s="77">
        <f t="shared" si="7"/>
        <v>63.955853829999988</v>
      </c>
      <c r="E33" s="77">
        <f t="shared" si="8"/>
        <v>1.6027415800000001E-4</v>
      </c>
      <c r="F33" s="77">
        <f t="shared" si="9"/>
        <v>5.7439486719999993</v>
      </c>
      <c r="G33" s="77">
        <f t="shared" si="5"/>
        <v>0.54053669999999998</v>
      </c>
      <c r="H33" s="77">
        <f t="shared" si="5"/>
        <v>1.7940559999999999</v>
      </c>
      <c r="I33" s="77">
        <f t="shared" si="5"/>
        <v>4.7944600000000004E-2</v>
      </c>
      <c r="J33" s="77">
        <f t="shared" si="5"/>
        <v>4.2531499999999998E-3</v>
      </c>
      <c r="K33" s="77">
        <f t="shared" si="5"/>
        <v>3.7118400000000001E-3</v>
      </c>
      <c r="L33" s="77">
        <f t="shared" si="5"/>
        <v>0.14074059999999999</v>
      </c>
      <c r="M33" s="77">
        <f t="shared" si="5"/>
        <v>3.3251899999999994E-2</v>
      </c>
      <c r="N33" s="77">
        <f t="shared" si="5"/>
        <v>1430.605</v>
      </c>
      <c r="O33" s="77">
        <f t="shared" si="5"/>
        <v>54.053669999999997</v>
      </c>
      <c r="P33" s="77">
        <f t="shared" si="5"/>
        <v>0</v>
      </c>
      <c r="Q33" s="77">
        <f t="shared" si="10"/>
        <v>190.42512499999998</v>
      </c>
      <c r="R33" s="77">
        <f t="shared" si="11"/>
        <v>0</v>
      </c>
      <c r="S33" s="77">
        <f t="shared" si="11"/>
        <v>0.22967009999999999</v>
      </c>
      <c r="T33" s="77">
        <f t="shared" si="11"/>
        <v>0</v>
      </c>
      <c r="U33" s="77">
        <f t="shared" si="11"/>
        <v>0</v>
      </c>
      <c r="AB33" s="59"/>
      <c r="AC33" s="59"/>
      <c r="AD33" s="59"/>
      <c r="AE33" s="59"/>
      <c r="AF33" s="59"/>
      <c r="AG33" s="59"/>
      <c r="AH33" s="59"/>
      <c r="AI33" s="59"/>
    </row>
    <row r="34" spans="1:35" s="72" customFormat="1" ht="13" x14ac:dyDescent="0.35">
      <c r="A34" s="13" t="str">
        <f>F8</f>
        <v>SJC4</v>
      </c>
      <c r="B34" s="15">
        <v>185</v>
      </c>
      <c r="C34" s="77">
        <f t="shared" si="6"/>
        <v>83.516400000000004</v>
      </c>
      <c r="D34" s="77">
        <f t="shared" si="7"/>
        <v>63.955853829999988</v>
      </c>
      <c r="E34" s="77">
        <f t="shared" si="8"/>
        <v>1.6027415800000001E-4</v>
      </c>
      <c r="F34" s="77">
        <f t="shared" si="9"/>
        <v>5.7439486719999993</v>
      </c>
      <c r="G34" s="77">
        <f t="shared" si="5"/>
        <v>0.54053669999999998</v>
      </c>
      <c r="H34" s="77">
        <f t="shared" si="5"/>
        <v>1.7940559999999999</v>
      </c>
      <c r="I34" s="77">
        <f t="shared" si="5"/>
        <v>4.7944600000000004E-2</v>
      </c>
      <c r="J34" s="77">
        <f t="shared" si="5"/>
        <v>4.2531499999999998E-3</v>
      </c>
      <c r="K34" s="77">
        <f t="shared" si="5"/>
        <v>3.7118400000000001E-3</v>
      </c>
      <c r="L34" s="77">
        <f t="shared" si="5"/>
        <v>0.14074059999999999</v>
      </c>
      <c r="M34" s="77">
        <f t="shared" si="5"/>
        <v>3.3251899999999994E-2</v>
      </c>
      <c r="N34" s="77">
        <f t="shared" si="5"/>
        <v>1430.605</v>
      </c>
      <c r="O34" s="77">
        <f t="shared" si="5"/>
        <v>54.053669999999997</v>
      </c>
      <c r="P34" s="77">
        <f t="shared" si="5"/>
        <v>0</v>
      </c>
      <c r="Q34" s="77">
        <f t="shared" si="10"/>
        <v>190.42512499999998</v>
      </c>
      <c r="R34" s="77">
        <f t="shared" si="11"/>
        <v>0</v>
      </c>
      <c r="S34" s="77">
        <f t="shared" si="11"/>
        <v>0.22967009999999999</v>
      </c>
      <c r="T34" s="77">
        <f t="shared" si="11"/>
        <v>0</v>
      </c>
      <c r="U34" s="77">
        <f t="shared" si="11"/>
        <v>0</v>
      </c>
      <c r="AB34" s="59"/>
      <c r="AC34" s="59"/>
      <c r="AD34" s="59"/>
      <c r="AE34" s="59"/>
      <c r="AF34" s="59"/>
      <c r="AG34" s="59"/>
      <c r="AH34" s="59"/>
      <c r="AI34" s="59"/>
    </row>
    <row r="35" spans="1:35" s="72" customFormat="1" ht="13" x14ac:dyDescent="0.35">
      <c r="A35" s="13" t="str">
        <f>G8</f>
        <v>SJC5</v>
      </c>
      <c r="B35" s="15">
        <v>0</v>
      </c>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SJC6</v>
      </c>
      <c r="B36" s="15">
        <v>185</v>
      </c>
      <c r="C36" s="77">
        <f t="shared" si="6"/>
        <v>83.516400000000004</v>
      </c>
      <c r="D36" s="77">
        <f t="shared" si="7"/>
        <v>63.955853829999988</v>
      </c>
      <c r="E36" s="77">
        <f t="shared" si="8"/>
        <v>1.6027415800000001E-4</v>
      </c>
      <c r="F36" s="77">
        <f t="shared" si="9"/>
        <v>5.7439486719999993</v>
      </c>
      <c r="G36" s="77">
        <f t="shared" si="5"/>
        <v>0.54053669999999998</v>
      </c>
      <c r="H36" s="77">
        <f t="shared" si="5"/>
        <v>1.7940559999999999</v>
      </c>
      <c r="I36" s="77">
        <f t="shared" si="5"/>
        <v>4.7944600000000004E-2</v>
      </c>
      <c r="J36" s="77">
        <f t="shared" si="5"/>
        <v>4.2531499999999998E-3</v>
      </c>
      <c r="K36" s="77">
        <f t="shared" si="5"/>
        <v>3.7118400000000001E-3</v>
      </c>
      <c r="L36" s="77">
        <f t="shared" si="5"/>
        <v>0.14074059999999999</v>
      </c>
      <c r="M36" s="77">
        <f t="shared" si="5"/>
        <v>3.3251899999999994E-2</v>
      </c>
      <c r="N36" s="77">
        <f t="shared" si="5"/>
        <v>1430.605</v>
      </c>
      <c r="O36" s="77">
        <f t="shared" si="5"/>
        <v>54.053669999999997</v>
      </c>
      <c r="P36" s="77">
        <f t="shared" si="5"/>
        <v>0</v>
      </c>
      <c r="Q36" s="77">
        <f t="shared" si="10"/>
        <v>190.42512499999998</v>
      </c>
      <c r="R36" s="77">
        <f t="shared" si="11"/>
        <v>0</v>
      </c>
      <c r="S36" s="77">
        <f t="shared" si="11"/>
        <v>0.22967009999999999</v>
      </c>
      <c r="T36" s="77">
        <f t="shared" si="11"/>
        <v>0</v>
      </c>
      <c r="U36" s="77">
        <f t="shared" si="11"/>
        <v>0</v>
      </c>
      <c r="AB36" s="59"/>
      <c r="AC36" s="59"/>
      <c r="AD36" s="59"/>
      <c r="AE36" s="59"/>
      <c r="AF36" s="59"/>
      <c r="AG36" s="59"/>
      <c r="AH36" s="59"/>
      <c r="AI36" s="59"/>
    </row>
    <row r="37" spans="1:35" s="72" customFormat="1" ht="13" x14ac:dyDescent="0.35">
      <c r="A37" s="13" t="str">
        <f>I8</f>
        <v>SJC7</v>
      </c>
      <c r="B37" s="15">
        <v>0</v>
      </c>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Bonolwyn A</v>
      </c>
      <c r="B38" s="15">
        <v>0</v>
      </c>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Bodnolwyn B</v>
      </c>
      <c r="B39" s="15">
        <v>0</v>
      </c>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SJC1</v>
      </c>
      <c r="C57" s="8" t="str">
        <f t="shared" ref="C57:U57" si="13">D8</f>
        <v>SJC2</v>
      </c>
      <c r="D57" s="8" t="str">
        <f t="shared" si="13"/>
        <v>SJC3</v>
      </c>
      <c r="E57" s="8" t="str">
        <f t="shared" si="13"/>
        <v>SJC4</v>
      </c>
      <c r="F57" s="8" t="str">
        <f t="shared" si="13"/>
        <v>SJC5</v>
      </c>
      <c r="G57" s="8" t="str">
        <f t="shared" si="13"/>
        <v>SJC6</v>
      </c>
      <c r="H57" s="8" t="str">
        <f t="shared" si="13"/>
        <v>SJC7</v>
      </c>
      <c r="I57" s="8" t="str">
        <f t="shared" si="13"/>
        <v>Bonolwyn A</v>
      </c>
      <c r="J57" s="8" t="str">
        <f t="shared" si="13"/>
        <v>Bodnolwyn B</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Grass</v>
      </c>
      <c r="I58" s="13" t="str">
        <f>J16&amp;" I "&amp;(VLOOKUP(J14,Table24581114[],6,FALSE))</f>
        <v>Medium/Clay I Grass</v>
      </c>
      <c r="J58" s="13" t="str">
        <f>K16&amp;" I "&amp;(VLOOKUP(K14,Table24581114[],6,FALSE))</f>
        <v>Medium/Clay I Grass</v>
      </c>
      <c r="K58" s="13" t="e">
        <f>L16&amp;" I "&amp;(VLOOKUP(L14,Table24581114[],6,FALSE))</f>
        <v>#N/A</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1" t="s">
        <v>132</v>
      </c>
      <c r="B59" s="76">
        <f>VLOOKUP(C$14,Table24581114[],5,FALSE)</f>
        <v>6.2</v>
      </c>
      <c r="C59" s="76">
        <f>VLOOKUP(D$14,Table24581114[],5,FALSE)</f>
        <v>6.2</v>
      </c>
      <c r="D59" s="76">
        <f>VLOOKUP(E$14,Table24581114[],5,FALSE)</f>
        <v>6.2</v>
      </c>
      <c r="E59" s="76">
        <f>VLOOKUP(F$14,Table24581114[],5,FALSE)</f>
        <v>6.2</v>
      </c>
      <c r="F59" s="76">
        <f>VLOOKUP(G$14,Table24581114[],5,FALSE)</f>
        <v>6.2</v>
      </c>
      <c r="G59" s="76">
        <f>VLOOKUP(H$14,Table24581114[],5,FALSE)</f>
        <v>6.2</v>
      </c>
      <c r="H59" s="76">
        <f>VLOOKUP(I$14,Table24581114[],5,FALSE)</f>
        <v>6.2</v>
      </c>
      <c r="I59" s="76">
        <f>VLOOKUP(J$14,Table24581114[],5,FALSE)</f>
        <v>6.2</v>
      </c>
      <c r="J59" s="76">
        <f>VLOOKUP(K$14,Table24581114[],5,FALSE)</f>
        <v>6.2</v>
      </c>
      <c r="K59" s="76" t="e">
        <f>VLOOKUP(L$14,Table24581114[],5,FALSE)</f>
        <v>#N/A</v>
      </c>
      <c r="L59" s="76" t="e">
        <f>VLOOKUP(M$14,Table24581114[],5,FALSE)</f>
        <v>#N/A</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ht="13" x14ac:dyDescent="0.3">
      <c r="A60" s="111" t="s">
        <v>4</v>
      </c>
      <c r="B60" s="76">
        <f>C10</f>
        <v>6.4</v>
      </c>
      <c r="C60" s="76">
        <f t="shared" ref="C60:U60" si="14">D10</f>
        <v>5.8</v>
      </c>
      <c r="D60" s="76">
        <f t="shared" si="14"/>
        <v>6</v>
      </c>
      <c r="E60" s="76">
        <f t="shared" si="14"/>
        <v>6</v>
      </c>
      <c r="F60" s="76">
        <f t="shared" si="14"/>
        <v>5.9</v>
      </c>
      <c r="G60" s="76">
        <f t="shared" si="14"/>
        <v>6.1</v>
      </c>
      <c r="H60" s="76">
        <f t="shared" si="14"/>
        <v>5.8</v>
      </c>
      <c r="I60" s="76">
        <f t="shared" si="14"/>
        <v>5.8</v>
      </c>
      <c r="J60" s="76">
        <f t="shared" si="14"/>
        <v>5.7</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185</v>
      </c>
      <c r="C62" s="77">
        <f>B32</f>
        <v>0</v>
      </c>
      <c r="D62" s="77">
        <f>B33</f>
        <v>185</v>
      </c>
      <c r="E62" s="77">
        <f>B34</f>
        <v>185</v>
      </c>
      <c r="F62" s="77">
        <f>B35</f>
        <v>0</v>
      </c>
      <c r="G62" s="77">
        <f>B36</f>
        <v>185</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-1.2000000000000011</v>
      </c>
      <c r="C64" s="77">
        <f t="shared" ref="C64:U64" si="17">(C59-C60)*C61</f>
        <v>2.4000000000000021</v>
      </c>
      <c r="D64" s="77">
        <f t="shared" si="17"/>
        <v>1.2000000000000011</v>
      </c>
      <c r="E64" s="77">
        <f t="shared" si="17"/>
        <v>1.2000000000000011</v>
      </c>
      <c r="F64" s="77">
        <f t="shared" si="17"/>
        <v>1.7999999999999989</v>
      </c>
      <c r="G64" s="77">
        <f t="shared" si="17"/>
        <v>0.6000000000000032</v>
      </c>
      <c r="H64" s="77">
        <f t="shared" si="17"/>
        <v>2.4000000000000021</v>
      </c>
      <c r="I64" s="77">
        <f t="shared" si="17"/>
        <v>2.4000000000000021</v>
      </c>
      <c r="J64" s="77">
        <f t="shared" si="17"/>
        <v>3</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1.2000000000000011</v>
      </c>
      <c r="C65" s="77">
        <f t="shared" ref="C65:U65" si="18">C63-C64</f>
        <v>-2.4000000000000021</v>
      </c>
      <c r="D65" s="77">
        <f t="shared" si="18"/>
        <v>-1.2000000000000011</v>
      </c>
      <c r="E65" s="77">
        <f t="shared" si="18"/>
        <v>-1.2000000000000011</v>
      </c>
      <c r="F65" s="77">
        <f t="shared" si="18"/>
        <v>-1.7999999999999989</v>
      </c>
      <c r="G65" s="77">
        <f t="shared" si="18"/>
        <v>-0.6000000000000032</v>
      </c>
      <c r="H65" s="77">
        <f t="shared" si="18"/>
        <v>-2.4000000000000021</v>
      </c>
      <c r="I65" s="77">
        <f t="shared" si="18"/>
        <v>-2.4000000000000021</v>
      </c>
      <c r="J65" s="77">
        <f t="shared" si="18"/>
        <v>-3</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topLeftCell="A4" zoomScale="90" zoomScaleNormal="90" workbookViewId="0">
      <selection activeCell="I54" sqref="I5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Aber Falls'!C1:D1</f>
        <v>PAN-019961</v>
      </c>
      <c r="D1" s="141"/>
      <c r="E1" s="93" t="s">
        <v>45</v>
      </c>
      <c r="F1" s="39">
        <f>'Field data and Aber Falls'!F1</f>
        <v>48</v>
      </c>
      <c r="G1" s="120" t="s">
        <v>43</v>
      </c>
      <c r="H1" s="121"/>
      <c r="I1" s="118">
        <v>7</v>
      </c>
      <c r="J1" s="119" t="s">
        <v>153</v>
      </c>
      <c r="K1" s="119"/>
      <c r="L1" s="97">
        <v>327</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Aber Falls'!C2:D2</f>
        <v>EPR/GP3792SK</v>
      </c>
      <c r="D2" s="143"/>
      <c r="E2" s="93" t="s">
        <v>109</v>
      </c>
      <c r="F2" s="96" t="s">
        <v>174</v>
      </c>
      <c r="G2" s="138" t="s">
        <v>110</v>
      </c>
      <c r="H2" s="139"/>
      <c r="I2" s="118"/>
      <c r="J2" s="119" t="s">
        <v>158</v>
      </c>
      <c r="K2" s="119"/>
      <c r="L2" s="97">
        <v>1.05</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Aber Falls'!C3:D3</f>
        <v>ByProduct Recovery Ltd</v>
      </c>
      <c r="D3" s="143"/>
      <c r="E3" s="93" t="s">
        <v>108</v>
      </c>
      <c r="F3" s="31" t="s">
        <v>78</v>
      </c>
      <c r="G3" s="119" t="s">
        <v>159</v>
      </c>
      <c r="H3" s="119"/>
      <c r="I3" s="118"/>
      <c r="J3" s="120" t="s">
        <v>154</v>
      </c>
      <c r="K3" s="121"/>
      <c r="L3" s="97">
        <f>(L1/(L2*10000))*100</f>
        <v>3.1142857142857143</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Aber Falls'!C4:D4</f>
        <v>Plas Bach, Cerrigceinwen, Bodorgan, LL62 5NS</v>
      </c>
      <c r="D4" s="141"/>
      <c r="E4" s="94" t="s">
        <v>1</v>
      </c>
      <c r="F4" s="96" t="s">
        <v>181</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Aber Falls'!C5:D5</f>
        <v>Bryan Burn</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'Field data and Aber Falls'!C8</f>
        <v>SJC1</v>
      </c>
      <c r="D8" s="60" t="str">
        <f>'Field data and Aber Falls'!D8</f>
        <v>SJC2</v>
      </c>
      <c r="E8" s="60" t="str">
        <f>'Field data and Aber Falls'!E8</f>
        <v>SJC3</v>
      </c>
      <c r="F8" s="60" t="str">
        <f>'Field data and Aber Falls'!F8</f>
        <v>SJC4</v>
      </c>
      <c r="G8" s="60" t="str">
        <f>'Field data and Aber Falls'!G8</f>
        <v>SJC5</v>
      </c>
      <c r="H8" s="60" t="str">
        <f>'Field data and Aber Falls'!H8</f>
        <v>SJC6</v>
      </c>
      <c r="I8" s="60" t="str">
        <f>'Field data and Aber Falls'!I8</f>
        <v>SJC7</v>
      </c>
      <c r="J8" s="60" t="str">
        <f>'Field data and Aber Falls'!J8</f>
        <v>Bonolwyn A</v>
      </c>
      <c r="K8" s="60" t="str">
        <f>'Field data and Aber Falls'!K8</f>
        <v>Bodnolwyn B</v>
      </c>
      <c r="L8" s="60">
        <f>'Field data and Aber Falls'!L8</f>
        <v>0</v>
      </c>
      <c r="M8" s="60">
        <f>'Field data and Aber Falls'!M8</f>
        <v>0</v>
      </c>
      <c r="N8" s="60">
        <f>'Field data and Aber Falls'!N8</f>
        <v>0</v>
      </c>
      <c r="O8" s="60">
        <f>'Field data and Aber Falls'!O8</f>
        <v>0</v>
      </c>
      <c r="P8" s="60">
        <f>'Field data and Aber Falls'!P8</f>
        <v>0</v>
      </c>
      <c r="Q8" s="60">
        <f>'Field data and Aber Falls'!Q8</f>
        <v>0</v>
      </c>
      <c r="R8" s="60">
        <f>'Field data and Aber Falls'!R8</f>
        <v>0</v>
      </c>
      <c r="S8" s="60">
        <f>'Field data and Aber Falls'!S8</f>
        <v>0</v>
      </c>
      <c r="T8" s="60">
        <f>'Field data and Aber Falls'!T8</f>
        <v>0</v>
      </c>
      <c r="U8" s="60">
        <f>'Field data and Aber Falls'!U8</f>
        <v>0</v>
      </c>
      <c r="V8" s="60">
        <f>'Field data and Aber Falls'!V8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Aber Falls'!C9</f>
        <v>med</v>
      </c>
      <c r="D9" s="60" t="str">
        <f>'Field data and Aber Falls'!D9</f>
        <v>med</v>
      </c>
      <c r="E9" s="60" t="str">
        <f>'Field data and Aber Falls'!E9</f>
        <v>med</v>
      </c>
      <c r="F9" s="60" t="str">
        <f>'Field data and Aber Falls'!F9</f>
        <v>med</v>
      </c>
      <c r="G9" s="60" t="str">
        <f>'Field data and Aber Falls'!G9</f>
        <v>med</v>
      </c>
      <c r="H9" s="60" t="str">
        <f>'Field data and Aber Falls'!H9</f>
        <v>med</v>
      </c>
      <c r="I9" s="60" t="str">
        <f>'Field data and Aber Falls'!I9</f>
        <v>med</v>
      </c>
      <c r="J9" s="60" t="str">
        <f>'Field data and Aber Falls'!J9</f>
        <v>med</v>
      </c>
      <c r="K9" s="60" t="str">
        <f>'Field data and Aber Falls'!K9</f>
        <v>med</v>
      </c>
      <c r="L9" s="60">
        <f>'Field data and Aber Falls'!L9</f>
        <v>0</v>
      </c>
      <c r="M9" s="60">
        <f>'Field data and Aber Falls'!M9</f>
        <v>0</v>
      </c>
      <c r="N9" s="60">
        <f>'Field data and Aber Falls'!N9</f>
        <v>0</v>
      </c>
      <c r="O9" s="60">
        <f>'Field data and Aber Falls'!O9</f>
        <v>0</v>
      </c>
      <c r="P9" s="60">
        <f>'Field data and Aber Falls'!P9</f>
        <v>0</v>
      </c>
      <c r="Q9" s="60">
        <f>'Field data and Aber Falls'!Q9</f>
        <v>0</v>
      </c>
      <c r="R9" s="60">
        <f>'Field data and Aber Falls'!R9</f>
        <v>0</v>
      </c>
      <c r="S9" s="60">
        <f>'Field data and Aber Falls'!S9</f>
        <v>0</v>
      </c>
      <c r="T9" s="60">
        <f>'Field data and Aber Falls'!T9</f>
        <v>0</v>
      </c>
      <c r="U9" s="60">
        <f>'Field data and Aber Falls'!U9</f>
        <v>0</v>
      </c>
      <c r="V9" s="60">
        <f>'Field data and Aber Falls'!V9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Aber Falls'!C10</f>
        <v>6.4</v>
      </c>
      <c r="D10" s="60">
        <f>'Field data and Aber Falls'!D10</f>
        <v>5.8</v>
      </c>
      <c r="E10" s="60">
        <f>'Field data and Aber Falls'!E10</f>
        <v>6</v>
      </c>
      <c r="F10" s="60">
        <f>'Field data and Aber Falls'!F10</f>
        <v>6</v>
      </c>
      <c r="G10" s="60">
        <f>'Field data and Aber Falls'!G10</f>
        <v>5.9</v>
      </c>
      <c r="H10" s="60">
        <f>'Field data and Aber Falls'!H10</f>
        <v>6.1</v>
      </c>
      <c r="I10" s="60">
        <f>'Field data and Aber Falls'!I10</f>
        <v>5.8</v>
      </c>
      <c r="J10" s="60">
        <f>'Field data and Aber Falls'!J10</f>
        <v>5.8</v>
      </c>
      <c r="K10" s="60">
        <f>'Field data and Aber Falls'!K10</f>
        <v>5.7</v>
      </c>
      <c r="L10" s="60">
        <f>'Field data and Aber Falls'!L10</f>
        <v>0</v>
      </c>
      <c r="M10" s="60">
        <f>'Field data and Aber Falls'!M10</f>
        <v>0</v>
      </c>
      <c r="N10" s="60">
        <f>'Field data and Aber Falls'!N10</f>
        <v>0</v>
      </c>
      <c r="O10" s="60">
        <f>'Field data and Aber Falls'!O10</f>
        <v>0</v>
      </c>
      <c r="P10" s="60">
        <f>'Field data and Aber Falls'!P10</f>
        <v>0</v>
      </c>
      <c r="Q10" s="60">
        <f>'Field data and Aber Falls'!Q10</f>
        <v>0</v>
      </c>
      <c r="R10" s="60">
        <f>'Field data and Aber Falls'!R10</f>
        <v>0</v>
      </c>
      <c r="S10" s="60">
        <f>'Field data and Aber Falls'!S10</f>
        <v>0</v>
      </c>
      <c r="T10" s="60">
        <f>'Field data and Aber Falls'!T10</f>
        <v>0</v>
      </c>
      <c r="U10" s="60">
        <f>'Field data and Aber Falls'!U10</f>
        <v>0</v>
      </c>
      <c r="V10" s="60">
        <f>'Field data and Aber Falls'!V10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Aber Falls'!C11</f>
        <v>2</v>
      </c>
      <c r="D11" s="60">
        <f>'Field data and Aber Falls'!D11</f>
        <v>2</v>
      </c>
      <c r="E11" s="60">
        <f>'Field data and Aber Falls'!E11</f>
        <v>3</v>
      </c>
      <c r="F11" s="60">
        <f>'Field data and Aber Falls'!F11</f>
        <v>1</v>
      </c>
      <c r="G11" s="60">
        <f>'Field data and Aber Falls'!G11</f>
        <v>0</v>
      </c>
      <c r="H11" s="60">
        <f>'Field data and Aber Falls'!H11</f>
        <v>3</v>
      </c>
      <c r="I11" s="60">
        <f>'Field data and Aber Falls'!I11</f>
        <v>2</v>
      </c>
      <c r="J11" s="60">
        <f>'Field data and Aber Falls'!J11</f>
        <v>2</v>
      </c>
      <c r="K11" s="60">
        <f>'Field data and Aber Falls'!K11</f>
        <v>2</v>
      </c>
      <c r="L11" s="60">
        <f>'Field data and Aber Falls'!L11</f>
        <v>0</v>
      </c>
      <c r="M11" s="60">
        <f>'Field data and Aber Falls'!M11</f>
        <v>0</v>
      </c>
      <c r="N11" s="60">
        <f>'Field data and Aber Falls'!N11</f>
        <v>0</v>
      </c>
      <c r="O11" s="60">
        <f>'Field data and Aber Falls'!O11</f>
        <v>0</v>
      </c>
      <c r="P11" s="60">
        <f>'Field data and Aber Falls'!P11</f>
        <v>0</v>
      </c>
      <c r="Q11" s="60">
        <f>'Field data and Aber Falls'!Q11</f>
        <v>0</v>
      </c>
      <c r="R11" s="60">
        <f>'Field data and Aber Falls'!R11</f>
        <v>0</v>
      </c>
      <c r="S11" s="60">
        <f>'Field data and Aber Falls'!S11</f>
        <v>0</v>
      </c>
      <c r="T11" s="60">
        <f>'Field data and Aber Falls'!T11</f>
        <v>0</v>
      </c>
      <c r="U11" s="60">
        <f>'Field data and Aber Falls'!U11</f>
        <v>0</v>
      </c>
      <c r="V11" s="60">
        <f>'Field data and Aber Falls'!V11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Aber Falls'!C12</f>
        <v>3</v>
      </c>
      <c r="D12" s="60">
        <f>'Field data and Aber Falls'!D12</f>
        <v>4</v>
      </c>
      <c r="E12" s="60">
        <f>'Field data and Aber Falls'!E12</f>
        <v>4</v>
      </c>
      <c r="F12" s="60">
        <f>'Field data and Aber Falls'!F12</f>
        <v>1</v>
      </c>
      <c r="G12" s="60">
        <f>'Field data and Aber Falls'!G12</f>
        <v>1</v>
      </c>
      <c r="H12" s="60">
        <f>'Field data and Aber Falls'!H12</f>
        <v>2</v>
      </c>
      <c r="I12" s="60">
        <f>'Field data and Aber Falls'!I12</f>
        <v>1</v>
      </c>
      <c r="J12" s="60">
        <f>'Field data and Aber Falls'!J12</f>
        <v>2</v>
      </c>
      <c r="K12" s="60">
        <f>'Field data and Aber Falls'!K12</f>
        <v>2</v>
      </c>
      <c r="L12" s="60">
        <f>'Field data and Aber Falls'!L12</f>
        <v>0</v>
      </c>
      <c r="M12" s="60">
        <f>'Field data and Aber Falls'!M12</f>
        <v>0</v>
      </c>
      <c r="N12" s="60">
        <f>'Field data and Aber Falls'!N12</f>
        <v>0</v>
      </c>
      <c r="O12" s="60">
        <f>'Field data and Aber Falls'!O12</f>
        <v>0</v>
      </c>
      <c r="P12" s="60">
        <f>'Field data and Aber Falls'!P12</f>
        <v>0</v>
      </c>
      <c r="Q12" s="60">
        <f>'Field data and Aber Falls'!Q12</f>
        <v>0</v>
      </c>
      <c r="R12" s="60">
        <f>'Field data and Aber Falls'!R12</f>
        <v>0</v>
      </c>
      <c r="S12" s="60">
        <f>'Field data and Aber Falls'!S12</f>
        <v>0</v>
      </c>
      <c r="T12" s="60">
        <f>'Field data and Aber Falls'!T12</f>
        <v>0</v>
      </c>
      <c r="U12" s="60">
        <f>'Field data and Aber Falls'!U12</f>
        <v>0</v>
      </c>
      <c r="V12" s="60">
        <f>'Field data and Aber Falls'!V12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Aber Falls'!C13</f>
        <v>4</v>
      </c>
      <c r="D13" s="60">
        <f>'Field data and Aber Falls'!D13</f>
        <v>3</v>
      </c>
      <c r="E13" s="60">
        <f>'Field data and Aber Falls'!E13</f>
        <v>3</v>
      </c>
      <c r="F13" s="60">
        <f>'Field data and Aber Falls'!F13</f>
        <v>3</v>
      </c>
      <c r="G13" s="60">
        <f>'Field data and Aber Falls'!G13</f>
        <v>3</v>
      </c>
      <c r="H13" s="60">
        <f>'Field data and Aber Falls'!H13</f>
        <v>3</v>
      </c>
      <c r="I13" s="60">
        <f>'Field data and Aber Falls'!I13</f>
        <v>3</v>
      </c>
      <c r="J13" s="60">
        <f>'Field data and Aber Falls'!J13</f>
        <v>3</v>
      </c>
      <c r="K13" s="60">
        <f>'Field data and Aber Falls'!K13</f>
        <v>3</v>
      </c>
      <c r="L13" s="60">
        <f>'Field data and Aber Falls'!L13</f>
        <v>0</v>
      </c>
      <c r="M13" s="60">
        <f>'Field data and Aber Falls'!M13</f>
        <v>0</v>
      </c>
      <c r="N13" s="60">
        <f>'Field data and Aber Falls'!N13</f>
        <v>0</v>
      </c>
      <c r="O13" s="60">
        <f>'Field data and Aber Falls'!O13</f>
        <v>0</v>
      </c>
      <c r="P13" s="60">
        <f>'Field data and Aber Falls'!P13</f>
        <v>0</v>
      </c>
      <c r="Q13" s="60">
        <f>'Field data and Aber Falls'!Q13</f>
        <v>0</v>
      </c>
      <c r="R13" s="60">
        <f>'Field data and Aber Falls'!R13</f>
        <v>0</v>
      </c>
      <c r="S13" s="60">
        <f>'Field data and Aber Falls'!S13</f>
        <v>0</v>
      </c>
      <c r="T13" s="60">
        <f>'Field data and Aber Falls'!T13</f>
        <v>0</v>
      </c>
      <c r="U13" s="60">
        <f>'Field data and Aber Falls'!U13</f>
        <v>0</v>
      </c>
      <c r="V13" s="60">
        <f>'Field data and Aber Falls'!V13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Aber Falls'!C14</f>
        <v xml:space="preserve">Grass Silage (30% DM) </v>
      </c>
      <c r="D14" s="102" t="str">
        <f>'Field data and Aber Falls'!D14</f>
        <v xml:space="preserve">Grass Silage (30% DM) </v>
      </c>
      <c r="E14" s="102" t="str">
        <f>'Field data and Aber Falls'!E14</f>
        <v xml:space="preserve">Grass Silage (30% DM) </v>
      </c>
      <c r="F14" s="102" t="str">
        <f>'Field data and Aber Falls'!F14</f>
        <v xml:space="preserve">Grass Silage (30% DM) </v>
      </c>
      <c r="G14" s="102" t="str">
        <f>'Field data and Aber Falls'!G14</f>
        <v xml:space="preserve">Grass Silage (30% DM) </v>
      </c>
      <c r="H14" s="102" t="str">
        <f>'Field data and Aber Falls'!H14</f>
        <v xml:space="preserve">Grass Silage (30% DM) </v>
      </c>
      <c r="I14" s="102" t="str">
        <f>'Field data and Aber Falls'!I14</f>
        <v xml:space="preserve">Grass Silage (30% DM) </v>
      </c>
      <c r="J14" s="102" t="str">
        <f>'Field data and Aber Falls'!J14</f>
        <v xml:space="preserve">Grass Silage (30% DM) </v>
      </c>
      <c r="K14" s="102" t="str">
        <f>'Field data and Aber Falls'!K14</f>
        <v xml:space="preserve">Grass Silage (30% DM) </v>
      </c>
      <c r="L14" s="102">
        <f>'Field data and Aber Falls'!L14</f>
        <v>0</v>
      </c>
      <c r="M14" s="102">
        <f>'Field data and Aber Falls'!M14</f>
        <v>0</v>
      </c>
      <c r="N14" s="102">
        <f>'Field data and Aber Falls'!N14</f>
        <v>0</v>
      </c>
      <c r="O14" s="102">
        <f>'Field data and Aber Falls'!O14</f>
        <v>0</v>
      </c>
      <c r="P14" s="102">
        <f>'Field data and Aber Falls'!P14</f>
        <v>0</v>
      </c>
      <c r="Q14" s="102">
        <f>'Field data and Aber Falls'!Q14</f>
        <v>0</v>
      </c>
      <c r="R14" s="102">
        <f>'Field data and Aber Falls'!R14</f>
        <v>0</v>
      </c>
      <c r="S14" s="102">
        <f>'Field data and Aber Falls'!S14</f>
        <v>0</v>
      </c>
      <c r="T14" s="102">
        <f>'Field data and Aber Falls'!T14</f>
        <v>0</v>
      </c>
      <c r="U14" s="102">
        <f>'Field data and Aber Falls'!U14</f>
        <v>0</v>
      </c>
      <c r="V14" s="102">
        <f>'Field data and Aber Falls'!V14</f>
        <v>0</v>
      </c>
      <c r="AD14" s="30" t="s">
        <v>138</v>
      </c>
      <c r="AE14" s="30">
        <v>6</v>
      </c>
      <c r="AI14" s="53" t="s">
        <v>119</v>
      </c>
      <c r="AJ14" s="54">
        <v>0.8</v>
      </c>
      <c r="AK14" s="55">
        <v>1.7</v>
      </c>
      <c r="AL14" s="11">
        <v>12</v>
      </c>
      <c r="AM14" s="11">
        <v>6.7</v>
      </c>
      <c r="AN14" s="11" t="s">
        <v>135</v>
      </c>
    </row>
    <row r="15" spans="1:41" ht="13" x14ac:dyDescent="0.25">
      <c r="A15" s="130" t="s">
        <v>9</v>
      </c>
      <c r="B15" s="130"/>
      <c r="C15" s="60">
        <f>'Field data and Aber Falls'!C15</f>
        <v>47</v>
      </c>
      <c r="D15" s="60">
        <f>'Field data and Aber Falls'!D15</f>
        <v>47</v>
      </c>
      <c r="E15" s="60">
        <f>'Field data and Aber Falls'!E15</f>
        <v>47</v>
      </c>
      <c r="F15" s="60">
        <f>'Field data and Aber Falls'!F15</f>
        <v>47</v>
      </c>
      <c r="G15" s="60">
        <f>'Field data and Aber Falls'!G15</f>
        <v>47</v>
      </c>
      <c r="H15" s="60">
        <f>'Field data and Aber Falls'!H15</f>
        <v>47</v>
      </c>
      <c r="I15" s="60">
        <f>'Field data and Aber Falls'!I15</f>
        <v>47</v>
      </c>
      <c r="J15" s="60">
        <f>'Field data and Aber Falls'!J15</f>
        <v>47</v>
      </c>
      <c r="K15" s="60">
        <f>'Field data and Aber Falls'!K15</f>
        <v>47</v>
      </c>
      <c r="L15" s="60">
        <f>'Field data and Aber Falls'!L15</f>
        <v>0</v>
      </c>
      <c r="M15" s="60">
        <f>'Field data and Aber Falls'!M15</f>
        <v>0</v>
      </c>
      <c r="N15" s="60">
        <f>'Field data and Aber Falls'!N15</f>
        <v>0</v>
      </c>
      <c r="O15" s="60">
        <f>'Field data and Aber Falls'!O15</f>
        <v>0</v>
      </c>
      <c r="P15" s="60">
        <f>'Field data and Aber Falls'!P15</f>
        <v>0</v>
      </c>
      <c r="Q15" s="60">
        <f>'Field data and Aber Falls'!Q15</f>
        <v>0</v>
      </c>
      <c r="R15" s="60">
        <f>'Field data and Aber Falls'!R15</f>
        <v>0</v>
      </c>
      <c r="S15" s="60">
        <f>'Field data and Aber Falls'!S15</f>
        <v>0</v>
      </c>
      <c r="T15" s="60">
        <f>'Field data and Aber Falls'!T15</f>
        <v>0</v>
      </c>
      <c r="U15" s="60">
        <f>'Field data and Aber Falls'!U15</f>
        <v>0</v>
      </c>
      <c r="V15" s="60">
        <f>'Field data and Aber Falls'!V15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Aber Falls'!C16</f>
        <v>Medium/Clay</v>
      </c>
      <c r="D16" s="103" t="str">
        <f>'Field data and Aber Falls'!D16</f>
        <v>Medium/Clay</v>
      </c>
      <c r="E16" s="103" t="str">
        <f>'Field data and Aber Falls'!E16</f>
        <v>Medium/Clay</v>
      </c>
      <c r="F16" s="103" t="str">
        <f>'Field data and Aber Falls'!F16</f>
        <v>Medium/Clay</v>
      </c>
      <c r="G16" s="103" t="str">
        <f>'Field data and Aber Falls'!G16</f>
        <v>Medium/Clay</v>
      </c>
      <c r="H16" s="103" t="str">
        <f>'Field data and Aber Falls'!H16</f>
        <v>Medium/Clay</v>
      </c>
      <c r="I16" s="103" t="str">
        <f>'Field data and Aber Falls'!I16</f>
        <v>Medium/Clay</v>
      </c>
      <c r="J16" s="103" t="str">
        <f>'Field data and Aber Falls'!J16</f>
        <v>Medium/Clay</v>
      </c>
      <c r="K16" s="103" t="str">
        <f>'Field data and Aber Falls'!K16</f>
        <v>Medium/Clay</v>
      </c>
      <c r="L16" s="103">
        <f>'Field data and Aber Falls'!L16</f>
        <v>0</v>
      </c>
      <c r="M16" s="103">
        <f>'Field data and Aber Falls'!M16</f>
        <v>0</v>
      </c>
      <c r="N16" s="103">
        <f>'Field data and Aber Falls'!N16</f>
        <v>0</v>
      </c>
      <c r="O16" s="103">
        <f>'Field data and Aber Falls'!O16</f>
        <v>0</v>
      </c>
      <c r="P16" s="103">
        <f>'Field data and Aber Falls'!P16</f>
        <v>0</v>
      </c>
      <c r="Q16" s="103">
        <f>'Field data and Aber Falls'!Q16</f>
        <v>0</v>
      </c>
      <c r="R16" s="103">
        <f>'Field data and Aber Falls'!R16</f>
        <v>0</v>
      </c>
      <c r="S16" s="103">
        <f>'Field data and Aber Falls'!S16</f>
        <v>0</v>
      </c>
      <c r="T16" s="103">
        <f>'Field data and Aber Falls'!T16</f>
        <v>0</v>
      </c>
      <c r="U16" s="103">
        <f>'Field data and Aber Falls'!U16</f>
        <v>0</v>
      </c>
      <c r="V16" s="103">
        <f>'Field data and Aber Falls'!V16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98.7</v>
      </c>
      <c r="D17" s="28">
        <f t="shared" ref="D17:V17" si="0">(VLOOKUP(D$14,$AI2:$AK26,2,FALSE))*D$15</f>
        <v>98.7</v>
      </c>
      <c r="E17" s="28">
        <f t="shared" si="0"/>
        <v>98.7</v>
      </c>
      <c r="F17" s="28">
        <f t="shared" si="0"/>
        <v>98.7</v>
      </c>
      <c r="G17" s="28">
        <f t="shared" si="0"/>
        <v>98.7</v>
      </c>
      <c r="H17" s="28">
        <f t="shared" si="0"/>
        <v>98.7</v>
      </c>
      <c r="I17" s="28">
        <f t="shared" si="0"/>
        <v>98.7</v>
      </c>
      <c r="J17" s="28">
        <f t="shared" si="0"/>
        <v>98.7</v>
      </c>
      <c r="K17" s="28">
        <f t="shared" si="0"/>
        <v>98.7</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60.110685249999996</v>
      </c>
      <c r="D18" s="16">
        <f>$D32</f>
        <v>0</v>
      </c>
      <c r="E18" s="16">
        <f>$D33</f>
        <v>60.110685249999996</v>
      </c>
      <c r="F18" s="16">
        <f>$D34</f>
        <v>60.110685249999996</v>
      </c>
      <c r="G18" s="16">
        <f>$D35</f>
        <v>0</v>
      </c>
      <c r="H18" s="16">
        <f>$D36</f>
        <v>60.110685249999996</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-38.589314750000007</v>
      </c>
      <c r="D19" s="16">
        <f t="shared" ref="D19:V19" si="1">D18-D17</f>
        <v>-98.7</v>
      </c>
      <c r="E19" s="16">
        <f t="shared" si="1"/>
        <v>-38.589314750000007</v>
      </c>
      <c r="F19" s="16">
        <f t="shared" si="1"/>
        <v>-38.589314750000007</v>
      </c>
      <c r="G19" s="16">
        <f t="shared" si="1"/>
        <v>-98.7</v>
      </c>
      <c r="H19" s="16">
        <f t="shared" si="1"/>
        <v>-38.589314750000007</v>
      </c>
      <c r="I19" s="16">
        <f t="shared" si="1"/>
        <v>-98.7</v>
      </c>
      <c r="J19" s="16">
        <f t="shared" si="1"/>
        <v>-98.7</v>
      </c>
      <c r="K19" s="16">
        <f t="shared" si="1"/>
        <v>-98.7</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338.40000000000003</v>
      </c>
      <c r="D21" s="28">
        <f t="shared" ref="D21:V21" si="2">(VLOOKUP(D$14,$AI2:$AK26,3,FALSE))*D$15</f>
        <v>338.40000000000003</v>
      </c>
      <c r="E21" s="28">
        <f t="shared" si="2"/>
        <v>338.40000000000003</v>
      </c>
      <c r="F21" s="28">
        <f t="shared" si="2"/>
        <v>338.40000000000003</v>
      </c>
      <c r="G21" s="28">
        <f t="shared" si="2"/>
        <v>338.40000000000003</v>
      </c>
      <c r="H21" s="28">
        <f t="shared" si="2"/>
        <v>338.40000000000003</v>
      </c>
      <c r="I21" s="28">
        <f t="shared" si="2"/>
        <v>338.40000000000003</v>
      </c>
      <c r="J21" s="28">
        <f t="shared" si="2"/>
        <v>338.40000000000003</v>
      </c>
      <c r="K21" s="28">
        <f t="shared" si="2"/>
        <v>338.40000000000003</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3.1517377500000002E-4</v>
      </c>
      <c r="D22" s="16">
        <f>$E32</f>
        <v>0</v>
      </c>
      <c r="E22" s="16">
        <f>$E33</f>
        <v>3.1517377500000002E-4</v>
      </c>
      <c r="F22" s="16">
        <f>$E34</f>
        <v>3.1517377500000002E-4</v>
      </c>
      <c r="G22" s="16">
        <f>$E35</f>
        <v>0</v>
      </c>
      <c r="H22" s="16">
        <f>$E36</f>
        <v>3.1517377500000002E-4</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-338.39968482622504</v>
      </c>
      <c r="D23" s="16">
        <f t="shared" ref="D23:V23" si="3">D22-D21</f>
        <v>-338.40000000000003</v>
      </c>
      <c r="E23" s="16">
        <f t="shared" si="3"/>
        <v>-338.39968482622504</v>
      </c>
      <c r="F23" s="16">
        <f t="shared" si="3"/>
        <v>-338.39968482622504</v>
      </c>
      <c r="G23" s="16">
        <f t="shared" si="3"/>
        <v>-338.40000000000003</v>
      </c>
      <c r="H23" s="16">
        <f t="shared" si="3"/>
        <v>-338.39968482622504</v>
      </c>
      <c r="I23" s="16">
        <f t="shared" si="3"/>
        <v>-338.40000000000003</v>
      </c>
      <c r="J23" s="16">
        <f t="shared" si="3"/>
        <v>-338.40000000000003</v>
      </c>
      <c r="K23" s="16">
        <f t="shared" si="3"/>
        <v>-338.40000000000003</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55</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3.29</v>
      </c>
      <c r="C28" s="15">
        <v>1.05</v>
      </c>
      <c r="D28" s="15">
        <v>0.31900000000000001</v>
      </c>
      <c r="E28" s="15">
        <v>3.1800000000000002E-2</v>
      </c>
      <c r="F28" s="15">
        <v>254</v>
      </c>
      <c r="G28" s="15">
        <v>29.4</v>
      </c>
      <c r="H28" s="15">
        <v>603</v>
      </c>
      <c r="I28" s="15">
        <v>6.2</v>
      </c>
      <c r="J28" s="15">
        <v>3</v>
      </c>
      <c r="K28" s="23">
        <v>0.61</v>
      </c>
      <c r="L28" s="15">
        <v>26.8</v>
      </c>
      <c r="M28" s="15">
        <v>4.3</v>
      </c>
      <c r="N28" s="15">
        <v>164000</v>
      </c>
      <c r="O28" s="15">
        <v>3600</v>
      </c>
      <c r="P28" s="15"/>
      <c r="Q28" s="15">
        <v>7800</v>
      </c>
      <c r="R28" s="15"/>
      <c r="S28" s="15">
        <v>17.899999999999999</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SJC1</v>
      </c>
      <c r="B31" s="15">
        <v>250</v>
      </c>
      <c r="C31" s="77">
        <f>IF(C$27="%w/w SAR",((C$28*10)*$B31),IF(C$27="%w/w DM",(((C$28*10)*($B$28/100))*$B31),IF(C$27="kg/t SAR",(C$28*$B31),IF(C$27="kg/t DM",((C$28*($B$28/100))*$B31),IF(C$27="mg/kg SAR",((C$28*0.001)*$B31),IF(C$27="mg/kg DM",(((C$28*0.001)*($B$28/100))*$B31),0))))))</f>
        <v>86.362499999999997</v>
      </c>
      <c r="D31" s="77">
        <f>(IF(D$27="%w/w SAR",((D$28*10)*$B31),IF(D$27="%w/w DM",(((D$28*10)*($B$28/100))*$B31),IF(D$27="kg/t SAR",(D$28*$B31),IF(D$27="kg/t DM",((D$28*($B$28/100))*$B31),IF(D$27="mg/kg SAR",((D$28*0.001)*$B31),IF(D$27="mg/kg DM",(((D$28*0.001)*($B$28/100))*$B31),"0")))))))*2.291</f>
        <v>60.110685249999996</v>
      </c>
      <c r="E31" s="77">
        <f>(IF(E$27="%w/w SAR",((E$28*10)*$B31),IF(E$27="%w/w DM",(((E$28*10)*($B$28/100))*$B31),IF(E$27="kg/t SAR",(E$28*$B31),IF(E$27="kg/t DM",((E$28*($B$28/100))*$B31),IF(E$27="mg/kg SAR",((E$28*0.001)*$B31),IF(E$27="mg/kg DM",(((E$28*0.001)*($B$28/100))*$B31),"0")))))))*1.205</f>
        <v>3.1517377500000002E-4</v>
      </c>
      <c r="F31" s="77">
        <f>(IF(F$27="%w/w SAR",((F$28*10)*$B31),IF(F$27="%w/w DM",(((F$28*10)*($B$28/100))*$B31),IF(F$27="kg/t SAR",(F$28*$B31),IF(F$27="kg/t DM",((F$28*($B$28/100))*$B31),IF(F$27="mg/kg SAR",((F$28*0.001)*$B31),IF(F$27="mg/kg DM",(((F$28*0.001)*($B$28/100))*$B31),"0")))))))*1.658</f>
        <v>3.4638106999999998</v>
      </c>
      <c r="G31" s="77">
        <f t="shared" ref="G31:P46" si="5">IF(G$27="%w/w SAR",((G$28*10)*$B31),IF(G$27="%w/w DM",(((G$28*10)*($B$28/100))*$B31),IF(G$27="kg/t SAR",(G$28*$B31),IF(G$27="kg/t DM",((G$28*($B$28/100))*$B31),IF(G$27="mg/kg SAR",((G$28*0.001)*$B31),IF(G$27="mg/kg DM",(((G$28*0.001)*($B$28/100))*$B31),0))))))</f>
        <v>0.24181499999999997</v>
      </c>
      <c r="H31" s="77">
        <f t="shared" si="5"/>
        <v>4.9596749999999989</v>
      </c>
      <c r="I31" s="77">
        <f t="shared" si="5"/>
        <v>5.0995000000000006E-2</v>
      </c>
      <c r="J31" s="77">
        <f t="shared" si="5"/>
        <v>2.4674999999999999E-2</v>
      </c>
      <c r="K31" s="77">
        <f t="shared" si="5"/>
        <v>5.0172499999999991E-3</v>
      </c>
      <c r="L31" s="77">
        <f t="shared" si="5"/>
        <v>0.22043000000000001</v>
      </c>
      <c r="M31" s="77">
        <f t="shared" si="5"/>
        <v>3.5367499999999996E-2</v>
      </c>
      <c r="N31" s="77">
        <f t="shared" si="5"/>
        <v>1348.9</v>
      </c>
      <c r="O31" s="77">
        <f t="shared" si="5"/>
        <v>29.61</v>
      </c>
      <c r="P31" s="77">
        <f t="shared" si="5"/>
        <v>0</v>
      </c>
      <c r="Q31" s="77">
        <f>(IF(Q$27="%w/w SAR",((Q$28*10)*$B31),IF(Q$27="%w/w DM",(((Q$28*10)*($B$28/100))*$B31),IF(Q$27="kg/t SAR",(Q$28*$B31),IF(Q$27="kg/t DM",((Q$28*($B$28/100))*$B31),IF(Q$27="mg/kg SAR",((Q$28*0.001)*$B31),IF(Q$27="mg/kg DM",(((Q$28*0.001)*($B$28/100))*$B31),0)))))))*2.5</f>
        <v>160.38749999999996</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0.14722750000000001</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SJC2</v>
      </c>
      <c r="B32" s="15">
        <v>0</v>
      </c>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SJC3</v>
      </c>
      <c r="B33" s="15">
        <v>250</v>
      </c>
      <c r="C33" s="77">
        <f t="shared" si="6"/>
        <v>86.362499999999997</v>
      </c>
      <c r="D33" s="77">
        <f t="shared" si="7"/>
        <v>60.110685249999996</v>
      </c>
      <c r="E33" s="77">
        <f t="shared" si="8"/>
        <v>3.1517377500000002E-4</v>
      </c>
      <c r="F33" s="77">
        <f t="shared" si="9"/>
        <v>3.4638106999999998</v>
      </c>
      <c r="G33" s="77">
        <f t="shared" si="5"/>
        <v>0.24181499999999997</v>
      </c>
      <c r="H33" s="77">
        <f t="shared" si="5"/>
        <v>4.9596749999999989</v>
      </c>
      <c r="I33" s="77">
        <f t="shared" si="5"/>
        <v>5.0995000000000006E-2</v>
      </c>
      <c r="J33" s="77">
        <f t="shared" si="5"/>
        <v>2.4674999999999999E-2</v>
      </c>
      <c r="K33" s="77">
        <f t="shared" si="5"/>
        <v>5.0172499999999991E-3</v>
      </c>
      <c r="L33" s="77">
        <f t="shared" si="5"/>
        <v>0.22043000000000001</v>
      </c>
      <c r="M33" s="77">
        <f t="shared" si="5"/>
        <v>3.5367499999999996E-2</v>
      </c>
      <c r="N33" s="77">
        <f t="shared" si="5"/>
        <v>1348.9</v>
      </c>
      <c r="O33" s="77">
        <f t="shared" si="5"/>
        <v>29.61</v>
      </c>
      <c r="P33" s="77">
        <f t="shared" si="5"/>
        <v>0</v>
      </c>
      <c r="Q33" s="77">
        <f t="shared" si="10"/>
        <v>160.38749999999996</v>
      </c>
      <c r="R33" s="77">
        <f t="shared" si="11"/>
        <v>0</v>
      </c>
      <c r="S33" s="77">
        <f t="shared" si="11"/>
        <v>0.14722750000000001</v>
      </c>
      <c r="T33" s="77">
        <f t="shared" si="11"/>
        <v>0</v>
      </c>
      <c r="U33" s="77">
        <f t="shared" si="11"/>
        <v>0</v>
      </c>
      <c r="AB33" s="59"/>
      <c r="AC33" s="59"/>
      <c r="AD33" s="59"/>
      <c r="AE33" s="59"/>
      <c r="AF33" s="59"/>
      <c r="AG33" s="59"/>
      <c r="AH33" s="59"/>
      <c r="AI33" s="59"/>
    </row>
    <row r="34" spans="1:35" s="72" customFormat="1" ht="13" x14ac:dyDescent="0.35">
      <c r="A34" s="13" t="str">
        <f>F8</f>
        <v>SJC4</v>
      </c>
      <c r="B34" s="15">
        <v>250</v>
      </c>
      <c r="C34" s="77">
        <f t="shared" si="6"/>
        <v>86.362499999999997</v>
      </c>
      <c r="D34" s="77">
        <f t="shared" si="7"/>
        <v>60.110685249999996</v>
      </c>
      <c r="E34" s="77">
        <f t="shared" si="8"/>
        <v>3.1517377500000002E-4</v>
      </c>
      <c r="F34" s="77">
        <f t="shared" si="9"/>
        <v>3.4638106999999998</v>
      </c>
      <c r="G34" s="77">
        <f t="shared" si="5"/>
        <v>0.24181499999999997</v>
      </c>
      <c r="H34" s="77">
        <f t="shared" si="5"/>
        <v>4.9596749999999989</v>
      </c>
      <c r="I34" s="77">
        <f t="shared" si="5"/>
        <v>5.0995000000000006E-2</v>
      </c>
      <c r="J34" s="77">
        <f t="shared" si="5"/>
        <v>2.4674999999999999E-2</v>
      </c>
      <c r="K34" s="77">
        <f t="shared" si="5"/>
        <v>5.0172499999999991E-3</v>
      </c>
      <c r="L34" s="77">
        <f t="shared" si="5"/>
        <v>0.22043000000000001</v>
      </c>
      <c r="M34" s="77">
        <f t="shared" si="5"/>
        <v>3.5367499999999996E-2</v>
      </c>
      <c r="N34" s="77">
        <f t="shared" si="5"/>
        <v>1348.9</v>
      </c>
      <c r="O34" s="77">
        <f t="shared" si="5"/>
        <v>29.61</v>
      </c>
      <c r="P34" s="77">
        <f t="shared" si="5"/>
        <v>0</v>
      </c>
      <c r="Q34" s="77">
        <f t="shared" si="10"/>
        <v>160.38749999999996</v>
      </c>
      <c r="R34" s="77">
        <f t="shared" si="11"/>
        <v>0</v>
      </c>
      <c r="S34" s="77">
        <f t="shared" si="11"/>
        <v>0.14722750000000001</v>
      </c>
      <c r="T34" s="77">
        <f t="shared" si="11"/>
        <v>0</v>
      </c>
      <c r="U34" s="77">
        <f t="shared" si="11"/>
        <v>0</v>
      </c>
      <c r="AB34" s="59"/>
      <c r="AC34" s="59"/>
      <c r="AD34" s="59"/>
      <c r="AE34" s="59"/>
      <c r="AF34" s="59"/>
      <c r="AG34" s="59"/>
      <c r="AH34" s="59"/>
      <c r="AI34" s="59"/>
    </row>
    <row r="35" spans="1:35" s="72" customFormat="1" ht="13" x14ac:dyDescent="0.35">
      <c r="A35" s="13" t="str">
        <f>G8</f>
        <v>SJC5</v>
      </c>
      <c r="B35" s="15">
        <v>0</v>
      </c>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SJC6</v>
      </c>
      <c r="B36" s="15">
        <v>250</v>
      </c>
      <c r="C36" s="77">
        <f t="shared" si="6"/>
        <v>86.362499999999997</v>
      </c>
      <c r="D36" s="77">
        <f t="shared" si="7"/>
        <v>60.110685249999996</v>
      </c>
      <c r="E36" s="77">
        <f t="shared" si="8"/>
        <v>3.1517377500000002E-4</v>
      </c>
      <c r="F36" s="77">
        <f t="shared" si="9"/>
        <v>3.4638106999999998</v>
      </c>
      <c r="G36" s="77">
        <f t="shared" si="5"/>
        <v>0.24181499999999997</v>
      </c>
      <c r="H36" s="77">
        <f t="shared" si="5"/>
        <v>4.9596749999999989</v>
      </c>
      <c r="I36" s="77">
        <f t="shared" si="5"/>
        <v>5.0995000000000006E-2</v>
      </c>
      <c r="J36" s="77">
        <f t="shared" si="5"/>
        <v>2.4674999999999999E-2</v>
      </c>
      <c r="K36" s="77">
        <f t="shared" si="5"/>
        <v>5.0172499999999991E-3</v>
      </c>
      <c r="L36" s="77">
        <f t="shared" si="5"/>
        <v>0.22043000000000001</v>
      </c>
      <c r="M36" s="77">
        <f t="shared" si="5"/>
        <v>3.5367499999999996E-2</v>
      </c>
      <c r="N36" s="77">
        <f t="shared" si="5"/>
        <v>1348.9</v>
      </c>
      <c r="O36" s="77">
        <f t="shared" si="5"/>
        <v>29.61</v>
      </c>
      <c r="P36" s="77">
        <f t="shared" si="5"/>
        <v>0</v>
      </c>
      <c r="Q36" s="77">
        <f t="shared" si="10"/>
        <v>160.38749999999996</v>
      </c>
      <c r="R36" s="77">
        <f t="shared" si="11"/>
        <v>0</v>
      </c>
      <c r="S36" s="77">
        <f t="shared" si="11"/>
        <v>0.14722750000000001</v>
      </c>
      <c r="T36" s="77">
        <f t="shared" si="11"/>
        <v>0</v>
      </c>
      <c r="U36" s="77">
        <f t="shared" si="11"/>
        <v>0</v>
      </c>
      <c r="AB36" s="59"/>
      <c r="AC36" s="59"/>
      <c r="AD36" s="59"/>
      <c r="AE36" s="59"/>
      <c r="AF36" s="59"/>
      <c r="AG36" s="59"/>
      <c r="AH36" s="59"/>
      <c r="AI36" s="59"/>
    </row>
    <row r="37" spans="1:35" s="72" customFormat="1" ht="13" x14ac:dyDescent="0.35">
      <c r="A37" s="13" t="str">
        <f>I8</f>
        <v>SJC7</v>
      </c>
      <c r="B37" s="15">
        <v>0</v>
      </c>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Bonolwyn A</v>
      </c>
      <c r="B38" s="15">
        <v>0</v>
      </c>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Bodnolwyn B</v>
      </c>
      <c r="B39" s="15">
        <v>0</v>
      </c>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SJC1</v>
      </c>
      <c r="C57" s="8" t="str">
        <f t="shared" ref="C57:U57" si="13">D8</f>
        <v>SJC2</v>
      </c>
      <c r="D57" s="8" t="str">
        <f t="shared" si="13"/>
        <v>SJC3</v>
      </c>
      <c r="E57" s="8" t="str">
        <f t="shared" si="13"/>
        <v>SJC4</v>
      </c>
      <c r="F57" s="8" t="str">
        <f t="shared" si="13"/>
        <v>SJC5</v>
      </c>
      <c r="G57" s="8" t="str">
        <f t="shared" si="13"/>
        <v>SJC6</v>
      </c>
      <c r="H57" s="8" t="str">
        <f t="shared" si="13"/>
        <v>SJC7</v>
      </c>
      <c r="I57" s="8" t="str">
        <f t="shared" si="13"/>
        <v>Bonolwyn A</v>
      </c>
      <c r="J57" s="8" t="str">
        <f t="shared" si="13"/>
        <v>Bodnolwyn B</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str">
        <f>I16&amp;" I "&amp;(VLOOKUP(I14,Table245810[],6,FALSE))</f>
        <v>Medium/Clay I Grass</v>
      </c>
      <c r="I58" s="13" t="str">
        <f>J16&amp;" I "&amp;(VLOOKUP(J14,Table245810[],6,FALSE))</f>
        <v>Medium/Clay I Grass</v>
      </c>
      <c r="J58" s="13" t="str">
        <f>K16&amp;" I "&amp;(VLOOKUP(K14,Table245810[],6,FALSE))</f>
        <v>Medium/Clay I Grass</v>
      </c>
      <c r="K58" s="13" t="e">
        <f>L16&amp;" I "&amp;(VLOOKUP(L14,Table245810[],6,FALSE))</f>
        <v>#N/A</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1" t="s">
        <v>132</v>
      </c>
      <c r="B59" s="76">
        <f>VLOOKUP(C$14,Table245810[],5,FALSE)</f>
        <v>6.2</v>
      </c>
      <c r="C59" s="76">
        <f>VLOOKUP(D$14,Table245810[],5,FALSE)</f>
        <v>6.2</v>
      </c>
      <c r="D59" s="76">
        <f>VLOOKUP(E$14,Table245810[],5,FALSE)</f>
        <v>6.2</v>
      </c>
      <c r="E59" s="76">
        <f>VLOOKUP(F$14,Table245810[],5,FALSE)</f>
        <v>6.2</v>
      </c>
      <c r="F59" s="76">
        <f>VLOOKUP(G$14,Table245810[],5,FALSE)</f>
        <v>6.2</v>
      </c>
      <c r="G59" s="76">
        <f>VLOOKUP(H$14,Table245810[],5,FALSE)</f>
        <v>6.2</v>
      </c>
      <c r="H59" s="76">
        <f>VLOOKUP(I$14,Table245810[],5,FALSE)</f>
        <v>6.2</v>
      </c>
      <c r="I59" s="76">
        <f>VLOOKUP(J$14,Table245810[],5,FALSE)</f>
        <v>6.2</v>
      </c>
      <c r="J59" s="76">
        <f>VLOOKUP(K$14,Table245810[],5,FALSE)</f>
        <v>6.2</v>
      </c>
      <c r="K59" s="76" t="e">
        <f>VLOOKUP(L$14,Table245810[],5,FALSE)</f>
        <v>#N/A</v>
      </c>
      <c r="L59" s="76" t="e">
        <f>VLOOKUP(M$14,Table245810[],5,FALSE)</f>
        <v>#N/A</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ht="13" x14ac:dyDescent="0.3">
      <c r="A60" s="111" t="s">
        <v>4</v>
      </c>
      <c r="B60" s="76">
        <f>C10</f>
        <v>6.4</v>
      </c>
      <c r="C60" s="76">
        <f t="shared" ref="C60:U60" si="14">D10</f>
        <v>5.8</v>
      </c>
      <c r="D60" s="76">
        <f t="shared" si="14"/>
        <v>6</v>
      </c>
      <c r="E60" s="76">
        <f t="shared" si="14"/>
        <v>6</v>
      </c>
      <c r="F60" s="76">
        <f t="shared" si="14"/>
        <v>5.9</v>
      </c>
      <c r="G60" s="76">
        <f t="shared" si="14"/>
        <v>6.1</v>
      </c>
      <c r="H60" s="76">
        <f t="shared" si="14"/>
        <v>5.8</v>
      </c>
      <c r="I60" s="76">
        <f t="shared" si="14"/>
        <v>5.8</v>
      </c>
      <c r="J60" s="76">
        <f t="shared" si="14"/>
        <v>5.7</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0</v>
      </c>
      <c r="D62" s="77">
        <f>B33</f>
        <v>250</v>
      </c>
      <c r="E62" s="77">
        <f>B34</f>
        <v>250</v>
      </c>
      <c r="F62" s="77">
        <f>B35</f>
        <v>0</v>
      </c>
      <c r="G62" s="77">
        <f>B36</f>
        <v>250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-1.2000000000000011</v>
      </c>
      <c r="C64" s="77">
        <f t="shared" ref="C64:U64" si="17">(C59-C60)*C61</f>
        <v>2.4000000000000021</v>
      </c>
      <c r="D64" s="77">
        <f t="shared" si="17"/>
        <v>1.2000000000000011</v>
      </c>
      <c r="E64" s="77">
        <f t="shared" si="17"/>
        <v>1.2000000000000011</v>
      </c>
      <c r="F64" s="77">
        <f t="shared" si="17"/>
        <v>1.7999999999999989</v>
      </c>
      <c r="G64" s="77">
        <f t="shared" si="17"/>
        <v>0.6000000000000032</v>
      </c>
      <c r="H64" s="77">
        <f t="shared" si="17"/>
        <v>2.4000000000000021</v>
      </c>
      <c r="I64" s="77">
        <f t="shared" si="17"/>
        <v>2.4000000000000021</v>
      </c>
      <c r="J64" s="77">
        <f t="shared" si="17"/>
        <v>3</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1.2000000000000011</v>
      </c>
      <c r="C65" s="77">
        <f t="shared" ref="C65:U65" si="18">C63-C64</f>
        <v>-2.4000000000000021</v>
      </c>
      <c r="D65" s="77">
        <f t="shared" si="18"/>
        <v>-1.2000000000000011</v>
      </c>
      <c r="E65" s="77">
        <f t="shared" si="18"/>
        <v>-1.2000000000000011</v>
      </c>
      <c r="F65" s="77">
        <f t="shared" si="18"/>
        <v>-1.7999999999999989</v>
      </c>
      <c r="G65" s="77">
        <f t="shared" si="18"/>
        <v>-0.6000000000000032</v>
      </c>
      <c r="H65" s="77">
        <f t="shared" si="18"/>
        <v>-2.4000000000000021</v>
      </c>
      <c r="I65" s="77">
        <f t="shared" si="18"/>
        <v>-2.4000000000000021</v>
      </c>
      <c r="J65" s="77">
        <f t="shared" si="18"/>
        <v>-3</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09" priority="37" operator="equal">
      <formula>"DECREASE"</formula>
    </cfRule>
    <cfRule type="cellIs" dxfId="208" priority="38" operator="equal">
      <formula>"INCREASE"</formula>
    </cfRule>
  </conditionalFormatting>
  <conditionalFormatting sqref="B31:B50 B62:U66">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topLeftCell="F1" zoomScale="90" zoomScaleNormal="90" workbookViewId="0">
      <selection activeCell="W38" sqref="W3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Aber Falls'!C1:D1</f>
        <v>PAN-019961</v>
      </c>
      <c r="D1" s="141"/>
      <c r="E1" s="93" t="s">
        <v>45</v>
      </c>
      <c r="F1" s="39">
        <f>'Field data and Aber Falls'!F1</f>
        <v>48</v>
      </c>
      <c r="G1" s="120" t="s">
        <v>43</v>
      </c>
      <c r="H1" s="121"/>
      <c r="I1" s="118">
        <v>7.1</v>
      </c>
      <c r="J1" s="119" t="s">
        <v>153</v>
      </c>
      <c r="K1" s="119"/>
      <c r="L1" s="97">
        <v>281</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Aber Falls'!C2:D2</f>
        <v>EPR/GP3792SK</v>
      </c>
      <c r="D2" s="143"/>
      <c r="E2" s="93" t="s">
        <v>109</v>
      </c>
      <c r="F2" s="96" t="s">
        <v>174</v>
      </c>
      <c r="G2" s="138" t="s">
        <v>110</v>
      </c>
      <c r="H2" s="139"/>
      <c r="I2" s="118"/>
      <c r="J2" s="119" t="s">
        <v>158</v>
      </c>
      <c r="K2" s="119"/>
      <c r="L2" s="97">
        <v>0.71</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Aber Falls'!C3:D3</f>
        <v>ByProduct Recovery Ltd</v>
      </c>
      <c r="D3" s="143"/>
      <c r="E3" s="93" t="s">
        <v>108</v>
      </c>
      <c r="F3" s="31" t="s">
        <v>78</v>
      </c>
      <c r="G3" s="119" t="s">
        <v>159</v>
      </c>
      <c r="H3" s="119"/>
      <c r="I3" s="118"/>
      <c r="J3" s="120" t="s">
        <v>154</v>
      </c>
      <c r="K3" s="121"/>
      <c r="L3" s="97">
        <f>(L1/(L2*10000))*100</f>
        <v>3.957746478873239</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Aber Falls'!C4:D4</f>
        <v>Plas Bach, Cerrigceinwen, Bodorgan, LL62 5NS</v>
      </c>
      <c r="D4" s="141"/>
      <c r="E4" s="94" t="s">
        <v>1</v>
      </c>
      <c r="F4" s="96" t="s">
        <v>182</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Aber Falls'!C5:D5</f>
        <v>Bryan Burn</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'Field data and Aber Falls'!C8</f>
        <v>SJC1</v>
      </c>
      <c r="D8" s="60" t="str">
        <f>'Field data and Aber Falls'!D8</f>
        <v>SJC2</v>
      </c>
      <c r="E8" s="60" t="str">
        <f>'Field data and Aber Falls'!E8</f>
        <v>SJC3</v>
      </c>
      <c r="F8" s="60" t="str">
        <f>'Field data and Aber Falls'!F8</f>
        <v>SJC4</v>
      </c>
      <c r="G8" s="60" t="str">
        <f>'Field data and Aber Falls'!G8</f>
        <v>SJC5</v>
      </c>
      <c r="H8" s="60" t="str">
        <f>'Field data and Aber Falls'!H8</f>
        <v>SJC6</v>
      </c>
      <c r="I8" s="60" t="str">
        <f>'Field data and Aber Falls'!I8</f>
        <v>SJC7</v>
      </c>
      <c r="J8" s="60" t="str">
        <f>'Field data and Aber Falls'!J8</f>
        <v>Bonolwyn A</v>
      </c>
      <c r="K8" s="60" t="str">
        <f>'Field data and Aber Falls'!K8</f>
        <v>Bodnolwyn B</v>
      </c>
      <c r="L8" s="60">
        <f>'Field data and Aber Falls'!L8</f>
        <v>0</v>
      </c>
      <c r="M8" s="60">
        <f>'Field data and Aber Falls'!M8</f>
        <v>0</v>
      </c>
      <c r="N8" s="60">
        <f>'Field data and Aber Falls'!N8</f>
        <v>0</v>
      </c>
      <c r="O8" s="60">
        <f>'Field data and Aber Falls'!O8</f>
        <v>0</v>
      </c>
      <c r="P8" s="60">
        <f>'Field data and Aber Falls'!P8</f>
        <v>0</v>
      </c>
      <c r="Q8" s="60">
        <f>'Field data and Aber Falls'!Q8</f>
        <v>0</v>
      </c>
      <c r="R8" s="60">
        <f>'Field data and Aber Falls'!R8</f>
        <v>0</v>
      </c>
      <c r="S8" s="60">
        <f>'Field data and Aber Falls'!S8</f>
        <v>0</v>
      </c>
      <c r="T8" s="60">
        <f>'Field data and Aber Falls'!T8</f>
        <v>0</v>
      </c>
      <c r="U8" s="60">
        <f>'Field data and Aber Falls'!U8</f>
        <v>0</v>
      </c>
      <c r="V8" s="60">
        <f>'Field data and Aber Falls'!V8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Aber Falls'!C9</f>
        <v>med</v>
      </c>
      <c r="D9" s="60" t="str">
        <f>'Field data and Aber Falls'!D9</f>
        <v>med</v>
      </c>
      <c r="E9" s="60" t="str">
        <f>'Field data and Aber Falls'!E9</f>
        <v>med</v>
      </c>
      <c r="F9" s="60" t="str">
        <f>'Field data and Aber Falls'!F9</f>
        <v>med</v>
      </c>
      <c r="G9" s="60" t="str">
        <f>'Field data and Aber Falls'!G9</f>
        <v>med</v>
      </c>
      <c r="H9" s="60" t="str">
        <f>'Field data and Aber Falls'!H9</f>
        <v>med</v>
      </c>
      <c r="I9" s="60" t="str">
        <f>'Field data and Aber Falls'!I9</f>
        <v>med</v>
      </c>
      <c r="J9" s="60" t="str">
        <f>'Field data and Aber Falls'!J9</f>
        <v>med</v>
      </c>
      <c r="K9" s="60" t="str">
        <f>'Field data and Aber Falls'!K9</f>
        <v>med</v>
      </c>
      <c r="L9" s="60">
        <f>'Field data and Aber Falls'!L9</f>
        <v>0</v>
      </c>
      <c r="M9" s="60">
        <f>'Field data and Aber Falls'!M9</f>
        <v>0</v>
      </c>
      <c r="N9" s="60">
        <f>'Field data and Aber Falls'!N9</f>
        <v>0</v>
      </c>
      <c r="O9" s="60">
        <f>'Field data and Aber Falls'!O9</f>
        <v>0</v>
      </c>
      <c r="P9" s="60">
        <f>'Field data and Aber Falls'!P9</f>
        <v>0</v>
      </c>
      <c r="Q9" s="60">
        <f>'Field data and Aber Falls'!Q9</f>
        <v>0</v>
      </c>
      <c r="R9" s="60">
        <f>'Field data and Aber Falls'!R9</f>
        <v>0</v>
      </c>
      <c r="S9" s="60">
        <f>'Field data and Aber Falls'!S9</f>
        <v>0</v>
      </c>
      <c r="T9" s="60">
        <f>'Field data and Aber Falls'!T9</f>
        <v>0</v>
      </c>
      <c r="U9" s="60">
        <f>'Field data and Aber Falls'!U9</f>
        <v>0</v>
      </c>
      <c r="V9" s="60">
        <f>'Field data and Aber Falls'!V9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Aber Falls'!C10</f>
        <v>6.4</v>
      </c>
      <c r="D10" s="60">
        <f>'Field data and Aber Falls'!D10</f>
        <v>5.8</v>
      </c>
      <c r="E10" s="60">
        <f>'Field data and Aber Falls'!E10</f>
        <v>6</v>
      </c>
      <c r="F10" s="60">
        <f>'Field data and Aber Falls'!F10</f>
        <v>6</v>
      </c>
      <c r="G10" s="60">
        <f>'Field data and Aber Falls'!G10</f>
        <v>5.9</v>
      </c>
      <c r="H10" s="60">
        <f>'Field data and Aber Falls'!H10</f>
        <v>6.1</v>
      </c>
      <c r="I10" s="60">
        <f>'Field data and Aber Falls'!I10</f>
        <v>5.8</v>
      </c>
      <c r="J10" s="60">
        <f>'Field data and Aber Falls'!J10</f>
        <v>5.8</v>
      </c>
      <c r="K10" s="60">
        <f>'Field data and Aber Falls'!K10</f>
        <v>5.7</v>
      </c>
      <c r="L10" s="60">
        <f>'Field data and Aber Falls'!L10</f>
        <v>0</v>
      </c>
      <c r="M10" s="60">
        <f>'Field data and Aber Falls'!M10</f>
        <v>0</v>
      </c>
      <c r="N10" s="60">
        <f>'Field data and Aber Falls'!N10</f>
        <v>0</v>
      </c>
      <c r="O10" s="60">
        <f>'Field data and Aber Falls'!O10</f>
        <v>0</v>
      </c>
      <c r="P10" s="60">
        <f>'Field data and Aber Falls'!P10</f>
        <v>0</v>
      </c>
      <c r="Q10" s="60">
        <f>'Field data and Aber Falls'!Q10</f>
        <v>0</v>
      </c>
      <c r="R10" s="60">
        <f>'Field data and Aber Falls'!R10</f>
        <v>0</v>
      </c>
      <c r="S10" s="60">
        <f>'Field data and Aber Falls'!S10</f>
        <v>0</v>
      </c>
      <c r="T10" s="60">
        <f>'Field data and Aber Falls'!T10</f>
        <v>0</v>
      </c>
      <c r="U10" s="60">
        <f>'Field data and Aber Falls'!U10</f>
        <v>0</v>
      </c>
      <c r="V10" s="60">
        <f>'Field data and Aber Falls'!V10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Aber Falls'!C11</f>
        <v>2</v>
      </c>
      <c r="D11" s="60">
        <f>'Field data and Aber Falls'!D11</f>
        <v>2</v>
      </c>
      <c r="E11" s="60">
        <f>'Field data and Aber Falls'!E11</f>
        <v>3</v>
      </c>
      <c r="F11" s="60">
        <f>'Field data and Aber Falls'!F11</f>
        <v>1</v>
      </c>
      <c r="G11" s="60">
        <f>'Field data and Aber Falls'!G11</f>
        <v>0</v>
      </c>
      <c r="H11" s="60">
        <f>'Field data and Aber Falls'!H11</f>
        <v>3</v>
      </c>
      <c r="I11" s="60">
        <f>'Field data and Aber Falls'!I11</f>
        <v>2</v>
      </c>
      <c r="J11" s="60">
        <f>'Field data and Aber Falls'!J11</f>
        <v>2</v>
      </c>
      <c r="K11" s="60">
        <f>'Field data and Aber Falls'!K11</f>
        <v>2</v>
      </c>
      <c r="L11" s="60">
        <f>'Field data and Aber Falls'!L11</f>
        <v>0</v>
      </c>
      <c r="M11" s="60">
        <f>'Field data and Aber Falls'!M11</f>
        <v>0</v>
      </c>
      <c r="N11" s="60">
        <f>'Field data and Aber Falls'!N11</f>
        <v>0</v>
      </c>
      <c r="O11" s="60">
        <f>'Field data and Aber Falls'!O11</f>
        <v>0</v>
      </c>
      <c r="P11" s="60">
        <f>'Field data and Aber Falls'!P11</f>
        <v>0</v>
      </c>
      <c r="Q11" s="60">
        <f>'Field data and Aber Falls'!Q11</f>
        <v>0</v>
      </c>
      <c r="R11" s="60">
        <f>'Field data and Aber Falls'!R11</f>
        <v>0</v>
      </c>
      <c r="S11" s="60">
        <f>'Field data and Aber Falls'!S11</f>
        <v>0</v>
      </c>
      <c r="T11" s="60">
        <f>'Field data and Aber Falls'!T11</f>
        <v>0</v>
      </c>
      <c r="U11" s="60">
        <f>'Field data and Aber Falls'!U11</f>
        <v>0</v>
      </c>
      <c r="V11" s="60">
        <f>'Field data and Aber Falls'!V11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Aber Falls'!C12</f>
        <v>3</v>
      </c>
      <c r="D12" s="60">
        <f>'Field data and Aber Falls'!D12</f>
        <v>4</v>
      </c>
      <c r="E12" s="60">
        <f>'Field data and Aber Falls'!E12</f>
        <v>4</v>
      </c>
      <c r="F12" s="60">
        <f>'Field data and Aber Falls'!F12</f>
        <v>1</v>
      </c>
      <c r="G12" s="60">
        <f>'Field data and Aber Falls'!G12</f>
        <v>1</v>
      </c>
      <c r="H12" s="60">
        <f>'Field data and Aber Falls'!H12</f>
        <v>2</v>
      </c>
      <c r="I12" s="60">
        <f>'Field data and Aber Falls'!I12</f>
        <v>1</v>
      </c>
      <c r="J12" s="60">
        <f>'Field data and Aber Falls'!J12</f>
        <v>2</v>
      </c>
      <c r="K12" s="60">
        <f>'Field data and Aber Falls'!K12</f>
        <v>2</v>
      </c>
      <c r="L12" s="60">
        <f>'Field data and Aber Falls'!L12</f>
        <v>0</v>
      </c>
      <c r="M12" s="60">
        <f>'Field data and Aber Falls'!M12</f>
        <v>0</v>
      </c>
      <c r="N12" s="60">
        <f>'Field data and Aber Falls'!N12</f>
        <v>0</v>
      </c>
      <c r="O12" s="60">
        <f>'Field data and Aber Falls'!O12</f>
        <v>0</v>
      </c>
      <c r="P12" s="60">
        <f>'Field data and Aber Falls'!P12</f>
        <v>0</v>
      </c>
      <c r="Q12" s="60">
        <f>'Field data and Aber Falls'!Q12</f>
        <v>0</v>
      </c>
      <c r="R12" s="60">
        <f>'Field data and Aber Falls'!R12</f>
        <v>0</v>
      </c>
      <c r="S12" s="60">
        <f>'Field data and Aber Falls'!S12</f>
        <v>0</v>
      </c>
      <c r="T12" s="60">
        <f>'Field data and Aber Falls'!T12</f>
        <v>0</v>
      </c>
      <c r="U12" s="60">
        <f>'Field data and Aber Falls'!U12</f>
        <v>0</v>
      </c>
      <c r="V12" s="60">
        <f>'Field data and Aber Falls'!V12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Aber Falls'!C13</f>
        <v>4</v>
      </c>
      <c r="D13" s="60">
        <f>'Field data and Aber Falls'!D13</f>
        <v>3</v>
      </c>
      <c r="E13" s="60">
        <f>'Field data and Aber Falls'!E13</f>
        <v>3</v>
      </c>
      <c r="F13" s="60">
        <f>'Field data and Aber Falls'!F13</f>
        <v>3</v>
      </c>
      <c r="G13" s="60">
        <f>'Field data and Aber Falls'!G13</f>
        <v>3</v>
      </c>
      <c r="H13" s="60">
        <f>'Field data and Aber Falls'!H13</f>
        <v>3</v>
      </c>
      <c r="I13" s="60">
        <f>'Field data and Aber Falls'!I13</f>
        <v>3</v>
      </c>
      <c r="J13" s="60">
        <f>'Field data and Aber Falls'!J13</f>
        <v>3</v>
      </c>
      <c r="K13" s="60">
        <f>'Field data and Aber Falls'!K13</f>
        <v>3</v>
      </c>
      <c r="L13" s="60">
        <f>'Field data and Aber Falls'!L13</f>
        <v>0</v>
      </c>
      <c r="M13" s="60">
        <f>'Field data and Aber Falls'!M13</f>
        <v>0</v>
      </c>
      <c r="N13" s="60">
        <f>'Field data and Aber Falls'!N13</f>
        <v>0</v>
      </c>
      <c r="O13" s="60">
        <f>'Field data and Aber Falls'!O13</f>
        <v>0</v>
      </c>
      <c r="P13" s="60">
        <f>'Field data and Aber Falls'!P13</f>
        <v>0</v>
      </c>
      <c r="Q13" s="60">
        <f>'Field data and Aber Falls'!Q13</f>
        <v>0</v>
      </c>
      <c r="R13" s="60">
        <f>'Field data and Aber Falls'!R13</f>
        <v>0</v>
      </c>
      <c r="S13" s="60">
        <f>'Field data and Aber Falls'!S13</f>
        <v>0</v>
      </c>
      <c r="T13" s="60">
        <f>'Field data and Aber Falls'!T13</f>
        <v>0</v>
      </c>
      <c r="U13" s="60">
        <f>'Field data and Aber Falls'!U13</f>
        <v>0</v>
      </c>
      <c r="V13" s="60">
        <f>'Field data and Aber Falls'!V13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Aber Falls'!C14</f>
        <v xml:space="preserve">Grass Silage (30% DM) </v>
      </c>
      <c r="D14" s="102" t="str">
        <f>'Field data and Aber Falls'!D14</f>
        <v xml:space="preserve">Grass Silage (30% DM) </v>
      </c>
      <c r="E14" s="102" t="str">
        <f>'Field data and Aber Falls'!E14</f>
        <v xml:space="preserve">Grass Silage (30% DM) </v>
      </c>
      <c r="F14" s="102" t="str">
        <f>'Field data and Aber Falls'!F14</f>
        <v xml:space="preserve">Grass Silage (30% DM) </v>
      </c>
      <c r="G14" s="102" t="str">
        <f>'Field data and Aber Falls'!G14</f>
        <v xml:space="preserve">Grass Silage (30% DM) </v>
      </c>
      <c r="H14" s="102" t="str">
        <f>'Field data and Aber Falls'!H14</f>
        <v xml:space="preserve">Grass Silage (30% DM) </v>
      </c>
      <c r="I14" s="102" t="str">
        <f>'Field data and Aber Falls'!I14</f>
        <v xml:space="preserve">Grass Silage (30% DM) </v>
      </c>
      <c r="J14" s="102" t="str">
        <f>'Field data and Aber Falls'!J14</f>
        <v xml:space="preserve">Grass Silage (30% DM) </v>
      </c>
      <c r="K14" s="102" t="str">
        <f>'Field data and Aber Falls'!K14</f>
        <v xml:space="preserve">Grass Silage (30% DM) </v>
      </c>
      <c r="L14" s="102">
        <f>'Field data and Aber Falls'!L14</f>
        <v>0</v>
      </c>
      <c r="M14" s="102">
        <f>'Field data and Aber Falls'!M14</f>
        <v>0</v>
      </c>
      <c r="N14" s="102">
        <f>'Field data and Aber Falls'!N14</f>
        <v>0</v>
      </c>
      <c r="O14" s="102">
        <f>'Field data and Aber Falls'!O14</f>
        <v>0</v>
      </c>
      <c r="P14" s="102">
        <f>'Field data and Aber Falls'!P14</f>
        <v>0</v>
      </c>
      <c r="Q14" s="102">
        <f>'Field data and Aber Falls'!Q14</f>
        <v>0</v>
      </c>
      <c r="R14" s="102">
        <f>'Field data and Aber Falls'!R14</f>
        <v>0</v>
      </c>
      <c r="S14" s="102">
        <f>'Field data and Aber Falls'!S14</f>
        <v>0</v>
      </c>
      <c r="T14" s="102">
        <f>'Field data and Aber Falls'!T14</f>
        <v>0</v>
      </c>
      <c r="U14" s="102">
        <f>'Field data and Aber Falls'!U14</f>
        <v>0</v>
      </c>
      <c r="V14" s="102">
        <f>'Field data and Aber Falls'!V14</f>
        <v>0</v>
      </c>
      <c r="AD14" s="30" t="s">
        <v>138</v>
      </c>
      <c r="AE14" s="30">
        <v>6</v>
      </c>
      <c r="AI14" s="53" t="s">
        <v>119</v>
      </c>
      <c r="AJ14" s="54">
        <v>0.8</v>
      </c>
      <c r="AK14" s="55">
        <v>1.7</v>
      </c>
      <c r="AL14" s="11">
        <v>12</v>
      </c>
      <c r="AM14" s="11">
        <v>6.7</v>
      </c>
      <c r="AN14" s="11" t="s">
        <v>135</v>
      </c>
    </row>
    <row r="15" spans="1:41" ht="13" x14ac:dyDescent="0.25">
      <c r="A15" s="130" t="s">
        <v>9</v>
      </c>
      <c r="B15" s="130"/>
      <c r="C15" s="60">
        <f>'Field data and Aber Falls'!C15</f>
        <v>47</v>
      </c>
      <c r="D15" s="60">
        <f>'Field data and Aber Falls'!D15</f>
        <v>47</v>
      </c>
      <c r="E15" s="60">
        <f>'Field data and Aber Falls'!E15</f>
        <v>47</v>
      </c>
      <c r="F15" s="60">
        <f>'Field data and Aber Falls'!F15</f>
        <v>47</v>
      </c>
      <c r="G15" s="60">
        <f>'Field data and Aber Falls'!G15</f>
        <v>47</v>
      </c>
      <c r="H15" s="60">
        <f>'Field data and Aber Falls'!H15</f>
        <v>47</v>
      </c>
      <c r="I15" s="60">
        <f>'Field data and Aber Falls'!I15</f>
        <v>47</v>
      </c>
      <c r="J15" s="60">
        <f>'Field data and Aber Falls'!J15</f>
        <v>47</v>
      </c>
      <c r="K15" s="60">
        <f>'Field data and Aber Falls'!K15</f>
        <v>47</v>
      </c>
      <c r="L15" s="60">
        <f>'Field data and Aber Falls'!L15</f>
        <v>0</v>
      </c>
      <c r="M15" s="60">
        <f>'Field data and Aber Falls'!M15</f>
        <v>0</v>
      </c>
      <c r="N15" s="60">
        <f>'Field data and Aber Falls'!N15</f>
        <v>0</v>
      </c>
      <c r="O15" s="60">
        <f>'Field data and Aber Falls'!O15</f>
        <v>0</v>
      </c>
      <c r="P15" s="60">
        <f>'Field data and Aber Falls'!P15</f>
        <v>0</v>
      </c>
      <c r="Q15" s="60">
        <f>'Field data and Aber Falls'!Q15</f>
        <v>0</v>
      </c>
      <c r="R15" s="60">
        <f>'Field data and Aber Falls'!R15</f>
        <v>0</v>
      </c>
      <c r="S15" s="60">
        <f>'Field data and Aber Falls'!S15</f>
        <v>0</v>
      </c>
      <c r="T15" s="60">
        <f>'Field data and Aber Falls'!T15</f>
        <v>0</v>
      </c>
      <c r="U15" s="60">
        <f>'Field data and Aber Falls'!U15</f>
        <v>0</v>
      </c>
      <c r="V15" s="60">
        <f>'Field data and Aber Falls'!V15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Aber Falls'!C16</f>
        <v>Medium/Clay</v>
      </c>
      <c r="D16" s="103" t="str">
        <f>'Field data and Aber Falls'!D16</f>
        <v>Medium/Clay</v>
      </c>
      <c r="E16" s="103" t="str">
        <f>'Field data and Aber Falls'!E16</f>
        <v>Medium/Clay</v>
      </c>
      <c r="F16" s="103" t="str">
        <f>'Field data and Aber Falls'!F16</f>
        <v>Medium/Clay</v>
      </c>
      <c r="G16" s="103" t="str">
        <f>'Field data and Aber Falls'!G16</f>
        <v>Medium/Clay</v>
      </c>
      <c r="H16" s="103" t="str">
        <f>'Field data and Aber Falls'!H16</f>
        <v>Medium/Clay</v>
      </c>
      <c r="I16" s="103" t="str">
        <f>'Field data and Aber Falls'!I16</f>
        <v>Medium/Clay</v>
      </c>
      <c r="J16" s="103" t="str">
        <f>'Field data and Aber Falls'!J16</f>
        <v>Medium/Clay</v>
      </c>
      <c r="K16" s="103" t="str">
        <f>'Field data and Aber Falls'!K16</f>
        <v>Medium/Clay</v>
      </c>
      <c r="L16" s="103">
        <f>'Field data and Aber Falls'!L16</f>
        <v>0</v>
      </c>
      <c r="M16" s="103">
        <f>'Field data and Aber Falls'!M16</f>
        <v>0</v>
      </c>
      <c r="N16" s="103">
        <f>'Field data and Aber Falls'!N16</f>
        <v>0</v>
      </c>
      <c r="O16" s="103">
        <f>'Field data and Aber Falls'!O16</f>
        <v>0</v>
      </c>
      <c r="P16" s="103">
        <f>'Field data and Aber Falls'!P16</f>
        <v>0</v>
      </c>
      <c r="Q16" s="103">
        <f>'Field data and Aber Falls'!Q16</f>
        <v>0</v>
      </c>
      <c r="R16" s="103">
        <f>'Field data and Aber Falls'!R16</f>
        <v>0</v>
      </c>
      <c r="S16" s="103">
        <f>'Field data and Aber Falls'!S16</f>
        <v>0</v>
      </c>
      <c r="T16" s="103">
        <f>'Field data and Aber Falls'!T16</f>
        <v>0</v>
      </c>
      <c r="U16" s="103">
        <f>'Field data and Aber Falls'!U16</f>
        <v>0</v>
      </c>
      <c r="V16" s="103">
        <f>'Field data and Aber Falls'!V16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98.7</v>
      </c>
      <c r="D17" s="28">
        <f t="shared" ref="D17:V17" si="0">(VLOOKUP(D$14,$AI2:$AK26,2,FALSE))*D$15</f>
        <v>98.7</v>
      </c>
      <c r="E17" s="28">
        <f t="shared" si="0"/>
        <v>98.7</v>
      </c>
      <c r="F17" s="28">
        <f t="shared" si="0"/>
        <v>98.7</v>
      </c>
      <c r="G17" s="28">
        <f t="shared" si="0"/>
        <v>98.7</v>
      </c>
      <c r="H17" s="28">
        <f t="shared" si="0"/>
        <v>98.7</v>
      </c>
      <c r="I17" s="28">
        <f t="shared" si="0"/>
        <v>98.7</v>
      </c>
      <c r="J17" s="28">
        <f t="shared" si="0"/>
        <v>98.7</v>
      </c>
      <c r="K17" s="28">
        <f t="shared" si="0"/>
        <v>98.7</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9.2194422000000014</v>
      </c>
      <c r="D18" s="16">
        <f>$D32</f>
        <v>9.2194422000000014</v>
      </c>
      <c r="E18" s="16">
        <f>$D33</f>
        <v>9.2194422000000014</v>
      </c>
      <c r="F18" s="16">
        <f>$D34</f>
        <v>9.2194422000000014</v>
      </c>
      <c r="G18" s="16">
        <f>$D35</f>
        <v>9.2194422000000014</v>
      </c>
      <c r="H18" s="16">
        <f>$D36</f>
        <v>9.2194422000000014</v>
      </c>
      <c r="I18" s="16">
        <f>$D37</f>
        <v>9.2194422000000014</v>
      </c>
      <c r="J18" s="16">
        <f>$D38</f>
        <v>9.2194422000000014</v>
      </c>
      <c r="K18" s="16">
        <f>$D39</f>
        <v>9.2194422000000014</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-89.4805578</v>
      </c>
      <c r="D19" s="16">
        <f t="shared" ref="D19:V19" si="1">D18-D17</f>
        <v>-89.4805578</v>
      </c>
      <c r="E19" s="16">
        <f t="shared" si="1"/>
        <v>-89.4805578</v>
      </c>
      <c r="F19" s="16">
        <f t="shared" si="1"/>
        <v>-89.4805578</v>
      </c>
      <c r="G19" s="16">
        <f t="shared" si="1"/>
        <v>-89.4805578</v>
      </c>
      <c r="H19" s="16">
        <f t="shared" si="1"/>
        <v>-89.4805578</v>
      </c>
      <c r="I19" s="16">
        <f t="shared" si="1"/>
        <v>-89.4805578</v>
      </c>
      <c r="J19" s="16">
        <f t="shared" si="1"/>
        <v>-89.4805578</v>
      </c>
      <c r="K19" s="16">
        <f t="shared" si="1"/>
        <v>-89.4805578</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338.40000000000003</v>
      </c>
      <c r="D21" s="28">
        <f t="shared" ref="D21:V21" si="2">(VLOOKUP(D$14,$AI2:$AK26,3,FALSE))*D$15</f>
        <v>338.40000000000003</v>
      </c>
      <c r="E21" s="28">
        <f t="shared" si="2"/>
        <v>338.40000000000003</v>
      </c>
      <c r="F21" s="28">
        <f t="shared" si="2"/>
        <v>338.40000000000003</v>
      </c>
      <c r="G21" s="28">
        <f t="shared" si="2"/>
        <v>338.40000000000003</v>
      </c>
      <c r="H21" s="28">
        <f t="shared" si="2"/>
        <v>338.40000000000003</v>
      </c>
      <c r="I21" s="28">
        <f t="shared" si="2"/>
        <v>338.40000000000003</v>
      </c>
      <c r="J21" s="28">
        <f t="shared" si="2"/>
        <v>338.40000000000003</v>
      </c>
      <c r="K21" s="28">
        <f t="shared" si="2"/>
        <v>338.40000000000003</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1.9630594750000001E-4</v>
      </c>
      <c r="D22" s="16">
        <f>$E32</f>
        <v>1.9630594750000001E-4</v>
      </c>
      <c r="E22" s="16">
        <f>$E33</f>
        <v>1.9630594750000001E-4</v>
      </c>
      <c r="F22" s="16">
        <f>$E34</f>
        <v>1.9630594750000001E-4</v>
      </c>
      <c r="G22" s="16">
        <f>$E35</f>
        <v>1.9630594750000001E-4</v>
      </c>
      <c r="H22" s="16">
        <f>$E36</f>
        <v>1.9630594750000001E-4</v>
      </c>
      <c r="I22" s="16">
        <f>$E37</f>
        <v>1.9630594750000001E-4</v>
      </c>
      <c r="J22" s="16">
        <f>$E38</f>
        <v>1.9630594750000001E-4</v>
      </c>
      <c r="K22" s="16">
        <f>$E39</f>
        <v>1.9630594750000001E-4</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-338.39980369405254</v>
      </c>
      <c r="D23" s="16">
        <f t="shared" ref="D23:V23" si="3">D22-D21</f>
        <v>-338.39980369405254</v>
      </c>
      <c r="E23" s="16">
        <f t="shared" si="3"/>
        <v>-338.39980369405254</v>
      </c>
      <c r="F23" s="16">
        <f t="shared" si="3"/>
        <v>-338.39980369405254</v>
      </c>
      <c r="G23" s="16">
        <f t="shared" si="3"/>
        <v>-338.39980369405254</v>
      </c>
      <c r="H23" s="16">
        <f t="shared" si="3"/>
        <v>-338.39980369405254</v>
      </c>
      <c r="I23" s="16">
        <f t="shared" si="3"/>
        <v>-338.39980369405254</v>
      </c>
      <c r="J23" s="16">
        <f t="shared" si="3"/>
        <v>-338.39980369405254</v>
      </c>
      <c r="K23" s="16">
        <f t="shared" si="3"/>
        <v>-338.39980369405254</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55</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7.06</v>
      </c>
      <c r="C28" s="15">
        <v>0.71</v>
      </c>
      <c r="D28" s="15">
        <v>2.2800000000000001E-2</v>
      </c>
      <c r="E28" s="15">
        <v>9.2300000000000004E-3</v>
      </c>
      <c r="F28" s="15">
        <v>594</v>
      </c>
      <c r="G28" s="15">
        <v>30.9</v>
      </c>
      <c r="H28" s="15">
        <v>495</v>
      </c>
      <c r="I28" s="15">
        <v>45.1</v>
      </c>
      <c r="J28" s="15">
        <v>1.9</v>
      </c>
      <c r="K28" s="23">
        <v>0.28999999999999998</v>
      </c>
      <c r="L28" s="15">
        <v>24.9</v>
      </c>
      <c r="M28" s="15">
        <v>10.9</v>
      </c>
      <c r="N28" s="15">
        <v>4860</v>
      </c>
      <c r="O28" s="15">
        <v>443000</v>
      </c>
      <c r="P28" s="15"/>
      <c r="Q28" s="15">
        <v>2040</v>
      </c>
      <c r="R28" s="15"/>
      <c r="S28" s="15">
        <v>10.3</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SJC1</v>
      </c>
      <c r="B31" s="15">
        <v>250</v>
      </c>
      <c r="C31" s="77">
        <f>IF(C$27="%w/w SAR",((C$28*10)*$B31),IF(C$27="%w/w DM",(((C$28*10)*($B$28/100))*$B31),IF(C$27="kg/t SAR",(C$28*$B31),IF(C$27="kg/t DM",((C$28*($B$28/100))*$B31),IF(C$27="mg/kg SAR",((C$28*0.001)*$B31),IF(C$27="mg/kg DM",(((C$28*0.001)*($B$28/100))*$B31),0))))))</f>
        <v>125.31499999999998</v>
      </c>
      <c r="D31" s="77">
        <f>(IF(D$27="%w/w SAR",((D$28*10)*$B31),IF(D$27="%w/w DM",(((D$28*10)*($B$28/100))*$B31),IF(D$27="kg/t SAR",(D$28*$B31),IF(D$27="kg/t DM",((D$28*($B$28/100))*$B31),IF(D$27="mg/kg SAR",((D$28*0.001)*$B31),IF(D$27="mg/kg DM",(((D$28*0.001)*($B$28/100))*$B31),"0")))))))*2.291</f>
        <v>9.2194422000000014</v>
      </c>
      <c r="E31" s="77">
        <f>(IF(E$27="%w/w SAR",((E$28*10)*$B31),IF(E$27="%w/w DM",(((E$28*10)*($B$28/100))*$B31),IF(E$27="kg/t SAR",(E$28*$B31),IF(E$27="kg/t DM",((E$28*($B$28/100))*$B31),IF(E$27="mg/kg SAR",((E$28*0.001)*$B31),IF(E$27="mg/kg DM",(((E$28*0.001)*($B$28/100))*$B31),"0")))))))*1.205</f>
        <v>1.9630594750000001E-4</v>
      </c>
      <c r="F31" s="77">
        <f>(IF(F$27="%w/w SAR",((F$28*10)*$B31),IF(F$27="%w/w DM",(((F$28*10)*($B$28/100))*$B31),IF(F$27="kg/t SAR",(F$28*$B31),IF(F$27="kg/t DM",((F$28*($B$28/100))*$B31),IF(F$27="mg/kg SAR",((F$28*0.001)*$B31),IF(F$27="mg/kg DM",(((F$28*0.001)*($B$28/100))*$B31),"0")))))))*1.658</f>
        <v>17.382637799999998</v>
      </c>
      <c r="G31" s="77">
        <f t="shared" ref="G31:P46" si="5">IF(G$27="%w/w SAR",((G$28*10)*$B31),IF(G$27="%w/w DM",(((G$28*10)*($B$28/100))*$B31),IF(G$27="kg/t SAR",(G$28*$B31),IF(G$27="kg/t DM",((G$28*($B$28/100))*$B31),IF(G$27="mg/kg SAR",((G$28*0.001)*$B31),IF(G$27="mg/kg DM",(((G$28*0.001)*($B$28/100))*$B31),0))))))</f>
        <v>0.54538500000000001</v>
      </c>
      <c r="H31" s="77">
        <f t="shared" si="5"/>
        <v>8.7367499999999989</v>
      </c>
      <c r="I31" s="77">
        <f t="shared" si="5"/>
        <v>0.79601499999999992</v>
      </c>
      <c r="J31" s="77">
        <f t="shared" si="5"/>
        <v>3.3534999999999995E-2</v>
      </c>
      <c r="K31" s="77">
        <f t="shared" si="5"/>
        <v>5.1184999999999998E-3</v>
      </c>
      <c r="L31" s="77">
        <f t="shared" si="5"/>
        <v>0.4394849999999999</v>
      </c>
      <c r="M31" s="77">
        <f t="shared" si="5"/>
        <v>0.192385</v>
      </c>
      <c r="N31" s="77">
        <f t="shared" si="5"/>
        <v>85.778999999999996</v>
      </c>
      <c r="O31" s="77">
        <f t="shared" si="5"/>
        <v>7818.9499999999989</v>
      </c>
      <c r="P31" s="77">
        <f t="shared" si="5"/>
        <v>0</v>
      </c>
      <c r="Q31" s="77">
        <f>(IF(Q$27="%w/w SAR",((Q$28*10)*$B31),IF(Q$27="%w/w DM",(((Q$28*10)*($B$28/100))*$B31),IF(Q$27="kg/t SAR",(Q$28*$B31),IF(Q$27="kg/t DM",((Q$28*($B$28/100))*$B31),IF(Q$27="mg/kg SAR",((Q$28*0.001)*$B31),IF(Q$27="mg/kg DM",(((Q$28*0.001)*($B$28/100))*$B31),0)))))))*2.5</f>
        <v>90.014999999999986</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0.18179500000000001</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SJC2</v>
      </c>
      <c r="B32" s="15">
        <v>250</v>
      </c>
      <c r="C32" s="77">
        <f t="shared" ref="C32:C50" si="6">IF(C$27="%w/w SAR",((C$28*10)*$B32),IF(C$27="%w/w DM",(((C$28*10)*($B$28/100))*$B32),IF(C$27="kg/t SAR",(C$28*$B32),IF(C$27="kg/t DM",((C$28*($B$28/100))*$B32),IF(C$27="mg/kg SAR",((C$28*0.001)*$B32),IF(C$27="mg/kg DM",(((C$28*0.001)*($B$28/100))*$B32),0))))))</f>
        <v>125.31499999999998</v>
      </c>
      <c r="D32" s="77">
        <f t="shared" ref="D32:D50" si="7">(IF(D$27="%w/w SAR",((D$28*10)*$B32),IF(D$27="%w/w DM",(((D$28*10)*($B$28/100))*$B32),IF(D$27="kg/t SAR",(D$28*$B32),IF(D$27="kg/t DM",((D$28*($B$28/100))*$B32),IF(D$27="mg/kg SAR",((D$28*0.001)*$B32),IF(D$27="mg/kg DM",(((D$28*0.001)*($B$28/100))*$B32),"0")))))))*2.291</f>
        <v>9.2194422000000014</v>
      </c>
      <c r="E32" s="77">
        <f t="shared" ref="E32:E50" si="8">(IF(E$27="%w/w SAR",((E$28*10)*$B32),IF(E$27="%w/w DM",(((E$28*10)*($B$28/100))*$B32),IF(E$27="kg/t SAR",(E$28*$B32),IF(E$27="kg/t DM",((E$28*($B$28/100))*$B32),IF(E$27="mg/kg SAR",((E$28*0.001)*$B32),IF(E$27="mg/kg DM",(((E$28*0.001)*($B$28/100))*$B32),"0")))))))*1.205</f>
        <v>1.9630594750000001E-4</v>
      </c>
      <c r="F32" s="77">
        <f t="shared" ref="F32:F50" si="9">(IF(F$27="%w/w SAR",((F$28*10)*$B32),IF(F$27="%w/w DM",(((F$28*10)*($B$28/100))*$B32),IF(F$27="kg/t SAR",(F$28*$B32),IF(F$27="kg/t DM",((F$28*($B$28/100))*$B32),IF(F$27="mg/kg SAR",((F$28*0.001)*$B32),IF(F$27="mg/kg DM",(((F$28*0.001)*($B$28/100))*$B32),"0")))))))*1.658</f>
        <v>17.382637799999998</v>
      </c>
      <c r="G32" s="77">
        <f t="shared" si="5"/>
        <v>0.54538500000000001</v>
      </c>
      <c r="H32" s="77">
        <f t="shared" si="5"/>
        <v>8.7367499999999989</v>
      </c>
      <c r="I32" s="77">
        <f t="shared" si="5"/>
        <v>0.79601499999999992</v>
      </c>
      <c r="J32" s="77">
        <f t="shared" si="5"/>
        <v>3.3534999999999995E-2</v>
      </c>
      <c r="K32" s="77">
        <f t="shared" si="5"/>
        <v>5.1184999999999998E-3</v>
      </c>
      <c r="L32" s="77">
        <f t="shared" si="5"/>
        <v>0.4394849999999999</v>
      </c>
      <c r="M32" s="77">
        <f t="shared" si="5"/>
        <v>0.192385</v>
      </c>
      <c r="N32" s="77">
        <f t="shared" si="5"/>
        <v>85.778999999999996</v>
      </c>
      <c r="O32" s="77">
        <f t="shared" si="5"/>
        <v>7818.9499999999989</v>
      </c>
      <c r="P32" s="77">
        <f t="shared" si="5"/>
        <v>0</v>
      </c>
      <c r="Q32" s="77">
        <f t="shared" ref="Q32:Q50" si="10">(IF(Q$27="%w/w SAR",((Q$28*10)*$B32),IF(Q$27="%w/w DM",(((Q$28*10)*($B$28/100))*$B32),IF(Q$27="kg/t SAR",(Q$28*$B32),IF(Q$27="kg/t DM",((Q$28*($B$28/100))*$B32),IF(Q$27="mg/kg SAR",((Q$28*0.001)*$B32),IF(Q$27="mg/kg DM",(((Q$28*0.001)*($B$28/100))*$B32),0)))))))*2.5</f>
        <v>90.014999999999986</v>
      </c>
      <c r="R32" s="77">
        <f t="shared" ref="R32:U50" si="11">IF(R$27="%w/w SAR",((R$28*10)*$B32),IF(R$27="%w/w DM",(((R$28*10)*($B$28/100))*$B32),IF(R$27="kg/t SAR",(R$28*$B32),IF(R$27="kg/t DM",((R$28*($B$28/100))*$B32),IF(R$27="mg/kg SAR",((R$28*0.001)*$B32),IF(R$27="mg/kg DM",(((R$28*0.001)*($B$28/100))*$B32),0))))))</f>
        <v>0</v>
      </c>
      <c r="S32" s="77">
        <f t="shared" si="11"/>
        <v>0.18179500000000001</v>
      </c>
      <c r="T32" s="77">
        <f t="shared" si="11"/>
        <v>0</v>
      </c>
      <c r="U32" s="77">
        <f t="shared" si="11"/>
        <v>0</v>
      </c>
      <c r="AB32" s="59"/>
      <c r="AC32" s="59"/>
      <c r="AD32" s="59"/>
      <c r="AE32" s="59"/>
      <c r="AF32" s="59"/>
      <c r="AG32" s="59"/>
      <c r="AH32" s="59"/>
      <c r="AI32" s="59"/>
    </row>
    <row r="33" spans="1:35" s="72" customFormat="1" ht="13" x14ac:dyDescent="0.35">
      <c r="A33" s="13" t="str">
        <f>E8</f>
        <v>SJC3</v>
      </c>
      <c r="B33" s="15">
        <v>250</v>
      </c>
      <c r="C33" s="77">
        <f t="shared" si="6"/>
        <v>125.31499999999998</v>
      </c>
      <c r="D33" s="77">
        <f t="shared" si="7"/>
        <v>9.2194422000000014</v>
      </c>
      <c r="E33" s="77">
        <f t="shared" si="8"/>
        <v>1.9630594750000001E-4</v>
      </c>
      <c r="F33" s="77">
        <f t="shared" si="9"/>
        <v>17.382637799999998</v>
      </c>
      <c r="G33" s="77">
        <f t="shared" si="5"/>
        <v>0.54538500000000001</v>
      </c>
      <c r="H33" s="77">
        <f t="shared" si="5"/>
        <v>8.7367499999999989</v>
      </c>
      <c r="I33" s="77">
        <f t="shared" si="5"/>
        <v>0.79601499999999992</v>
      </c>
      <c r="J33" s="77">
        <f t="shared" si="5"/>
        <v>3.3534999999999995E-2</v>
      </c>
      <c r="K33" s="77">
        <f t="shared" si="5"/>
        <v>5.1184999999999998E-3</v>
      </c>
      <c r="L33" s="77">
        <f t="shared" si="5"/>
        <v>0.4394849999999999</v>
      </c>
      <c r="M33" s="77">
        <f t="shared" si="5"/>
        <v>0.192385</v>
      </c>
      <c r="N33" s="77">
        <f t="shared" si="5"/>
        <v>85.778999999999996</v>
      </c>
      <c r="O33" s="77">
        <f t="shared" si="5"/>
        <v>7818.9499999999989</v>
      </c>
      <c r="P33" s="77">
        <f t="shared" si="5"/>
        <v>0</v>
      </c>
      <c r="Q33" s="77">
        <f t="shared" si="10"/>
        <v>90.014999999999986</v>
      </c>
      <c r="R33" s="77">
        <f t="shared" si="11"/>
        <v>0</v>
      </c>
      <c r="S33" s="77">
        <f t="shared" si="11"/>
        <v>0.18179500000000001</v>
      </c>
      <c r="T33" s="77">
        <f t="shared" si="11"/>
        <v>0</v>
      </c>
      <c r="U33" s="77">
        <f t="shared" si="11"/>
        <v>0</v>
      </c>
      <c r="AB33" s="59"/>
      <c r="AC33" s="59"/>
      <c r="AD33" s="59"/>
      <c r="AE33" s="59"/>
      <c r="AF33" s="59"/>
      <c r="AG33" s="59"/>
      <c r="AH33" s="59"/>
      <c r="AI33" s="59"/>
    </row>
    <row r="34" spans="1:35" s="72" customFormat="1" ht="13" x14ac:dyDescent="0.35">
      <c r="A34" s="13" t="str">
        <f>F8</f>
        <v>SJC4</v>
      </c>
      <c r="B34" s="15">
        <v>250</v>
      </c>
      <c r="C34" s="77">
        <f t="shared" si="6"/>
        <v>125.31499999999998</v>
      </c>
      <c r="D34" s="77">
        <f t="shared" si="7"/>
        <v>9.2194422000000014</v>
      </c>
      <c r="E34" s="77">
        <f t="shared" si="8"/>
        <v>1.9630594750000001E-4</v>
      </c>
      <c r="F34" s="77">
        <f t="shared" si="9"/>
        <v>17.382637799999998</v>
      </c>
      <c r="G34" s="77">
        <f t="shared" si="5"/>
        <v>0.54538500000000001</v>
      </c>
      <c r="H34" s="77">
        <f t="shared" si="5"/>
        <v>8.7367499999999989</v>
      </c>
      <c r="I34" s="77">
        <f t="shared" si="5"/>
        <v>0.79601499999999992</v>
      </c>
      <c r="J34" s="77">
        <f t="shared" si="5"/>
        <v>3.3534999999999995E-2</v>
      </c>
      <c r="K34" s="77">
        <f t="shared" si="5"/>
        <v>5.1184999999999998E-3</v>
      </c>
      <c r="L34" s="77">
        <f t="shared" si="5"/>
        <v>0.4394849999999999</v>
      </c>
      <c r="M34" s="77">
        <f t="shared" si="5"/>
        <v>0.192385</v>
      </c>
      <c r="N34" s="77">
        <f t="shared" si="5"/>
        <v>85.778999999999996</v>
      </c>
      <c r="O34" s="77">
        <f t="shared" si="5"/>
        <v>7818.9499999999989</v>
      </c>
      <c r="P34" s="77">
        <f t="shared" si="5"/>
        <v>0</v>
      </c>
      <c r="Q34" s="77">
        <f t="shared" si="10"/>
        <v>90.014999999999986</v>
      </c>
      <c r="R34" s="77">
        <f t="shared" si="11"/>
        <v>0</v>
      </c>
      <c r="S34" s="77">
        <f t="shared" si="11"/>
        <v>0.18179500000000001</v>
      </c>
      <c r="T34" s="77">
        <f t="shared" si="11"/>
        <v>0</v>
      </c>
      <c r="U34" s="77">
        <f t="shared" si="11"/>
        <v>0</v>
      </c>
      <c r="AB34" s="59"/>
      <c r="AC34" s="59"/>
      <c r="AD34" s="59"/>
      <c r="AE34" s="59"/>
      <c r="AF34" s="59"/>
      <c r="AG34" s="59"/>
      <c r="AH34" s="59"/>
      <c r="AI34" s="59"/>
    </row>
    <row r="35" spans="1:35" s="72" customFormat="1" ht="13" x14ac:dyDescent="0.35">
      <c r="A35" s="13" t="str">
        <f>G8</f>
        <v>SJC5</v>
      </c>
      <c r="B35" s="15">
        <v>250</v>
      </c>
      <c r="C35" s="77">
        <f t="shared" si="6"/>
        <v>125.31499999999998</v>
      </c>
      <c r="D35" s="77">
        <f t="shared" si="7"/>
        <v>9.2194422000000014</v>
      </c>
      <c r="E35" s="77">
        <f t="shared" si="8"/>
        <v>1.9630594750000001E-4</v>
      </c>
      <c r="F35" s="77">
        <f t="shared" si="9"/>
        <v>17.382637799999998</v>
      </c>
      <c r="G35" s="77">
        <f t="shared" si="5"/>
        <v>0.54538500000000001</v>
      </c>
      <c r="H35" s="77">
        <f t="shared" si="5"/>
        <v>8.7367499999999989</v>
      </c>
      <c r="I35" s="77">
        <f t="shared" si="5"/>
        <v>0.79601499999999992</v>
      </c>
      <c r="J35" s="77">
        <f t="shared" si="5"/>
        <v>3.3534999999999995E-2</v>
      </c>
      <c r="K35" s="77">
        <f t="shared" si="5"/>
        <v>5.1184999999999998E-3</v>
      </c>
      <c r="L35" s="77">
        <f t="shared" si="5"/>
        <v>0.4394849999999999</v>
      </c>
      <c r="M35" s="77">
        <f t="shared" si="5"/>
        <v>0.192385</v>
      </c>
      <c r="N35" s="77">
        <f t="shared" si="5"/>
        <v>85.778999999999996</v>
      </c>
      <c r="O35" s="77">
        <f t="shared" si="5"/>
        <v>7818.9499999999989</v>
      </c>
      <c r="P35" s="77">
        <f t="shared" si="5"/>
        <v>0</v>
      </c>
      <c r="Q35" s="77">
        <f t="shared" si="10"/>
        <v>90.014999999999986</v>
      </c>
      <c r="R35" s="77">
        <f t="shared" si="11"/>
        <v>0</v>
      </c>
      <c r="S35" s="77">
        <f t="shared" si="11"/>
        <v>0.18179500000000001</v>
      </c>
      <c r="T35" s="77">
        <f t="shared" si="11"/>
        <v>0</v>
      </c>
      <c r="U35" s="77">
        <f t="shared" si="11"/>
        <v>0</v>
      </c>
      <c r="AB35" s="59"/>
      <c r="AC35" s="59"/>
      <c r="AD35" s="59"/>
      <c r="AE35" s="59"/>
      <c r="AF35" s="59"/>
      <c r="AG35" s="59"/>
      <c r="AH35" s="59"/>
      <c r="AI35" s="59"/>
    </row>
    <row r="36" spans="1:35" s="72" customFormat="1" ht="13" x14ac:dyDescent="0.35">
      <c r="A36" s="13" t="str">
        <f>H8</f>
        <v>SJC6</v>
      </c>
      <c r="B36" s="15">
        <v>250</v>
      </c>
      <c r="C36" s="77">
        <f t="shared" si="6"/>
        <v>125.31499999999998</v>
      </c>
      <c r="D36" s="77">
        <f t="shared" si="7"/>
        <v>9.2194422000000014</v>
      </c>
      <c r="E36" s="77">
        <f t="shared" si="8"/>
        <v>1.9630594750000001E-4</v>
      </c>
      <c r="F36" s="77">
        <f t="shared" si="9"/>
        <v>17.382637799999998</v>
      </c>
      <c r="G36" s="77">
        <f t="shared" si="5"/>
        <v>0.54538500000000001</v>
      </c>
      <c r="H36" s="77">
        <f t="shared" si="5"/>
        <v>8.7367499999999989</v>
      </c>
      <c r="I36" s="77">
        <f t="shared" si="5"/>
        <v>0.79601499999999992</v>
      </c>
      <c r="J36" s="77">
        <f t="shared" si="5"/>
        <v>3.3534999999999995E-2</v>
      </c>
      <c r="K36" s="77">
        <f t="shared" si="5"/>
        <v>5.1184999999999998E-3</v>
      </c>
      <c r="L36" s="77">
        <f t="shared" si="5"/>
        <v>0.4394849999999999</v>
      </c>
      <c r="M36" s="77">
        <f t="shared" si="5"/>
        <v>0.192385</v>
      </c>
      <c r="N36" s="77">
        <f t="shared" si="5"/>
        <v>85.778999999999996</v>
      </c>
      <c r="O36" s="77">
        <f t="shared" si="5"/>
        <v>7818.9499999999989</v>
      </c>
      <c r="P36" s="77">
        <f t="shared" si="5"/>
        <v>0</v>
      </c>
      <c r="Q36" s="77">
        <f t="shared" si="10"/>
        <v>90.014999999999986</v>
      </c>
      <c r="R36" s="77">
        <f t="shared" si="11"/>
        <v>0</v>
      </c>
      <c r="S36" s="77">
        <f t="shared" si="11"/>
        <v>0.18179500000000001</v>
      </c>
      <c r="T36" s="77">
        <f t="shared" si="11"/>
        <v>0</v>
      </c>
      <c r="U36" s="77">
        <f t="shared" si="11"/>
        <v>0</v>
      </c>
      <c r="AB36" s="59"/>
      <c r="AC36" s="59"/>
      <c r="AD36" s="59"/>
      <c r="AE36" s="59"/>
      <c r="AF36" s="59"/>
      <c r="AG36" s="59"/>
      <c r="AH36" s="59"/>
      <c r="AI36" s="59"/>
    </row>
    <row r="37" spans="1:35" s="72" customFormat="1" ht="13" x14ac:dyDescent="0.35">
      <c r="A37" s="13" t="str">
        <f>I8</f>
        <v>SJC7</v>
      </c>
      <c r="B37" s="15">
        <v>250</v>
      </c>
      <c r="C37" s="77">
        <f t="shared" si="6"/>
        <v>125.31499999999998</v>
      </c>
      <c r="D37" s="77">
        <f t="shared" si="7"/>
        <v>9.2194422000000014</v>
      </c>
      <c r="E37" s="77">
        <f t="shared" si="8"/>
        <v>1.9630594750000001E-4</v>
      </c>
      <c r="F37" s="77">
        <f t="shared" si="9"/>
        <v>17.382637799999998</v>
      </c>
      <c r="G37" s="77">
        <f t="shared" si="5"/>
        <v>0.54538500000000001</v>
      </c>
      <c r="H37" s="77">
        <f t="shared" si="5"/>
        <v>8.7367499999999989</v>
      </c>
      <c r="I37" s="77">
        <f t="shared" si="5"/>
        <v>0.79601499999999992</v>
      </c>
      <c r="J37" s="77">
        <f t="shared" si="5"/>
        <v>3.3534999999999995E-2</v>
      </c>
      <c r="K37" s="77">
        <f t="shared" si="5"/>
        <v>5.1184999999999998E-3</v>
      </c>
      <c r="L37" s="77">
        <f t="shared" si="5"/>
        <v>0.4394849999999999</v>
      </c>
      <c r="M37" s="77">
        <f t="shared" si="5"/>
        <v>0.192385</v>
      </c>
      <c r="N37" s="77">
        <f t="shared" si="5"/>
        <v>85.778999999999996</v>
      </c>
      <c r="O37" s="77">
        <f t="shared" si="5"/>
        <v>7818.9499999999989</v>
      </c>
      <c r="P37" s="77">
        <f t="shared" si="5"/>
        <v>0</v>
      </c>
      <c r="Q37" s="77">
        <f t="shared" si="10"/>
        <v>90.014999999999986</v>
      </c>
      <c r="R37" s="77">
        <f t="shared" si="11"/>
        <v>0</v>
      </c>
      <c r="S37" s="77">
        <f t="shared" si="11"/>
        <v>0.18179500000000001</v>
      </c>
      <c r="T37" s="77">
        <f t="shared" si="11"/>
        <v>0</v>
      </c>
      <c r="U37" s="77">
        <f t="shared" si="11"/>
        <v>0</v>
      </c>
      <c r="AB37" s="59"/>
      <c r="AC37" s="59"/>
      <c r="AD37" s="59"/>
      <c r="AE37" s="59"/>
      <c r="AF37" s="59"/>
      <c r="AG37" s="59"/>
      <c r="AH37" s="59"/>
      <c r="AI37" s="59"/>
    </row>
    <row r="38" spans="1:35" s="72" customFormat="1" ht="13" x14ac:dyDescent="0.35">
      <c r="A38" s="13" t="str">
        <f>J8</f>
        <v>Bonolwyn A</v>
      </c>
      <c r="B38" s="15">
        <v>250</v>
      </c>
      <c r="C38" s="77">
        <f t="shared" si="6"/>
        <v>125.31499999999998</v>
      </c>
      <c r="D38" s="77">
        <f t="shared" si="7"/>
        <v>9.2194422000000014</v>
      </c>
      <c r="E38" s="77">
        <f t="shared" si="8"/>
        <v>1.9630594750000001E-4</v>
      </c>
      <c r="F38" s="77">
        <f t="shared" si="9"/>
        <v>17.382637799999998</v>
      </c>
      <c r="G38" s="77">
        <f t="shared" si="5"/>
        <v>0.54538500000000001</v>
      </c>
      <c r="H38" s="77">
        <f t="shared" si="5"/>
        <v>8.7367499999999989</v>
      </c>
      <c r="I38" s="77">
        <f t="shared" si="5"/>
        <v>0.79601499999999992</v>
      </c>
      <c r="J38" s="77">
        <f t="shared" si="5"/>
        <v>3.3534999999999995E-2</v>
      </c>
      <c r="K38" s="77">
        <f t="shared" si="5"/>
        <v>5.1184999999999998E-3</v>
      </c>
      <c r="L38" s="77">
        <f t="shared" si="5"/>
        <v>0.4394849999999999</v>
      </c>
      <c r="M38" s="77">
        <f t="shared" si="5"/>
        <v>0.192385</v>
      </c>
      <c r="N38" s="77">
        <f t="shared" si="5"/>
        <v>85.778999999999996</v>
      </c>
      <c r="O38" s="77">
        <f t="shared" si="5"/>
        <v>7818.9499999999989</v>
      </c>
      <c r="P38" s="77">
        <f t="shared" si="5"/>
        <v>0</v>
      </c>
      <c r="Q38" s="77">
        <f t="shared" si="10"/>
        <v>90.014999999999986</v>
      </c>
      <c r="R38" s="77">
        <f t="shared" si="11"/>
        <v>0</v>
      </c>
      <c r="S38" s="77">
        <f t="shared" si="11"/>
        <v>0.18179500000000001</v>
      </c>
      <c r="T38" s="77">
        <f t="shared" si="11"/>
        <v>0</v>
      </c>
      <c r="U38" s="77">
        <f t="shared" si="11"/>
        <v>0</v>
      </c>
      <c r="AB38" s="59"/>
      <c r="AC38" s="59"/>
      <c r="AD38" s="59"/>
      <c r="AE38" s="59"/>
      <c r="AF38" s="59"/>
      <c r="AG38" s="59"/>
      <c r="AH38" s="59"/>
      <c r="AI38" s="59"/>
    </row>
    <row r="39" spans="1:35" s="72" customFormat="1" ht="13" x14ac:dyDescent="0.35">
      <c r="A39" s="13" t="str">
        <f>K8</f>
        <v>Bodnolwyn B</v>
      </c>
      <c r="B39" s="15">
        <v>250</v>
      </c>
      <c r="C39" s="77">
        <f t="shared" si="6"/>
        <v>125.31499999999998</v>
      </c>
      <c r="D39" s="77">
        <f t="shared" si="7"/>
        <v>9.2194422000000014</v>
      </c>
      <c r="E39" s="77">
        <f t="shared" si="8"/>
        <v>1.9630594750000001E-4</v>
      </c>
      <c r="F39" s="77">
        <f t="shared" si="9"/>
        <v>17.382637799999998</v>
      </c>
      <c r="G39" s="77">
        <f t="shared" si="5"/>
        <v>0.54538500000000001</v>
      </c>
      <c r="H39" s="77">
        <f t="shared" si="5"/>
        <v>8.7367499999999989</v>
      </c>
      <c r="I39" s="77">
        <f t="shared" si="5"/>
        <v>0.79601499999999992</v>
      </c>
      <c r="J39" s="77">
        <f t="shared" si="5"/>
        <v>3.3534999999999995E-2</v>
      </c>
      <c r="K39" s="77">
        <f t="shared" si="5"/>
        <v>5.1184999999999998E-3</v>
      </c>
      <c r="L39" s="77">
        <f t="shared" si="5"/>
        <v>0.4394849999999999</v>
      </c>
      <c r="M39" s="77">
        <f t="shared" si="5"/>
        <v>0.192385</v>
      </c>
      <c r="N39" s="77">
        <f t="shared" si="5"/>
        <v>85.778999999999996</v>
      </c>
      <c r="O39" s="77">
        <f t="shared" si="5"/>
        <v>7818.9499999999989</v>
      </c>
      <c r="P39" s="77">
        <f t="shared" si="5"/>
        <v>0</v>
      </c>
      <c r="Q39" s="77">
        <f t="shared" si="10"/>
        <v>90.014999999999986</v>
      </c>
      <c r="R39" s="77">
        <f t="shared" si="11"/>
        <v>0</v>
      </c>
      <c r="S39" s="77">
        <f t="shared" si="11"/>
        <v>0.18179500000000001</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SJC1</v>
      </c>
      <c r="C57" s="8" t="str">
        <f t="shared" ref="C57:U57" si="13">D8</f>
        <v>SJC2</v>
      </c>
      <c r="D57" s="8" t="str">
        <f t="shared" si="13"/>
        <v>SJC3</v>
      </c>
      <c r="E57" s="8" t="str">
        <f t="shared" si="13"/>
        <v>SJC4</v>
      </c>
      <c r="F57" s="8" t="str">
        <f t="shared" si="13"/>
        <v>SJC5</v>
      </c>
      <c r="G57" s="8" t="str">
        <f t="shared" si="13"/>
        <v>SJC6</v>
      </c>
      <c r="H57" s="8" t="str">
        <f t="shared" si="13"/>
        <v>SJC7</v>
      </c>
      <c r="I57" s="8" t="str">
        <f t="shared" si="13"/>
        <v>Bonolwyn A</v>
      </c>
      <c r="J57" s="8" t="str">
        <f t="shared" si="13"/>
        <v>Bodnolwyn B</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Grass</v>
      </c>
      <c r="H58" s="13" t="str">
        <f>I16&amp;" I "&amp;(VLOOKUP(I14,Table2458[],6,FALSE))</f>
        <v>Medium/Clay I Grass</v>
      </c>
      <c r="I58" s="13" t="str">
        <f>J16&amp;" I "&amp;(VLOOKUP(J14,Table2458[],6,FALSE))</f>
        <v>Medium/Clay I Grass</v>
      </c>
      <c r="J58" s="13" t="str">
        <f>K16&amp;" I "&amp;(VLOOKUP(K14,Table2458[],6,FALSE))</f>
        <v>Medium/Clay I Grass</v>
      </c>
      <c r="K58" s="13" t="e">
        <f>L16&amp;" I "&amp;(VLOOKUP(L14,Table2458[],6,FALSE))</f>
        <v>#N/A</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1" t="s">
        <v>132</v>
      </c>
      <c r="B59" s="76">
        <f>VLOOKUP(C$14,Table2458[],5,FALSE)</f>
        <v>6.2</v>
      </c>
      <c r="C59" s="76">
        <f>VLOOKUP(D$14,Table2458[],5,FALSE)</f>
        <v>6.2</v>
      </c>
      <c r="D59" s="76">
        <f>VLOOKUP(E$14,Table2458[],5,FALSE)</f>
        <v>6.2</v>
      </c>
      <c r="E59" s="76">
        <f>VLOOKUP(F$14,Table2458[],5,FALSE)</f>
        <v>6.2</v>
      </c>
      <c r="F59" s="76">
        <f>VLOOKUP(G$14,Table2458[],5,FALSE)</f>
        <v>6.2</v>
      </c>
      <c r="G59" s="76">
        <f>VLOOKUP(H$14,Table2458[],5,FALSE)</f>
        <v>6.2</v>
      </c>
      <c r="H59" s="76">
        <f>VLOOKUP(I$14,Table2458[],5,FALSE)</f>
        <v>6.2</v>
      </c>
      <c r="I59" s="76">
        <f>VLOOKUP(J$14,Table2458[],5,FALSE)</f>
        <v>6.2</v>
      </c>
      <c r="J59" s="76">
        <f>VLOOKUP(K$14,Table2458[],5,FALSE)</f>
        <v>6.2</v>
      </c>
      <c r="K59" s="76" t="e">
        <f>VLOOKUP(L$14,Table2458[],5,FALSE)</f>
        <v>#N/A</v>
      </c>
      <c r="L59" s="76" t="e">
        <f>VLOOKUP(M$14,Table2458[],5,FALSE)</f>
        <v>#N/A</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ht="13" x14ac:dyDescent="0.3">
      <c r="A60" s="111" t="s">
        <v>4</v>
      </c>
      <c r="B60" s="76">
        <f>C10</f>
        <v>6.4</v>
      </c>
      <c r="C60" s="76">
        <f t="shared" ref="C60:U60" si="14">D10</f>
        <v>5.8</v>
      </c>
      <c r="D60" s="76">
        <f t="shared" si="14"/>
        <v>6</v>
      </c>
      <c r="E60" s="76">
        <f t="shared" si="14"/>
        <v>6</v>
      </c>
      <c r="F60" s="76">
        <f t="shared" si="14"/>
        <v>5.9</v>
      </c>
      <c r="G60" s="76">
        <f t="shared" si="14"/>
        <v>6.1</v>
      </c>
      <c r="H60" s="76">
        <f t="shared" si="14"/>
        <v>5.8</v>
      </c>
      <c r="I60" s="76">
        <f t="shared" si="14"/>
        <v>5.8</v>
      </c>
      <c r="J60" s="76">
        <f t="shared" si="14"/>
        <v>5.7</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250</v>
      </c>
      <c r="J62" s="77">
        <f>B39</f>
        <v>250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-1.2000000000000011</v>
      </c>
      <c r="C64" s="77">
        <f t="shared" ref="C64:U64" si="17">(C59-C60)*C61</f>
        <v>2.4000000000000021</v>
      </c>
      <c r="D64" s="77">
        <f t="shared" si="17"/>
        <v>1.2000000000000011</v>
      </c>
      <c r="E64" s="77">
        <f t="shared" si="17"/>
        <v>1.2000000000000011</v>
      </c>
      <c r="F64" s="77">
        <f t="shared" si="17"/>
        <v>1.7999999999999989</v>
      </c>
      <c r="G64" s="77">
        <f t="shared" si="17"/>
        <v>0.6000000000000032</v>
      </c>
      <c r="H64" s="77">
        <f t="shared" si="17"/>
        <v>2.4000000000000021</v>
      </c>
      <c r="I64" s="77">
        <f t="shared" si="17"/>
        <v>2.4000000000000021</v>
      </c>
      <c r="J64" s="77">
        <f t="shared" si="17"/>
        <v>3</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1.2000000000000011</v>
      </c>
      <c r="C65" s="77">
        <f t="shared" ref="C65:U65" si="18">C63-C64</f>
        <v>-2.4000000000000021</v>
      </c>
      <c r="D65" s="77">
        <f t="shared" si="18"/>
        <v>-1.2000000000000011</v>
      </c>
      <c r="E65" s="77">
        <f t="shared" si="18"/>
        <v>-1.2000000000000011</v>
      </c>
      <c r="F65" s="77">
        <f t="shared" si="18"/>
        <v>-1.7999999999999989</v>
      </c>
      <c r="G65" s="77">
        <f t="shared" si="18"/>
        <v>-0.6000000000000032</v>
      </c>
      <c r="H65" s="77">
        <f t="shared" si="18"/>
        <v>-2.4000000000000021</v>
      </c>
      <c r="I65" s="77">
        <f t="shared" si="18"/>
        <v>-2.4000000000000021</v>
      </c>
      <c r="J65" s="77">
        <f t="shared" si="18"/>
        <v>-3</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67" priority="37" operator="equal">
      <formula>"DECREASE"</formula>
    </cfRule>
    <cfRule type="cellIs" dxfId="166" priority="38" operator="equal">
      <formula>"INCREASE"</formula>
    </cfRule>
  </conditionalFormatting>
  <conditionalFormatting sqref="B62:U66 B31:B50">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topLeftCell="H1" zoomScale="90" zoomScaleNormal="90" workbookViewId="0">
      <selection activeCell="O27" sqref="O2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Aber Falls'!C1:D1</f>
        <v>PAN-019961</v>
      </c>
      <c r="D1" s="141"/>
      <c r="E1" s="93" t="s">
        <v>45</v>
      </c>
      <c r="F1" s="39">
        <f>'Field data and Aber Falls'!F1</f>
        <v>48</v>
      </c>
      <c r="G1" s="120" t="s">
        <v>43</v>
      </c>
      <c r="H1" s="121"/>
      <c r="I1" s="118">
        <v>5.5</v>
      </c>
      <c r="J1" s="119" t="s">
        <v>153</v>
      </c>
      <c r="K1" s="119"/>
      <c r="L1" s="97">
        <v>120</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Aber Falls'!C2:D2</f>
        <v>EPR/GP3792SK</v>
      </c>
      <c r="D2" s="143"/>
      <c r="E2" s="93" t="s">
        <v>109</v>
      </c>
      <c r="F2" s="96" t="s">
        <v>174</v>
      </c>
      <c r="G2" s="138" t="s">
        <v>110</v>
      </c>
      <c r="H2" s="139"/>
      <c r="I2" s="118"/>
      <c r="J2" s="119" t="s">
        <v>158</v>
      </c>
      <c r="K2" s="119"/>
      <c r="L2" s="97">
        <v>0.53900000000000003</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Aber Falls'!C3:D3</f>
        <v>ByProduct Recovery Ltd</v>
      </c>
      <c r="D3" s="143"/>
      <c r="E3" s="93" t="s">
        <v>108</v>
      </c>
      <c r="F3" s="31" t="s">
        <v>78</v>
      </c>
      <c r="G3" s="119" t="s">
        <v>159</v>
      </c>
      <c r="H3" s="119"/>
      <c r="I3" s="118"/>
      <c r="J3" s="120" t="s">
        <v>154</v>
      </c>
      <c r="K3" s="121"/>
      <c r="L3" s="97">
        <f>(L1/(L2*10000))*100</f>
        <v>2.2263450834879404</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Aber Falls'!C4:D4</f>
        <v>Plas Bach, Cerrigceinwen, Bodorgan, LL62 5NS</v>
      </c>
      <c r="D4" s="141"/>
      <c r="E4" s="94" t="s">
        <v>1</v>
      </c>
      <c r="F4" s="96" t="s">
        <v>183</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Aber Falls'!C5:D5</f>
        <v>Bryan Burn</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'Field data and Aber Falls'!C8</f>
        <v>SJC1</v>
      </c>
      <c r="D8" s="60" t="str">
        <f>'Field data and Aber Falls'!D8</f>
        <v>SJC2</v>
      </c>
      <c r="E8" s="60" t="str">
        <f>'Field data and Aber Falls'!E8</f>
        <v>SJC3</v>
      </c>
      <c r="F8" s="60" t="str">
        <f>'Field data and Aber Falls'!F8</f>
        <v>SJC4</v>
      </c>
      <c r="G8" s="60" t="str">
        <f>'Field data and Aber Falls'!G8</f>
        <v>SJC5</v>
      </c>
      <c r="H8" s="60" t="str">
        <f>'Field data and Aber Falls'!H8</f>
        <v>SJC6</v>
      </c>
      <c r="I8" s="60" t="str">
        <f>'Field data and Aber Falls'!I8</f>
        <v>SJC7</v>
      </c>
      <c r="J8" s="60" t="str">
        <f>'Field data and Aber Falls'!J8</f>
        <v>Bonolwyn A</v>
      </c>
      <c r="K8" s="60" t="str">
        <f>'Field data and Aber Falls'!K8</f>
        <v>Bodnolwyn B</v>
      </c>
      <c r="L8" s="60">
        <f>'Field data and Aber Falls'!L8</f>
        <v>0</v>
      </c>
      <c r="M8" s="60">
        <f>'Field data and Aber Falls'!M8</f>
        <v>0</v>
      </c>
      <c r="N8" s="60">
        <f>'Field data and Aber Falls'!N8</f>
        <v>0</v>
      </c>
      <c r="O8" s="60">
        <f>'Field data and Aber Falls'!O8</f>
        <v>0</v>
      </c>
      <c r="P8" s="60">
        <f>'Field data and Aber Falls'!P8</f>
        <v>0</v>
      </c>
      <c r="Q8" s="60">
        <f>'Field data and Aber Falls'!Q8</f>
        <v>0</v>
      </c>
      <c r="R8" s="60">
        <f>'Field data and Aber Falls'!R8</f>
        <v>0</v>
      </c>
      <c r="S8" s="60">
        <f>'Field data and Aber Falls'!S8</f>
        <v>0</v>
      </c>
      <c r="T8" s="60">
        <f>'Field data and Aber Falls'!T8</f>
        <v>0</v>
      </c>
      <c r="U8" s="60">
        <f>'Field data and Aber Falls'!U8</f>
        <v>0</v>
      </c>
      <c r="V8" s="60">
        <f>'Field data and Aber Falls'!V8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Aber Falls'!C9</f>
        <v>med</v>
      </c>
      <c r="D9" s="60" t="str">
        <f>'Field data and Aber Falls'!D9</f>
        <v>med</v>
      </c>
      <c r="E9" s="60" t="str">
        <f>'Field data and Aber Falls'!E9</f>
        <v>med</v>
      </c>
      <c r="F9" s="60" t="str">
        <f>'Field data and Aber Falls'!F9</f>
        <v>med</v>
      </c>
      <c r="G9" s="60" t="str">
        <f>'Field data and Aber Falls'!G9</f>
        <v>med</v>
      </c>
      <c r="H9" s="60" t="str">
        <f>'Field data and Aber Falls'!H9</f>
        <v>med</v>
      </c>
      <c r="I9" s="60" t="str">
        <f>'Field data and Aber Falls'!I9</f>
        <v>med</v>
      </c>
      <c r="J9" s="60" t="str">
        <f>'Field data and Aber Falls'!J9</f>
        <v>med</v>
      </c>
      <c r="K9" s="60" t="str">
        <f>'Field data and Aber Falls'!K9</f>
        <v>med</v>
      </c>
      <c r="L9" s="60">
        <f>'Field data and Aber Falls'!L9</f>
        <v>0</v>
      </c>
      <c r="M9" s="60">
        <f>'Field data and Aber Falls'!M9</f>
        <v>0</v>
      </c>
      <c r="N9" s="60">
        <f>'Field data and Aber Falls'!N9</f>
        <v>0</v>
      </c>
      <c r="O9" s="60">
        <f>'Field data and Aber Falls'!O9</f>
        <v>0</v>
      </c>
      <c r="P9" s="60">
        <f>'Field data and Aber Falls'!P9</f>
        <v>0</v>
      </c>
      <c r="Q9" s="60">
        <f>'Field data and Aber Falls'!Q9</f>
        <v>0</v>
      </c>
      <c r="R9" s="60">
        <f>'Field data and Aber Falls'!R9</f>
        <v>0</v>
      </c>
      <c r="S9" s="60">
        <f>'Field data and Aber Falls'!S9</f>
        <v>0</v>
      </c>
      <c r="T9" s="60">
        <f>'Field data and Aber Falls'!T9</f>
        <v>0</v>
      </c>
      <c r="U9" s="60">
        <f>'Field data and Aber Falls'!U9</f>
        <v>0</v>
      </c>
      <c r="V9" s="60">
        <f>'Field data and Aber Falls'!V9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Aber Falls'!C10</f>
        <v>6.4</v>
      </c>
      <c r="D10" s="60">
        <f>'Field data and Aber Falls'!D10</f>
        <v>5.8</v>
      </c>
      <c r="E10" s="60">
        <f>'Field data and Aber Falls'!E10</f>
        <v>6</v>
      </c>
      <c r="F10" s="60">
        <f>'Field data and Aber Falls'!F10</f>
        <v>6</v>
      </c>
      <c r="G10" s="60">
        <f>'Field data and Aber Falls'!G10</f>
        <v>5.9</v>
      </c>
      <c r="H10" s="60">
        <f>'Field data and Aber Falls'!H10</f>
        <v>6.1</v>
      </c>
      <c r="I10" s="60">
        <f>'Field data and Aber Falls'!I10</f>
        <v>5.8</v>
      </c>
      <c r="J10" s="60">
        <f>'Field data and Aber Falls'!J10</f>
        <v>5.8</v>
      </c>
      <c r="K10" s="60">
        <f>'Field data and Aber Falls'!K10</f>
        <v>5.7</v>
      </c>
      <c r="L10" s="60">
        <f>'Field data and Aber Falls'!L10</f>
        <v>0</v>
      </c>
      <c r="M10" s="60">
        <f>'Field data and Aber Falls'!M10</f>
        <v>0</v>
      </c>
      <c r="N10" s="60">
        <f>'Field data and Aber Falls'!N10</f>
        <v>0</v>
      </c>
      <c r="O10" s="60">
        <f>'Field data and Aber Falls'!O10</f>
        <v>0</v>
      </c>
      <c r="P10" s="60">
        <f>'Field data and Aber Falls'!P10</f>
        <v>0</v>
      </c>
      <c r="Q10" s="60">
        <f>'Field data and Aber Falls'!Q10</f>
        <v>0</v>
      </c>
      <c r="R10" s="60">
        <f>'Field data and Aber Falls'!R10</f>
        <v>0</v>
      </c>
      <c r="S10" s="60">
        <f>'Field data and Aber Falls'!S10</f>
        <v>0</v>
      </c>
      <c r="T10" s="60">
        <f>'Field data and Aber Falls'!T10</f>
        <v>0</v>
      </c>
      <c r="U10" s="60">
        <f>'Field data and Aber Falls'!U10</f>
        <v>0</v>
      </c>
      <c r="V10" s="60">
        <f>'Field data and Aber Falls'!V10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Aber Falls'!C11</f>
        <v>2</v>
      </c>
      <c r="D11" s="60">
        <f>'Field data and Aber Falls'!D11</f>
        <v>2</v>
      </c>
      <c r="E11" s="60">
        <f>'Field data and Aber Falls'!E11</f>
        <v>3</v>
      </c>
      <c r="F11" s="60">
        <f>'Field data and Aber Falls'!F11</f>
        <v>1</v>
      </c>
      <c r="G11" s="60">
        <f>'Field data and Aber Falls'!G11</f>
        <v>0</v>
      </c>
      <c r="H11" s="60">
        <f>'Field data and Aber Falls'!H11</f>
        <v>3</v>
      </c>
      <c r="I11" s="60">
        <f>'Field data and Aber Falls'!I11</f>
        <v>2</v>
      </c>
      <c r="J11" s="60">
        <f>'Field data and Aber Falls'!J11</f>
        <v>2</v>
      </c>
      <c r="K11" s="60">
        <f>'Field data and Aber Falls'!K11</f>
        <v>2</v>
      </c>
      <c r="L11" s="60">
        <f>'Field data and Aber Falls'!L11</f>
        <v>0</v>
      </c>
      <c r="M11" s="60">
        <f>'Field data and Aber Falls'!M11</f>
        <v>0</v>
      </c>
      <c r="N11" s="60">
        <f>'Field data and Aber Falls'!N11</f>
        <v>0</v>
      </c>
      <c r="O11" s="60">
        <f>'Field data and Aber Falls'!O11</f>
        <v>0</v>
      </c>
      <c r="P11" s="60">
        <f>'Field data and Aber Falls'!P11</f>
        <v>0</v>
      </c>
      <c r="Q11" s="60">
        <f>'Field data and Aber Falls'!Q11</f>
        <v>0</v>
      </c>
      <c r="R11" s="60">
        <f>'Field data and Aber Falls'!R11</f>
        <v>0</v>
      </c>
      <c r="S11" s="60">
        <f>'Field data and Aber Falls'!S11</f>
        <v>0</v>
      </c>
      <c r="T11" s="60">
        <f>'Field data and Aber Falls'!T11</f>
        <v>0</v>
      </c>
      <c r="U11" s="60">
        <f>'Field data and Aber Falls'!U11</f>
        <v>0</v>
      </c>
      <c r="V11" s="60">
        <f>'Field data and Aber Falls'!V11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Aber Falls'!C12</f>
        <v>3</v>
      </c>
      <c r="D12" s="60">
        <f>'Field data and Aber Falls'!D12</f>
        <v>4</v>
      </c>
      <c r="E12" s="60">
        <f>'Field data and Aber Falls'!E12</f>
        <v>4</v>
      </c>
      <c r="F12" s="60">
        <f>'Field data and Aber Falls'!F12</f>
        <v>1</v>
      </c>
      <c r="G12" s="60">
        <f>'Field data and Aber Falls'!G12</f>
        <v>1</v>
      </c>
      <c r="H12" s="60">
        <f>'Field data and Aber Falls'!H12</f>
        <v>2</v>
      </c>
      <c r="I12" s="60">
        <f>'Field data and Aber Falls'!I12</f>
        <v>1</v>
      </c>
      <c r="J12" s="60">
        <f>'Field data and Aber Falls'!J12</f>
        <v>2</v>
      </c>
      <c r="K12" s="60">
        <f>'Field data and Aber Falls'!K12</f>
        <v>2</v>
      </c>
      <c r="L12" s="60">
        <f>'Field data and Aber Falls'!L12</f>
        <v>0</v>
      </c>
      <c r="M12" s="60">
        <f>'Field data and Aber Falls'!M12</f>
        <v>0</v>
      </c>
      <c r="N12" s="60">
        <f>'Field data and Aber Falls'!N12</f>
        <v>0</v>
      </c>
      <c r="O12" s="60">
        <f>'Field data and Aber Falls'!O12</f>
        <v>0</v>
      </c>
      <c r="P12" s="60">
        <f>'Field data and Aber Falls'!P12</f>
        <v>0</v>
      </c>
      <c r="Q12" s="60">
        <f>'Field data and Aber Falls'!Q12</f>
        <v>0</v>
      </c>
      <c r="R12" s="60">
        <f>'Field data and Aber Falls'!R12</f>
        <v>0</v>
      </c>
      <c r="S12" s="60">
        <f>'Field data and Aber Falls'!S12</f>
        <v>0</v>
      </c>
      <c r="T12" s="60">
        <f>'Field data and Aber Falls'!T12</f>
        <v>0</v>
      </c>
      <c r="U12" s="60">
        <f>'Field data and Aber Falls'!U12</f>
        <v>0</v>
      </c>
      <c r="V12" s="60">
        <f>'Field data and Aber Falls'!V12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Aber Falls'!C13</f>
        <v>4</v>
      </c>
      <c r="D13" s="60">
        <f>'Field data and Aber Falls'!D13</f>
        <v>3</v>
      </c>
      <c r="E13" s="60">
        <f>'Field data and Aber Falls'!E13</f>
        <v>3</v>
      </c>
      <c r="F13" s="60">
        <f>'Field data and Aber Falls'!F13</f>
        <v>3</v>
      </c>
      <c r="G13" s="60">
        <f>'Field data and Aber Falls'!G13</f>
        <v>3</v>
      </c>
      <c r="H13" s="60">
        <f>'Field data and Aber Falls'!H13</f>
        <v>3</v>
      </c>
      <c r="I13" s="60">
        <f>'Field data and Aber Falls'!I13</f>
        <v>3</v>
      </c>
      <c r="J13" s="60">
        <f>'Field data and Aber Falls'!J13</f>
        <v>3</v>
      </c>
      <c r="K13" s="60">
        <f>'Field data and Aber Falls'!K13</f>
        <v>3</v>
      </c>
      <c r="L13" s="60">
        <f>'Field data and Aber Falls'!L13</f>
        <v>0</v>
      </c>
      <c r="M13" s="60">
        <f>'Field data and Aber Falls'!M13</f>
        <v>0</v>
      </c>
      <c r="N13" s="60">
        <f>'Field data and Aber Falls'!N13</f>
        <v>0</v>
      </c>
      <c r="O13" s="60">
        <f>'Field data and Aber Falls'!O13</f>
        <v>0</v>
      </c>
      <c r="P13" s="60">
        <f>'Field data and Aber Falls'!P13</f>
        <v>0</v>
      </c>
      <c r="Q13" s="60">
        <f>'Field data and Aber Falls'!Q13</f>
        <v>0</v>
      </c>
      <c r="R13" s="60">
        <f>'Field data and Aber Falls'!R13</f>
        <v>0</v>
      </c>
      <c r="S13" s="60">
        <f>'Field data and Aber Falls'!S13</f>
        <v>0</v>
      </c>
      <c r="T13" s="60">
        <f>'Field data and Aber Falls'!T13</f>
        <v>0</v>
      </c>
      <c r="U13" s="60">
        <f>'Field data and Aber Falls'!U13</f>
        <v>0</v>
      </c>
      <c r="V13" s="60">
        <f>'Field data and Aber Falls'!V13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Aber Falls'!C14</f>
        <v xml:space="preserve">Grass Silage (30% DM) </v>
      </c>
      <c r="D14" s="102" t="str">
        <f>'Field data and Aber Falls'!D14</f>
        <v xml:space="preserve">Grass Silage (30% DM) </v>
      </c>
      <c r="E14" s="102" t="str">
        <f>'Field data and Aber Falls'!E14</f>
        <v xml:space="preserve">Grass Silage (30% DM) </v>
      </c>
      <c r="F14" s="102" t="str">
        <f>'Field data and Aber Falls'!F14</f>
        <v xml:space="preserve">Grass Silage (30% DM) </v>
      </c>
      <c r="G14" s="102" t="str">
        <f>'Field data and Aber Falls'!G14</f>
        <v xml:space="preserve">Grass Silage (30% DM) </v>
      </c>
      <c r="H14" s="102" t="str">
        <f>'Field data and Aber Falls'!H14</f>
        <v xml:space="preserve">Grass Silage (30% DM) </v>
      </c>
      <c r="I14" s="102" t="str">
        <f>'Field data and Aber Falls'!I14</f>
        <v xml:space="preserve">Grass Silage (30% DM) </v>
      </c>
      <c r="J14" s="102" t="str">
        <f>'Field data and Aber Falls'!J14</f>
        <v xml:space="preserve">Grass Silage (30% DM) </v>
      </c>
      <c r="K14" s="102" t="str">
        <f>'Field data and Aber Falls'!K14</f>
        <v xml:space="preserve">Grass Silage (30% DM) </v>
      </c>
      <c r="L14" s="102">
        <f>'Field data and Aber Falls'!L14</f>
        <v>0</v>
      </c>
      <c r="M14" s="102">
        <f>'Field data and Aber Falls'!M14</f>
        <v>0</v>
      </c>
      <c r="N14" s="102">
        <f>'Field data and Aber Falls'!N14</f>
        <v>0</v>
      </c>
      <c r="O14" s="102">
        <f>'Field data and Aber Falls'!O14</f>
        <v>0</v>
      </c>
      <c r="P14" s="102">
        <f>'Field data and Aber Falls'!P14</f>
        <v>0</v>
      </c>
      <c r="Q14" s="102">
        <f>'Field data and Aber Falls'!Q14</f>
        <v>0</v>
      </c>
      <c r="R14" s="102">
        <f>'Field data and Aber Falls'!R14</f>
        <v>0</v>
      </c>
      <c r="S14" s="102">
        <f>'Field data and Aber Falls'!S14</f>
        <v>0</v>
      </c>
      <c r="T14" s="102">
        <f>'Field data and Aber Falls'!T14</f>
        <v>0</v>
      </c>
      <c r="U14" s="102">
        <f>'Field data and Aber Falls'!U14</f>
        <v>0</v>
      </c>
      <c r="V14" s="102">
        <f>'Field data and Aber Falls'!V14</f>
        <v>0</v>
      </c>
      <c r="AD14" s="30" t="s">
        <v>138</v>
      </c>
      <c r="AE14" s="30">
        <v>6</v>
      </c>
      <c r="AI14" s="53" t="s">
        <v>119</v>
      </c>
      <c r="AJ14" s="54">
        <v>0.8</v>
      </c>
      <c r="AK14" s="55">
        <v>1.7</v>
      </c>
      <c r="AL14" s="11">
        <v>12</v>
      </c>
      <c r="AM14" s="11">
        <v>6.7</v>
      </c>
      <c r="AN14" s="11" t="s">
        <v>135</v>
      </c>
    </row>
    <row r="15" spans="1:41" ht="13" x14ac:dyDescent="0.25">
      <c r="A15" s="130" t="s">
        <v>9</v>
      </c>
      <c r="B15" s="130"/>
      <c r="C15" s="60">
        <f>'Field data and Aber Falls'!C15</f>
        <v>47</v>
      </c>
      <c r="D15" s="60">
        <f>'Field data and Aber Falls'!D15</f>
        <v>47</v>
      </c>
      <c r="E15" s="60">
        <f>'Field data and Aber Falls'!E15</f>
        <v>47</v>
      </c>
      <c r="F15" s="60">
        <f>'Field data and Aber Falls'!F15</f>
        <v>47</v>
      </c>
      <c r="G15" s="60">
        <f>'Field data and Aber Falls'!G15</f>
        <v>47</v>
      </c>
      <c r="H15" s="60">
        <f>'Field data and Aber Falls'!H15</f>
        <v>47</v>
      </c>
      <c r="I15" s="60">
        <f>'Field data and Aber Falls'!I15</f>
        <v>47</v>
      </c>
      <c r="J15" s="60">
        <f>'Field data and Aber Falls'!J15</f>
        <v>47</v>
      </c>
      <c r="K15" s="60">
        <f>'Field data and Aber Falls'!K15</f>
        <v>47</v>
      </c>
      <c r="L15" s="60">
        <f>'Field data and Aber Falls'!L15</f>
        <v>0</v>
      </c>
      <c r="M15" s="60">
        <f>'Field data and Aber Falls'!M15</f>
        <v>0</v>
      </c>
      <c r="N15" s="60">
        <f>'Field data and Aber Falls'!N15</f>
        <v>0</v>
      </c>
      <c r="O15" s="60">
        <f>'Field data and Aber Falls'!O15</f>
        <v>0</v>
      </c>
      <c r="P15" s="60">
        <f>'Field data and Aber Falls'!P15</f>
        <v>0</v>
      </c>
      <c r="Q15" s="60">
        <f>'Field data and Aber Falls'!Q15</f>
        <v>0</v>
      </c>
      <c r="R15" s="60">
        <f>'Field data and Aber Falls'!R15</f>
        <v>0</v>
      </c>
      <c r="S15" s="60">
        <f>'Field data and Aber Falls'!S15</f>
        <v>0</v>
      </c>
      <c r="T15" s="60">
        <f>'Field data and Aber Falls'!T15</f>
        <v>0</v>
      </c>
      <c r="U15" s="60">
        <f>'Field data and Aber Falls'!U15</f>
        <v>0</v>
      </c>
      <c r="V15" s="60">
        <f>'Field data and Aber Falls'!V15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Aber Falls'!C16</f>
        <v>Medium/Clay</v>
      </c>
      <c r="D16" s="103" t="str">
        <f>'Field data and Aber Falls'!D16</f>
        <v>Medium/Clay</v>
      </c>
      <c r="E16" s="103" t="str">
        <f>'Field data and Aber Falls'!E16</f>
        <v>Medium/Clay</v>
      </c>
      <c r="F16" s="103" t="str">
        <f>'Field data and Aber Falls'!F16</f>
        <v>Medium/Clay</v>
      </c>
      <c r="G16" s="103" t="str">
        <f>'Field data and Aber Falls'!G16</f>
        <v>Medium/Clay</v>
      </c>
      <c r="H16" s="103" t="str">
        <f>'Field data and Aber Falls'!H16</f>
        <v>Medium/Clay</v>
      </c>
      <c r="I16" s="103" t="str">
        <f>'Field data and Aber Falls'!I16</f>
        <v>Medium/Clay</v>
      </c>
      <c r="J16" s="103" t="str">
        <f>'Field data and Aber Falls'!J16</f>
        <v>Medium/Clay</v>
      </c>
      <c r="K16" s="103" t="str">
        <f>'Field data and Aber Falls'!K16</f>
        <v>Medium/Clay</v>
      </c>
      <c r="L16" s="103">
        <f>'Field data and Aber Falls'!L16</f>
        <v>0</v>
      </c>
      <c r="M16" s="103">
        <f>'Field data and Aber Falls'!M16</f>
        <v>0</v>
      </c>
      <c r="N16" s="103">
        <f>'Field data and Aber Falls'!N16</f>
        <v>0</v>
      </c>
      <c r="O16" s="103">
        <f>'Field data and Aber Falls'!O16</f>
        <v>0</v>
      </c>
      <c r="P16" s="103">
        <f>'Field data and Aber Falls'!P16</f>
        <v>0</v>
      </c>
      <c r="Q16" s="103">
        <f>'Field data and Aber Falls'!Q16</f>
        <v>0</v>
      </c>
      <c r="R16" s="103">
        <f>'Field data and Aber Falls'!R16</f>
        <v>0</v>
      </c>
      <c r="S16" s="103">
        <f>'Field data and Aber Falls'!S16</f>
        <v>0</v>
      </c>
      <c r="T16" s="103">
        <f>'Field data and Aber Falls'!T16</f>
        <v>0</v>
      </c>
      <c r="U16" s="103">
        <f>'Field data and Aber Falls'!U16</f>
        <v>0</v>
      </c>
      <c r="V16" s="103">
        <f>'Field data and Aber Falls'!V16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98.7</v>
      </c>
      <c r="D17" s="28">
        <f t="shared" ref="D17:V17" si="0">(VLOOKUP(D$14,$AI2:$AK26,2,FALSE))*D$15</f>
        <v>98.7</v>
      </c>
      <c r="E17" s="28">
        <f t="shared" si="0"/>
        <v>98.7</v>
      </c>
      <c r="F17" s="28">
        <f t="shared" si="0"/>
        <v>98.7</v>
      </c>
      <c r="G17" s="28">
        <f t="shared" si="0"/>
        <v>98.7</v>
      </c>
      <c r="H17" s="28">
        <f t="shared" si="0"/>
        <v>98.7</v>
      </c>
      <c r="I17" s="28">
        <f t="shared" si="0"/>
        <v>98.7</v>
      </c>
      <c r="J17" s="28">
        <f t="shared" si="0"/>
        <v>98.7</v>
      </c>
      <c r="K17" s="28">
        <f t="shared" si="0"/>
        <v>98.7</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24.273717749999996</v>
      </c>
      <c r="D18" s="16">
        <f>$D32</f>
        <v>24.273717749999996</v>
      </c>
      <c r="E18" s="16">
        <f>$D33</f>
        <v>24.273717749999996</v>
      </c>
      <c r="F18" s="16">
        <f>$D34</f>
        <v>24.273717749999996</v>
      </c>
      <c r="G18" s="16">
        <f>$D35</f>
        <v>24.273717749999996</v>
      </c>
      <c r="H18" s="16">
        <f>$D36</f>
        <v>24.273717749999996</v>
      </c>
      <c r="I18" s="16">
        <f>$D37</f>
        <v>24.273717749999996</v>
      </c>
      <c r="J18" s="16">
        <f>$D38</f>
        <v>24.273717749999996</v>
      </c>
      <c r="K18" s="16">
        <f>$D39</f>
        <v>24.273717749999996</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-74.426282250000014</v>
      </c>
      <c r="D19" s="16">
        <f t="shared" ref="D19:V19" si="1">D18-D17</f>
        <v>-74.426282250000014</v>
      </c>
      <c r="E19" s="16">
        <f t="shared" si="1"/>
        <v>-74.426282250000014</v>
      </c>
      <c r="F19" s="16">
        <f t="shared" si="1"/>
        <v>-74.426282250000014</v>
      </c>
      <c r="G19" s="16">
        <f t="shared" si="1"/>
        <v>-74.426282250000014</v>
      </c>
      <c r="H19" s="16">
        <f t="shared" si="1"/>
        <v>-74.426282250000014</v>
      </c>
      <c r="I19" s="16">
        <f t="shared" si="1"/>
        <v>-74.426282250000014</v>
      </c>
      <c r="J19" s="16">
        <f t="shared" si="1"/>
        <v>-74.426282250000014</v>
      </c>
      <c r="K19" s="16">
        <f t="shared" si="1"/>
        <v>-74.426282250000014</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338.40000000000003</v>
      </c>
      <c r="D21" s="28">
        <f t="shared" ref="D21:V21" si="2">(VLOOKUP(D$14,$AI2:$AK26,3,FALSE))*D$15</f>
        <v>338.40000000000003</v>
      </c>
      <c r="E21" s="28">
        <f t="shared" si="2"/>
        <v>338.40000000000003</v>
      </c>
      <c r="F21" s="28">
        <f t="shared" si="2"/>
        <v>338.40000000000003</v>
      </c>
      <c r="G21" s="28">
        <f t="shared" si="2"/>
        <v>338.40000000000003</v>
      </c>
      <c r="H21" s="28">
        <f t="shared" si="2"/>
        <v>338.40000000000003</v>
      </c>
      <c r="I21" s="28">
        <f t="shared" si="2"/>
        <v>338.40000000000003</v>
      </c>
      <c r="J21" s="28">
        <f t="shared" si="2"/>
        <v>338.40000000000003</v>
      </c>
      <c r="K21" s="28">
        <f t="shared" si="2"/>
        <v>338.40000000000003</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1.8897412500000003E-4</v>
      </c>
      <c r="D22" s="16">
        <f>$E32</f>
        <v>1.8897412500000003E-4</v>
      </c>
      <c r="E22" s="16">
        <f>$E33</f>
        <v>1.8897412500000003E-4</v>
      </c>
      <c r="F22" s="16">
        <f>$E34</f>
        <v>1.8897412500000003E-4</v>
      </c>
      <c r="G22" s="16">
        <f>$E35</f>
        <v>1.8897412500000003E-4</v>
      </c>
      <c r="H22" s="16">
        <f>$E36</f>
        <v>1.8897412500000003E-4</v>
      </c>
      <c r="I22" s="16">
        <f>$E37</f>
        <v>1.8897412500000003E-4</v>
      </c>
      <c r="J22" s="16">
        <f>$E38</f>
        <v>1.8897412500000003E-4</v>
      </c>
      <c r="K22" s="16">
        <f>$E39</f>
        <v>1.8897412500000003E-4</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-338.39981102587501</v>
      </c>
      <c r="D23" s="16">
        <f t="shared" ref="D23:V23" si="3">D22-D21</f>
        <v>-338.39981102587501</v>
      </c>
      <c r="E23" s="16">
        <f t="shared" si="3"/>
        <v>-338.39981102587501</v>
      </c>
      <c r="F23" s="16">
        <f t="shared" si="3"/>
        <v>-338.39981102587501</v>
      </c>
      <c r="G23" s="16">
        <f t="shared" si="3"/>
        <v>-338.39981102587501</v>
      </c>
      <c r="H23" s="16">
        <f t="shared" si="3"/>
        <v>-338.39981102587501</v>
      </c>
      <c r="I23" s="16">
        <f t="shared" si="3"/>
        <v>-338.39981102587501</v>
      </c>
      <c r="J23" s="16">
        <f t="shared" si="3"/>
        <v>-338.39981102587501</v>
      </c>
      <c r="K23" s="16">
        <f t="shared" si="3"/>
        <v>-338.39981102587501</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55</v>
      </c>
      <c r="F27" s="107" t="s">
        <v>55</v>
      </c>
      <c r="G27" s="107" t="s">
        <v>55</v>
      </c>
      <c r="H27" s="107" t="s">
        <v>55</v>
      </c>
      <c r="I27" s="107" t="s">
        <v>55</v>
      </c>
      <c r="J27" s="107" t="s">
        <v>55</v>
      </c>
      <c r="K27" s="107" t="s">
        <v>55</v>
      </c>
      <c r="L27" s="107" t="s">
        <v>55</v>
      </c>
      <c r="M27" s="107" t="s">
        <v>55</v>
      </c>
      <c r="N27" s="107" t="s">
        <v>54</v>
      </c>
      <c r="O27" s="107" t="s">
        <v>55</v>
      </c>
      <c r="P27" s="107"/>
      <c r="Q27" s="107" t="s">
        <v>55</v>
      </c>
      <c r="R27" s="107"/>
      <c r="S27" s="107" t="s">
        <v>55</v>
      </c>
      <c r="T27" s="107"/>
      <c r="U27" s="107"/>
    </row>
    <row r="28" spans="1:40" s="57" customFormat="1" x14ac:dyDescent="0.35">
      <c r="A28" s="108"/>
      <c r="B28" s="24">
        <v>5.0999999999999996</v>
      </c>
      <c r="C28" s="15">
        <v>0.53690000000000004</v>
      </c>
      <c r="D28" s="15">
        <v>8.3099999999999993E-2</v>
      </c>
      <c r="E28" s="15">
        <v>1.23E-2</v>
      </c>
      <c r="F28" s="15">
        <v>199</v>
      </c>
      <c r="G28" s="15">
        <v>7.8</v>
      </c>
      <c r="H28" s="15">
        <v>326</v>
      </c>
      <c r="I28" s="15">
        <v>37.5</v>
      </c>
      <c r="J28" s="15">
        <v>1.54</v>
      </c>
      <c r="K28" s="23">
        <v>0.39</v>
      </c>
      <c r="L28" s="15">
        <v>43.8</v>
      </c>
      <c r="M28" s="15">
        <v>6.64</v>
      </c>
      <c r="N28" s="15">
        <v>3050</v>
      </c>
      <c r="O28" s="15">
        <v>417000</v>
      </c>
      <c r="P28" s="15"/>
      <c r="Q28" s="15">
        <v>7370</v>
      </c>
      <c r="R28" s="15"/>
      <c r="S28" s="15">
        <v>24.4</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SJC1</v>
      </c>
      <c r="B31" s="15">
        <v>250</v>
      </c>
      <c r="C31" s="77">
        <f>IF(C$27="%w/w SAR",((C$28*10)*$B31),IF(C$27="%w/w DM",(((C$28*10)*($B$28/100))*$B31),IF(C$27="kg/t SAR",(C$28*$B31),IF(C$27="kg/t DM",((C$28*($B$28/100))*$B31),IF(C$27="mg/kg SAR",((C$28*0.001)*$B31),IF(C$27="mg/kg DM",(((C$28*0.001)*($B$28/100))*$B31),0))))))</f>
        <v>68.454750000000004</v>
      </c>
      <c r="D31" s="77">
        <f>(IF(D$27="%w/w SAR",((D$28*10)*$B31),IF(D$27="%w/w DM",(((D$28*10)*($B$28/100))*$B31),IF(D$27="kg/t SAR",(D$28*$B31),IF(D$27="kg/t DM",((D$28*($B$28/100))*$B31),IF(D$27="mg/kg SAR",((D$28*0.001)*$B31),IF(D$27="mg/kg DM",(((D$28*0.001)*($B$28/100))*$B31),"0")))))))*2.291</f>
        <v>24.273717749999996</v>
      </c>
      <c r="E31" s="77">
        <f>(IF(E$27="%w/w SAR",((E$28*10)*$B31),IF(E$27="%w/w DM",(((E$28*10)*($B$28/100))*$B31),IF(E$27="kg/t SAR",(E$28*$B31),IF(E$27="kg/t DM",((E$28*($B$28/100))*$B31),IF(E$27="mg/kg SAR",((E$28*0.001)*$B31),IF(E$27="mg/kg DM",(((E$28*0.001)*($B$28/100))*$B31),"0")))))))*1.205</f>
        <v>1.8897412500000003E-4</v>
      </c>
      <c r="F31" s="77">
        <f>(IF(F$27="%w/w SAR",((F$28*10)*$B31),IF(F$27="%w/w DM",(((F$28*10)*($B$28/100))*$B31),IF(F$27="kg/t SAR",(F$28*$B31),IF(F$27="kg/t DM",((F$28*($B$28/100))*$B31),IF(F$27="mg/kg SAR",((F$28*0.001)*$B31),IF(F$27="mg/kg DM",(((F$28*0.001)*($B$28/100))*$B31),"0")))))))*1.658</f>
        <v>4.2067605000000006</v>
      </c>
      <c r="G31" s="77">
        <f t="shared" ref="G31:P46" si="5">IF(G$27="%w/w SAR",((G$28*10)*$B31),IF(G$27="%w/w DM",(((G$28*10)*($B$28/100))*$B31),IF(G$27="kg/t SAR",(G$28*$B31),IF(G$27="kg/t DM",((G$28*($B$28/100))*$B31),IF(G$27="mg/kg SAR",((G$28*0.001)*$B31),IF(G$27="mg/kg DM",(((G$28*0.001)*($B$28/100))*$B31),0))))))</f>
        <v>9.9449999999999997E-2</v>
      </c>
      <c r="H31" s="77">
        <f t="shared" si="5"/>
        <v>4.1564999999999994</v>
      </c>
      <c r="I31" s="77">
        <f t="shared" si="5"/>
        <v>0.47812499999999991</v>
      </c>
      <c r="J31" s="77">
        <f t="shared" si="5"/>
        <v>1.9635E-2</v>
      </c>
      <c r="K31" s="77">
        <f t="shared" si="5"/>
        <v>4.9725000000000004E-3</v>
      </c>
      <c r="L31" s="77">
        <f t="shared" si="5"/>
        <v>0.55844999999999989</v>
      </c>
      <c r="M31" s="77">
        <f t="shared" si="5"/>
        <v>8.4659999999999999E-2</v>
      </c>
      <c r="N31" s="77">
        <f t="shared" si="5"/>
        <v>762.50000000000011</v>
      </c>
      <c r="O31" s="77">
        <f t="shared" si="5"/>
        <v>5316.75</v>
      </c>
      <c r="P31" s="77">
        <f t="shared" si="5"/>
        <v>0</v>
      </c>
      <c r="Q31" s="77">
        <f>(IF(Q$27="%w/w SAR",((Q$28*10)*$B31),IF(Q$27="%w/w DM",(((Q$28*10)*($B$28/100))*$B31),IF(Q$27="kg/t SAR",(Q$28*$B31),IF(Q$27="kg/t DM",((Q$28*($B$28/100))*$B31),IF(Q$27="mg/kg SAR",((Q$28*0.001)*$B31),IF(Q$27="mg/kg DM",(((Q$28*0.001)*($B$28/100))*$B31),0)))))))*2.5</f>
        <v>234.91874999999999</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0.31109999999999999</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SJC2</v>
      </c>
      <c r="B32" s="15">
        <v>250</v>
      </c>
      <c r="C32" s="77">
        <f t="shared" ref="C32:C50" si="6">IF(C$27="%w/w SAR",((C$28*10)*$B32),IF(C$27="%w/w DM",(((C$28*10)*($B$28/100))*$B32),IF(C$27="kg/t SAR",(C$28*$B32),IF(C$27="kg/t DM",((C$28*($B$28/100))*$B32),IF(C$27="mg/kg SAR",((C$28*0.001)*$B32),IF(C$27="mg/kg DM",(((C$28*0.001)*($B$28/100))*$B32),0))))))</f>
        <v>68.454750000000004</v>
      </c>
      <c r="D32" s="77">
        <f t="shared" ref="D32:D50" si="7">(IF(D$27="%w/w SAR",((D$28*10)*$B32),IF(D$27="%w/w DM",(((D$28*10)*($B$28/100))*$B32),IF(D$27="kg/t SAR",(D$28*$B32),IF(D$27="kg/t DM",((D$28*($B$28/100))*$B32),IF(D$27="mg/kg SAR",((D$28*0.001)*$B32),IF(D$27="mg/kg DM",(((D$28*0.001)*($B$28/100))*$B32),"0")))))))*2.291</f>
        <v>24.273717749999996</v>
      </c>
      <c r="E32" s="77">
        <f t="shared" ref="E32:E50" si="8">(IF(E$27="%w/w SAR",((E$28*10)*$B32),IF(E$27="%w/w DM",(((E$28*10)*($B$28/100))*$B32),IF(E$27="kg/t SAR",(E$28*$B32),IF(E$27="kg/t DM",((E$28*($B$28/100))*$B32),IF(E$27="mg/kg SAR",((E$28*0.001)*$B32),IF(E$27="mg/kg DM",(((E$28*0.001)*($B$28/100))*$B32),"0")))))))*1.205</f>
        <v>1.8897412500000003E-4</v>
      </c>
      <c r="F32" s="77">
        <f t="shared" ref="F32:F50" si="9">(IF(F$27="%w/w SAR",((F$28*10)*$B32),IF(F$27="%w/w DM",(((F$28*10)*($B$28/100))*$B32),IF(F$27="kg/t SAR",(F$28*$B32),IF(F$27="kg/t DM",((F$28*($B$28/100))*$B32),IF(F$27="mg/kg SAR",((F$28*0.001)*$B32),IF(F$27="mg/kg DM",(((F$28*0.001)*($B$28/100))*$B32),"0")))))))*1.658</f>
        <v>4.2067605000000006</v>
      </c>
      <c r="G32" s="77">
        <f t="shared" si="5"/>
        <v>9.9449999999999997E-2</v>
      </c>
      <c r="H32" s="77">
        <f t="shared" si="5"/>
        <v>4.1564999999999994</v>
      </c>
      <c r="I32" s="77">
        <f t="shared" si="5"/>
        <v>0.47812499999999991</v>
      </c>
      <c r="J32" s="77">
        <f t="shared" si="5"/>
        <v>1.9635E-2</v>
      </c>
      <c r="K32" s="77">
        <f t="shared" si="5"/>
        <v>4.9725000000000004E-3</v>
      </c>
      <c r="L32" s="77">
        <f t="shared" si="5"/>
        <v>0.55844999999999989</v>
      </c>
      <c r="M32" s="77">
        <f t="shared" si="5"/>
        <v>8.4659999999999999E-2</v>
      </c>
      <c r="N32" s="77">
        <f t="shared" si="5"/>
        <v>762.50000000000011</v>
      </c>
      <c r="O32" s="77">
        <f t="shared" si="5"/>
        <v>5316.75</v>
      </c>
      <c r="P32" s="77">
        <f t="shared" si="5"/>
        <v>0</v>
      </c>
      <c r="Q32" s="77">
        <f t="shared" ref="Q32:Q50" si="10">(IF(Q$27="%w/w SAR",((Q$28*10)*$B32),IF(Q$27="%w/w DM",(((Q$28*10)*($B$28/100))*$B32),IF(Q$27="kg/t SAR",(Q$28*$B32),IF(Q$27="kg/t DM",((Q$28*($B$28/100))*$B32),IF(Q$27="mg/kg SAR",((Q$28*0.001)*$B32),IF(Q$27="mg/kg DM",(((Q$28*0.001)*($B$28/100))*$B32),0)))))))*2.5</f>
        <v>234.91874999999999</v>
      </c>
      <c r="R32" s="77">
        <f t="shared" ref="R32:U50" si="11">IF(R$27="%w/w SAR",((R$28*10)*$B32),IF(R$27="%w/w DM",(((R$28*10)*($B$28/100))*$B32),IF(R$27="kg/t SAR",(R$28*$B32),IF(R$27="kg/t DM",((R$28*($B$28/100))*$B32),IF(R$27="mg/kg SAR",((R$28*0.001)*$B32),IF(R$27="mg/kg DM",(((R$28*0.001)*($B$28/100))*$B32),0))))))</f>
        <v>0</v>
      </c>
      <c r="S32" s="77">
        <f t="shared" si="11"/>
        <v>0.31109999999999999</v>
      </c>
      <c r="T32" s="77">
        <f t="shared" si="11"/>
        <v>0</v>
      </c>
      <c r="U32" s="77">
        <f t="shared" si="11"/>
        <v>0</v>
      </c>
      <c r="AB32" s="59"/>
      <c r="AC32" s="59"/>
      <c r="AD32" s="59"/>
      <c r="AE32" s="59"/>
      <c r="AF32" s="59"/>
      <c r="AG32" s="59"/>
      <c r="AH32" s="59"/>
      <c r="AI32" s="59"/>
    </row>
    <row r="33" spans="1:35" s="72" customFormat="1" ht="13" x14ac:dyDescent="0.35">
      <c r="A33" s="13" t="str">
        <f>E8</f>
        <v>SJC3</v>
      </c>
      <c r="B33" s="15">
        <v>250</v>
      </c>
      <c r="C33" s="77">
        <f t="shared" si="6"/>
        <v>68.454750000000004</v>
      </c>
      <c r="D33" s="77">
        <f t="shared" si="7"/>
        <v>24.273717749999996</v>
      </c>
      <c r="E33" s="77">
        <f t="shared" si="8"/>
        <v>1.8897412500000003E-4</v>
      </c>
      <c r="F33" s="77">
        <f t="shared" si="9"/>
        <v>4.2067605000000006</v>
      </c>
      <c r="G33" s="77">
        <f t="shared" si="5"/>
        <v>9.9449999999999997E-2</v>
      </c>
      <c r="H33" s="77">
        <f t="shared" si="5"/>
        <v>4.1564999999999994</v>
      </c>
      <c r="I33" s="77">
        <f t="shared" si="5"/>
        <v>0.47812499999999991</v>
      </c>
      <c r="J33" s="77">
        <f t="shared" si="5"/>
        <v>1.9635E-2</v>
      </c>
      <c r="K33" s="77">
        <f t="shared" si="5"/>
        <v>4.9725000000000004E-3</v>
      </c>
      <c r="L33" s="77">
        <f t="shared" si="5"/>
        <v>0.55844999999999989</v>
      </c>
      <c r="M33" s="77">
        <f t="shared" si="5"/>
        <v>8.4659999999999999E-2</v>
      </c>
      <c r="N33" s="77">
        <f t="shared" si="5"/>
        <v>762.50000000000011</v>
      </c>
      <c r="O33" s="77">
        <f t="shared" si="5"/>
        <v>5316.75</v>
      </c>
      <c r="P33" s="77">
        <f t="shared" si="5"/>
        <v>0</v>
      </c>
      <c r="Q33" s="77">
        <f t="shared" si="10"/>
        <v>234.91874999999999</v>
      </c>
      <c r="R33" s="77">
        <f t="shared" si="11"/>
        <v>0</v>
      </c>
      <c r="S33" s="77">
        <f t="shared" si="11"/>
        <v>0.31109999999999999</v>
      </c>
      <c r="T33" s="77">
        <f t="shared" si="11"/>
        <v>0</v>
      </c>
      <c r="U33" s="77">
        <f t="shared" si="11"/>
        <v>0</v>
      </c>
      <c r="AB33" s="59"/>
      <c r="AC33" s="59"/>
      <c r="AD33" s="59"/>
      <c r="AE33" s="59"/>
      <c r="AF33" s="59"/>
      <c r="AG33" s="59"/>
      <c r="AH33" s="59"/>
      <c r="AI33" s="59"/>
    </row>
    <row r="34" spans="1:35" s="72" customFormat="1" ht="13" x14ac:dyDescent="0.35">
      <c r="A34" s="13" t="str">
        <f>F8</f>
        <v>SJC4</v>
      </c>
      <c r="B34" s="15">
        <v>250</v>
      </c>
      <c r="C34" s="77">
        <f t="shared" si="6"/>
        <v>68.454750000000004</v>
      </c>
      <c r="D34" s="77">
        <f t="shared" si="7"/>
        <v>24.273717749999996</v>
      </c>
      <c r="E34" s="77">
        <f t="shared" si="8"/>
        <v>1.8897412500000003E-4</v>
      </c>
      <c r="F34" s="77">
        <f t="shared" si="9"/>
        <v>4.2067605000000006</v>
      </c>
      <c r="G34" s="77">
        <f t="shared" si="5"/>
        <v>9.9449999999999997E-2</v>
      </c>
      <c r="H34" s="77">
        <f t="shared" si="5"/>
        <v>4.1564999999999994</v>
      </c>
      <c r="I34" s="77">
        <f t="shared" si="5"/>
        <v>0.47812499999999991</v>
      </c>
      <c r="J34" s="77">
        <f t="shared" si="5"/>
        <v>1.9635E-2</v>
      </c>
      <c r="K34" s="77">
        <f t="shared" si="5"/>
        <v>4.9725000000000004E-3</v>
      </c>
      <c r="L34" s="77">
        <f t="shared" si="5"/>
        <v>0.55844999999999989</v>
      </c>
      <c r="M34" s="77">
        <f t="shared" si="5"/>
        <v>8.4659999999999999E-2</v>
      </c>
      <c r="N34" s="77">
        <f t="shared" si="5"/>
        <v>762.50000000000011</v>
      </c>
      <c r="O34" s="77">
        <f t="shared" si="5"/>
        <v>5316.75</v>
      </c>
      <c r="P34" s="77">
        <f t="shared" si="5"/>
        <v>0</v>
      </c>
      <c r="Q34" s="77">
        <f t="shared" si="10"/>
        <v>234.91874999999999</v>
      </c>
      <c r="R34" s="77">
        <f t="shared" si="11"/>
        <v>0</v>
      </c>
      <c r="S34" s="77">
        <f t="shared" si="11"/>
        <v>0.31109999999999999</v>
      </c>
      <c r="T34" s="77">
        <f t="shared" si="11"/>
        <v>0</v>
      </c>
      <c r="U34" s="77">
        <f t="shared" si="11"/>
        <v>0</v>
      </c>
      <c r="AB34" s="59"/>
      <c r="AC34" s="59"/>
      <c r="AD34" s="59"/>
      <c r="AE34" s="59"/>
      <c r="AF34" s="59"/>
      <c r="AG34" s="59"/>
      <c r="AH34" s="59"/>
      <c r="AI34" s="59"/>
    </row>
    <row r="35" spans="1:35" s="72" customFormat="1" ht="13" x14ac:dyDescent="0.35">
      <c r="A35" s="13" t="str">
        <f>G8</f>
        <v>SJC5</v>
      </c>
      <c r="B35" s="15">
        <v>250</v>
      </c>
      <c r="C35" s="77">
        <f t="shared" si="6"/>
        <v>68.454750000000004</v>
      </c>
      <c r="D35" s="77">
        <f t="shared" si="7"/>
        <v>24.273717749999996</v>
      </c>
      <c r="E35" s="77">
        <f t="shared" si="8"/>
        <v>1.8897412500000003E-4</v>
      </c>
      <c r="F35" s="77">
        <f t="shared" si="9"/>
        <v>4.2067605000000006</v>
      </c>
      <c r="G35" s="77">
        <f t="shared" si="5"/>
        <v>9.9449999999999997E-2</v>
      </c>
      <c r="H35" s="77">
        <f t="shared" si="5"/>
        <v>4.1564999999999994</v>
      </c>
      <c r="I35" s="77">
        <f t="shared" si="5"/>
        <v>0.47812499999999991</v>
      </c>
      <c r="J35" s="77">
        <f t="shared" si="5"/>
        <v>1.9635E-2</v>
      </c>
      <c r="K35" s="77">
        <f t="shared" si="5"/>
        <v>4.9725000000000004E-3</v>
      </c>
      <c r="L35" s="77">
        <f t="shared" si="5"/>
        <v>0.55844999999999989</v>
      </c>
      <c r="M35" s="77">
        <f t="shared" si="5"/>
        <v>8.4659999999999999E-2</v>
      </c>
      <c r="N35" s="77">
        <f t="shared" si="5"/>
        <v>762.50000000000011</v>
      </c>
      <c r="O35" s="77">
        <f t="shared" si="5"/>
        <v>5316.75</v>
      </c>
      <c r="P35" s="77">
        <f t="shared" si="5"/>
        <v>0</v>
      </c>
      <c r="Q35" s="77">
        <f t="shared" si="10"/>
        <v>234.91874999999999</v>
      </c>
      <c r="R35" s="77">
        <f t="shared" si="11"/>
        <v>0</v>
      </c>
      <c r="S35" s="77">
        <f t="shared" si="11"/>
        <v>0.31109999999999999</v>
      </c>
      <c r="T35" s="77">
        <f t="shared" si="11"/>
        <v>0</v>
      </c>
      <c r="U35" s="77">
        <f t="shared" si="11"/>
        <v>0</v>
      </c>
      <c r="AB35" s="59"/>
      <c r="AC35" s="59"/>
      <c r="AD35" s="59"/>
      <c r="AE35" s="59"/>
      <c r="AF35" s="59"/>
      <c r="AG35" s="59"/>
      <c r="AH35" s="59"/>
      <c r="AI35" s="59"/>
    </row>
    <row r="36" spans="1:35" s="72" customFormat="1" ht="13" x14ac:dyDescent="0.35">
      <c r="A36" s="13" t="str">
        <f>H8</f>
        <v>SJC6</v>
      </c>
      <c r="B36" s="15">
        <v>250</v>
      </c>
      <c r="C36" s="77">
        <f t="shared" si="6"/>
        <v>68.454750000000004</v>
      </c>
      <c r="D36" s="77">
        <f t="shared" si="7"/>
        <v>24.273717749999996</v>
      </c>
      <c r="E36" s="77">
        <f t="shared" si="8"/>
        <v>1.8897412500000003E-4</v>
      </c>
      <c r="F36" s="77">
        <f t="shared" si="9"/>
        <v>4.2067605000000006</v>
      </c>
      <c r="G36" s="77">
        <f t="shared" si="5"/>
        <v>9.9449999999999997E-2</v>
      </c>
      <c r="H36" s="77">
        <f t="shared" si="5"/>
        <v>4.1564999999999994</v>
      </c>
      <c r="I36" s="77">
        <f t="shared" si="5"/>
        <v>0.47812499999999991</v>
      </c>
      <c r="J36" s="77">
        <f t="shared" si="5"/>
        <v>1.9635E-2</v>
      </c>
      <c r="K36" s="77">
        <f t="shared" si="5"/>
        <v>4.9725000000000004E-3</v>
      </c>
      <c r="L36" s="77">
        <f t="shared" si="5"/>
        <v>0.55844999999999989</v>
      </c>
      <c r="M36" s="77">
        <f t="shared" si="5"/>
        <v>8.4659999999999999E-2</v>
      </c>
      <c r="N36" s="77">
        <f t="shared" si="5"/>
        <v>762.50000000000011</v>
      </c>
      <c r="O36" s="77">
        <f t="shared" si="5"/>
        <v>5316.75</v>
      </c>
      <c r="P36" s="77">
        <f t="shared" si="5"/>
        <v>0</v>
      </c>
      <c r="Q36" s="77">
        <f t="shared" si="10"/>
        <v>234.91874999999999</v>
      </c>
      <c r="R36" s="77">
        <f t="shared" si="11"/>
        <v>0</v>
      </c>
      <c r="S36" s="77">
        <f t="shared" si="11"/>
        <v>0.31109999999999999</v>
      </c>
      <c r="T36" s="77">
        <f t="shared" si="11"/>
        <v>0</v>
      </c>
      <c r="U36" s="77">
        <f t="shared" si="11"/>
        <v>0</v>
      </c>
      <c r="AB36" s="59"/>
      <c r="AC36" s="59"/>
      <c r="AD36" s="59"/>
      <c r="AE36" s="59"/>
      <c r="AF36" s="59"/>
      <c r="AG36" s="59"/>
      <c r="AH36" s="59"/>
      <c r="AI36" s="59"/>
    </row>
    <row r="37" spans="1:35" s="72" customFormat="1" ht="13" x14ac:dyDescent="0.35">
      <c r="A37" s="13" t="str">
        <f>I8</f>
        <v>SJC7</v>
      </c>
      <c r="B37" s="15">
        <v>250</v>
      </c>
      <c r="C37" s="77">
        <f t="shared" si="6"/>
        <v>68.454750000000004</v>
      </c>
      <c r="D37" s="77">
        <f t="shared" si="7"/>
        <v>24.273717749999996</v>
      </c>
      <c r="E37" s="77">
        <f t="shared" si="8"/>
        <v>1.8897412500000003E-4</v>
      </c>
      <c r="F37" s="77">
        <f t="shared" si="9"/>
        <v>4.2067605000000006</v>
      </c>
      <c r="G37" s="77">
        <f t="shared" si="5"/>
        <v>9.9449999999999997E-2</v>
      </c>
      <c r="H37" s="77">
        <f t="shared" si="5"/>
        <v>4.1564999999999994</v>
      </c>
      <c r="I37" s="77">
        <f t="shared" si="5"/>
        <v>0.47812499999999991</v>
      </c>
      <c r="J37" s="77">
        <f t="shared" si="5"/>
        <v>1.9635E-2</v>
      </c>
      <c r="K37" s="77">
        <f t="shared" si="5"/>
        <v>4.9725000000000004E-3</v>
      </c>
      <c r="L37" s="77">
        <f t="shared" si="5"/>
        <v>0.55844999999999989</v>
      </c>
      <c r="M37" s="77">
        <f t="shared" si="5"/>
        <v>8.4659999999999999E-2</v>
      </c>
      <c r="N37" s="77">
        <f t="shared" si="5"/>
        <v>762.50000000000011</v>
      </c>
      <c r="O37" s="77">
        <f t="shared" si="5"/>
        <v>5316.75</v>
      </c>
      <c r="P37" s="77">
        <f t="shared" si="5"/>
        <v>0</v>
      </c>
      <c r="Q37" s="77">
        <f t="shared" si="10"/>
        <v>234.91874999999999</v>
      </c>
      <c r="R37" s="77">
        <f t="shared" si="11"/>
        <v>0</v>
      </c>
      <c r="S37" s="77">
        <f t="shared" si="11"/>
        <v>0.31109999999999999</v>
      </c>
      <c r="T37" s="77">
        <f t="shared" si="11"/>
        <v>0</v>
      </c>
      <c r="U37" s="77">
        <f t="shared" si="11"/>
        <v>0</v>
      </c>
      <c r="AB37" s="59"/>
      <c r="AC37" s="59"/>
      <c r="AD37" s="59"/>
      <c r="AE37" s="59"/>
      <c r="AF37" s="59"/>
      <c r="AG37" s="59"/>
      <c r="AH37" s="59"/>
      <c r="AI37" s="59"/>
    </row>
    <row r="38" spans="1:35" s="72" customFormat="1" ht="13" x14ac:dyDescent="0.35">
      <c r="A38" s="13" t="str">
        <f>J8</f>
        <v>Bonolwyn A</v>
      </c>
      <c r="B38" s="15">
        <v>250</v>
      </c>
      <c r="C38" s="77">
        <f t="shared" si="6"/>
        <v>68.454750000000004</v>
      </c>
      <c r="D38" s="77">
        <f t="shared" si="7"/>
        <v>24.273717749999996</v>
      </c>
      <c r="E38" s="77">
        <f t="shared" si="8"/>
        <v>1.8897412500000003E-4</v>
      </c>
      <c r="F38" s="77">
        <f t="shared" si="9"/>
        <v>4.2067605000000006</v>
      </c>
      <c r="G38" s="77">
        <f t="shared" si="5"/>
        <v>9.9449999999999997E-2</v>
      </c>
      <c r="H38" s="77">
        <f t="shared" si="5"/>
        <v>4.1564999999999994</v>
      </c>
      <c r="I38" s="77">
        <f t="shared" si="5"/>
        <v>0.47812499999999991</v>
      </c>
      <c r="J38" s="77">
        <f t="shared" si="5"/>
        <v>1.9635E-2</v>
      </c>
      <c r="K38" s="77">
        <f t="shared" si="5"/>
        <v>4.9725000000000004E-3</v>
      </c>
      <c r="L38" s="77">
        <f t="shared" si="5"/>
        <v>0.55844999999999989</v>
      </c>
      <c r="M38" s="77">
        <f t="shared" si="5"/>
        <v>8.4659999999999999E-2</v>
      </c>
      <c r="N38" s="77">
        <f t="shared" si="5"/>
        <v>762.50000000000011</v>
      </c>
      <c r="O38" s="77">
        <f t="shared" si="5"/>
        <v>5316.75</v>
      </c>
      <c r="P38" s="77">
        <f t="shared" si="5"/>
        <v>0</v>
      </c>
      <c r="Q38" s="77">
        <f t="shared" si="10"/>
        <v>234.91874999999999</v>
      </c>
      <c r="R38" s="77">
        <f t="shared" si="11"/>
        <v>0</v>
      </c>
      <c r="S38" s="77">
        <f t="shared" si="11"/>
        <v>0.31109999999999999</v>
      </c>
      <c r="T38" s="77">
        <f t="shared" si="11"/>
        <v>0</v>
      </c>
      <c r="U38" s="77">
        <f t="shared" si="11"/>
        <v>0</v>
      </c>
      <c r="AB38" s="59"/>
      <c r="AC38" s="59"/>
      <c r="AD38" s="59"/>
      <c r="AE38" s="59"/>
      <c r="AF38" s="59"/>
      <c r="AG38" s="59"/>
      <c r="AH38" s="59"/>
      <c r="AI38" s="59"/>
    </row>
    <row r="39" spans="1:35" s="72" customFormat="1" ht="13" x14ac:dyDescent="0.35">
      <c r="A39" s="13" t="str">
        <f>K8</f>
        <v>Bodnolwyn B</v>
      </c>
      <c r="B39" s="15">
        <v>250</v>
      </c>
      <c r="C39" s="77">
        <f t="shared" si="6"/>
        <v>68.454750000000004</v>
      </c>
      <c r="D39" s="77">
        <f t="shared" si="7"/>
        <v>24.273717749999996</v>
      </c>
      <c r="E39" s="77">
        <f t="shared" si="8"/>
        <v>1.8897412500000003E-4</v>
      </c>
      <c r="F39" s="77">
        <f t="shared" si="9"/>
        <v>4.2067605000000006</v>
      </c>
      <c r="G39" s="77">
        <f t="shared" si="5"/>
        <v>9.9449999999999997E-2</v>
      </c>
      <c r="H39" s="77">
        <f t="shared" si="5"/>
        <v>4.1564999999999994</v>
      </c>
      <c r="I39" s="77">
        <f t="shared" si="5"/>
        <v>0.47812499999999991</v>
      </c>
      <c r="J39" s="77">
        <f t="shared" si="5"/>
        <v>1.9635E-2</v>
      </c>
      <c r="K39" s="77">
        <f t="shared" si="5"/>
        <v>4.9725000000000004E-3</v>
      </c>
      <c r="L39" s="77">
        <f t="shared" si="5"/>
        <v>0.55844999999999989</v>
      </c>
      <c r="M39" s="77">
        <f t="shared" si="5"/>
        <v>8.4659999999999999E-2</v>
      </c>
      <c r="N39" s="77">
        <f t="shared" si="5"/>
        <v>762.50000000000011</v>
      </c>
      <c r="O39" s="77">
        <f t="shared" si="5"/>
        <v>5316.75</v>
      </c>
      <c r="P39" s="77">
        <f t="shared" si="5"/>
        <v>0</v>
      </c>
      <c r="Q39" s="77">
        <f t="shared" si="10"/>
        <v>234.91874999999999</v>
      </c>
      <c r="R39" s="77">
        <f t="shared" si="11"/>
        <v>0</v>
      </c>
      <c r="S39" s="77">
        <f t="shared" si="11"/>
        <v>0.31109999999999999</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SJC1</v>
      </c>
      <c r="C57" s="8" t="str">
        <f t="shared" ref="C57:U57" si="13">D8</f>
        <v>SJC2</v>
      </c>
      <c r="D57" s="8" t="str">
        <f t="shared" si="13"/>
        <v>SJC3</v>
      </c>
      <c r="E57" s="8" t="str">
        <f t="shared" si="13"/>
        <v>SJC4</v>
      </c>
      <c r="F57" s="8" t="str">
        <f t="shared" si="13"/>
        <v>SJC5</v>
      </c>
      <c r="G57" s="8" t="str">
        <f t="shared" si="13"/>
        <v>SJC6</v>
      </c>
      <c r="H57" s="8" t="str">
        <f t="shared" si="13"/>
        <v>SJC7</v>
      </c>
      <c r="I57" s="8" t="str">
        <f t="shared" si="13"/>
        <v>Bonolwyn A</v>
      </c>
      <c r="J57" s="8" t="str">
        <f t="shared" si="13"/>
        <v>Bodnolwyn B</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Grass</v>
      </c>
      <c r="G58" s="13" t="str">
        <f>H16&amp;" I "&amp;(VLOOKUP(H14,Table24581113[],6,FALSE))</f>
        <v>Medium/Clay I Grass</v>
      </c>
      <c r="H58" s="13" t="str">
        <f>I16&amp;" I "&amp;(VLOOKUP(I14,Table24581113[],6,FALSE))</f>
        <v>Medium/Clay I Grass</v>
      </c>
      <c r="I58" s="13" t="str">
        <f>J16&amp;" I "&amp;(VLOOKUP(J14,Table24581113[],6,FALSE))</f>
        <v>Medium/Clay I Grass</v>
      </c>
      <c r="J58" s="13" t="str">
        <f>K16&amp;" I "&amp;(VLOOKUP(K14,Table24581113[],6,FALSE))</f>
        <v>Medium/Clay I Grass</v>
      </c>
      <c r="K58" s="13" t="e">
        <f>L16&amp;" I "&amp;(VLOOKUP(L14,Table24581113[],6,FALSE))</f>
        <v>#N/A</v>
      </c>
      <c r="L58" s="13" t="e">
        <f>M16&amp;" I "&amp;(VLOOKUP(M14,Table24581113[],6,FALSE))</f>
        <v>#N/A</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1" t="s">
        <v>132</v>
      </c>
      <c r="B59" s="76">
        <f>VLOOKUP(C$14,Table24581113[],5,FALSE)</f>
        <v>6.2</v>
      </c>
      <c r="C59" s="76">
        <f>VLOOKUP(D$14,Table24581113[],5,FALSE)</f>
        <v>6.2</v>
      </c>
      <c r="D59" s="76">
        <f>VLOOKUP(E$14,Table24581113[],5,FALSE)</f>
        <v>6.2</v>
      </c>
      <c r="E59" s="76">
        <f>VLOOKUP(F$14,Table24581113[],5,FALSE)</f>
        <v>6.2</v>
      </c>
      <c r="F59" s="76">
        <f>VLOOKUP(G$14,Table24581113[],5,FALSE)</f>
        <v>6.2</v>
      </c>
      <c r="G59" s="76">
        <f>VLOOKUP(H$14,Table24581113[],5,FALSE)</f>
        <v>6.2</v>
      </c>
      <c r="H59" s="76">
        <f>VLOOKUP(I$14,Table24581113[],5,FALSE)</f>
        <v>6.2</v>
      </c>
      <c r="I59" s="76">
        <f>VLOOKUP(J$14,Table24581113[],5,FALSE)</f>
        <v>6.2</v>
      </c>
      <c r="J59" s="76">
        <f>VLOOKUP(K$14,Table24581113[],5,FALSE)</f>
        <v>6.2</v>
      </c>
      <c r="K59" s="76" t="e">
        <f>VLOOKUP(L$14,Table24581113[],5,FALSE)</f>
        <v>#N/A</v>
      </c>
      <c r="L59" s="76" t="e">
        <f>VLOOKUP(M$14,Table24581113[],5,FALSE)</f>
        <v>#N/A</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ht="13" x14ac:dyDescent="0.3">
      <c r="A60" s="111" t="s">
        <v>4</v>
      </c>
      <c r="B60" s="76">
        <f>C10</f>
        <v>6.4</v>
      </c>
      <c r="C60" s="76">
        <f t="shared" ref="C60:U60" si="14">D10</f>
        <v>5.8</v>
      </c>
      <c r="D60" s="76">
        <f t="shared" si="14"/>
        <v>6</v>
      </c>
      <c r="E60" s="76">
        <f t="shared" si="14"/>
        <v>6</v>
      </c>
      <c r="F60" s="76">
        <f t="shared" si="14"/>
        <v>5.9</v>
      </c>
      <c r="G60" s="76">
        <f t="shared" si="14"/>
        <v>6.1</v>
      </c>
      <c r="H60" s="76">
        <f t="shared" si="14"/>
        <v>5.8</v>
      </c>
      <c r="I60" s="76">
        <f t="shared" si="14"/>
        <v>5.8</v>
      </c>
      <c r="J60" s="76">
        <f t="shared" si="14"/>
        <v>5.7</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250</v>
      </c>
      <c r="J62" s="77">
        <f>B39</f>
        <v>250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-1.2000000000000011</v>
      </c>
      <c r="C64" s="77">
        <f t="shared" ref="C64:U64" si="17">(C59-C60)*C61</f>
        <v>2.4000000000000021</v>
      </c>
      <c r="D64" s="77">
        <f t="shared" si="17"/>
        <v>1.2000000000000011</v>
      </c>
      <c r="E64" s="77">
        <f t="shared" si="17"/>
        <v>1.2000000000000011</v>
      </c>
      <c r="F64" s="77">
        <f t="shared" si="17"/>
        <v>1.7999999999999989</v>
      </c>
      <c r="G64" s="77">
        <f t="shared" si="17"/>
        <v>0.6000000000000032</v>
      </c>
      <c r="H64" s="77">
        <f t="shared" si="17"/>
        <v>2.4000000000000021</v>
      </c>
      <c r="I64" s="77">
        <f t="shared" si="17"/>
        <v>2.4000000000000021</v>
      </c>
      <c r="J64" s="77">
        <f t="shared" si="17"/>
        <v>3</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1.2000000000000011</v>
      </c>
      <c r="C65" s="77">
        <f t="shared" ref="C65:U65" si="18">C63-C64</f>
        <v>-2.4000000000000021</v>
      </c>
      <c r="D65" s="77">
        <f t="shared" si="18"/>
        <v>-1.2000000000000011</v>
      </c>
      <c r="E65" s="77">
        <f t="shared" si="18"/>
        <v>-1.2000000000000011</v>
      </c>
      <c r="F65" s="77">
        <f t="shared" si="18"/>
        <v>-1.7999999999999989</v>
      </c>
      <c r="G65" s="77">
        <f t="shared" si="18"/>
        <v>-0.6000000000000032</v>
      </c>
      <c r="H65" s="77">
        <f t="shared" si="18"/>
        <v>-2.4000000000000021</v>
      </c>
      <c r="I65" s="77">
        <f t="shared" si="18"/>
        <v>-2.4000000000000021</v>
      </c>
      <c r="J65" s="77">
        <f t="shared" si="18"/>
        <v>-3</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5" priority="37" operator="equal">
      <formula>"DECREASE"</formula>
    </cfRule>
    <cfRule type="cellIs" dxfId="124" priority="38" operator="equal">
      <formula>"INCREASE"</formula>
    </cfRule>
  </conditionalFormatting>
  <conditionalFormatting sqref="B62:U66 B31:B50">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V33" sqref="V3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Aber Falls'!C1:D1</f>
        <v>PAN-019961</v>
      </c>
      <c r="D1" s="141"/>
      <c r="E1" s="93" t="s">
        <v>45</v>
      </c>
      <c r="F1" s="39">
        <f>'Field data and Aber Falls'!F1</f>
        <v>48</v>
      </c>
      <c r="G1" s="120" t="s">
        <v>43</v>
      </c>
      <c r="H1" s="121"/>
      <c r="I1" s="118">
        <v>7.88</v>
      </c>
      <c r="J1" s="119" t="s">
        <v>153</v>
      </c>
      <c r="K1" s="119"/>
      <c r="L1" s="97">
        <v>10</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Aber Falls'!C2:D2</f>
        <v>EPR/GP3792SK</v>
      </c>
      <c r="D2" s="143"/>
      <c r="E2" s="93" t="s">
        <v>109</v>
      </c>
      <c r="F2" s="96" t="s">
        <v>186</v>
      </c>
      <c r="G2" s="138" t="s">
        <v>110</v>
      </c>
      <c r="H2" s="139"/>
      <c r="I2" s="118">
        <v>2368</v>
      </c>
      <c r="J2" s="119" t="s">
        <v>158</v>
      </c>
      <c r="K2" s="119"/>
      <c r="L2" s="97">
        <v>0.06</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Aber Falls'!C3:D3</f>
        <v>ByProduct Recovery Ltd</v>
      </c>
      <c r="D3" s="143"/>
      <c r="E3" s="93" t="s">
        <v>108</v>
      </c>
      <c r="F3" s="31" t="s">
        <v>76</v>
      </c>
      <c r="G3" s="119" t="s">
        <v>159</v>
      </c>
      <c r="H3" s="119"/>
      <c r="I3" s="118"/>
      <c r="J3" s="120" t="s">
        <v>154</v>
      </c>
      <c r="K3" s="121"/>
      <c r="L3" s="97">
        <f>(L1/(L2*10000))*100</f>
        <v>1.6666666666666667</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Aber Falls'!C4:D4</f>
        <v>Plas Bach, Cerrigceinwen, Bodorgan, LL62 5NS</v>
      </c>
      <c r="D4" s="141"/>
      <c r="E4" s="94" t="s">
        <v>1</v>
      </c>
      <c r="F4" s="96" t="s">
        <v>185</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Aber Falls'!C5:D5</f>
        <v>Bryan Burn</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'Field data and Aber Falls'!C8</f>
        <v>SJC1</v>
      </c>
      <c r="D8" s="60" t="str">
        <f>'Field data and Aber Falls'!D8</f>
        <v>SJC2</v>
      </c>
      <c r="E8" s="60" t="str">
        <f>'Field data and Aber Falls'!E8</f>
        <v>SJC3</v>
      </c>
      <c r="F8" s="60" t="str">
        <f>'Field data and Aber Falls'!F8</f>
        <v>SJC4</v>
      </c>
      <c r="G8" s="60" t="str">
        <f>'Field data and Aber Falls'!G8</f>
        <v>SJC5</v>
      </c>
      <c r="H8" s="60" t="str">
        <f>'Field data and Aber Falls'!H8</f>
        <v>SJC6</v>
      </c>
      <c r="I8" s="60" t="str">
        <f>'Field data and Aber Falls'!I8</f>
        <v>SJC7</v>
      </c>
      <c r="J8" s="60" t="str">
        <f>'Field data and Aber Falls'!J8</f>
        <v>Bonolwyn A</v>
      </c>
      <c r="K8" s="60" t="str">
        <f>'Field data and Aber Falls'!K8</f>
        <v>Bodnolwyn B</v>
      </c>
      <c r="L8" s="60">
        <f>'Field data and Aber Falls'!L8</f>
        <v>0</v>
      </c>
      <c r="M8" s="60">
        <f>'Field data and Aber Falls'!M8</f>
        <v>0</v>
      </c>
      <c r="N8" s="60">
        <f>'Field data and Aber Falls'!N8</f>
        <v>0</v>
      </c>
      <c r="O8" s="60">
        <f>'Field data and Aber Falls'!O8</f>
        <v>0</v>
      </c>
      <c r="P8" s="60">
        <f>'Field data and Aber Falls'!P8</f>
        <v>0</v>
      </c>
      <c r="Q8" s="60">
        <f>'Field data and Aber Falls'!Q8</f>
        <v>0</v>
      </c>
      <c r="R8" s="60">
        <f>'Field data and Aber Falls'!R8</f>
        <v>0</v>
      </c>
      <c r="S8" s="60">
        <f>'Field data and Aber Falls'!S8</f>
        <v>0</v>
      </c>
      <c r="T8" s="60">
        <f>'Field data and Aber Falls'!T8</f>
        <v>0</v>
      </c>
      <c r="U8" s="60">
        <f>'Field data and Aber Falls'!U8</f>
        <v>0</v>
      </c>
      <c r="V8" s="60">
        <f>'Field data and Aber Falls'!V8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Aber Falls'!C9</f>
        <v>med</v>
      </c>
      <c r="D9" s="60" t="str">
        <f>'Field data and Aber Falls'!D9</f>
        <v>med</v>
      </c>
      <c r="E9" s="60" t="str">
        <f>'Field data and Aber Falls'!E9</f>
        <v>med</v>
      </c>
      <c r="F9" s="60" t="str">
        <f>'Field data and Aber Falls'!F9</f>
        <v>med</v>
      </c>
      <c r="G9" s="60" t="str">
        <f>'Field data and Aber Falls'!G9</f>
        <v>med</v>
      </c>
      <c r="H9" s="60" t="str">
        <f>'Field data and Aber Falls'!H9</f>
        <v>med</v>
      </c>
      <c r="I9" s="60" t="str">
        <f>'Field data and Aber Falls'!I9</f>
        <v>med</v>
      </c>
      <c r="J9" s="60" t="str">
        <f>'Field data and Aber Falls'!J9</f>
        <v>med</v>
      </c>
      <c r="K9" s="60" t="str">
        <f>'Field data and Aber Falls'!K9</f>
        <v>med</v>
      </c>
      <c r="L9" s="60">
        <f>'Field data and Aber Falls'!L9</f>
        <v>0</v>
      </c>
      <c r="M9" s="60">
        <f>'Field data and Aber Falls'!M9</f>
        <v>0</v>
      </c>
      <c r="N9" s="60">
        <f>'Field data and Aber Falls'!N9</f>
        <v>0</v>
      </c>
      <c r="O9" s="60">
        <f>'Field data and Aber Falls'!O9</f>
        <v>0</v>
      </c>
      <c r="P9" s="60">
        <f>'Field data and Aber Falls'!P9</f>
        <v>0</v>
      </c>
      <c r="Q9" s="60">
        <f>'Field data and Aber Falls'!Q9</f>
        <v>0</v>
      </c>
      <c r="R9" s="60">
        <f>'Field data and Aber Falls'!R9</f>
        <v>0</v>
      </c>
      <c r="S9" s="60">
        <f>'Field data and Aber Falls'!S9</f>
        <v>0</v>
      </c>
      <c r="T9" s="60">
        <f>'Field data and Aber Falls'!T9</f>
        <v>0</v>
      </c>
      <c r="U9" s="60">
        <f>'Field data and Aber Falls'!U9</f>
        <v>0</v>
      </c>
      <c r="V9" s="60">
        <f>'Field data and Aber Falls'!V9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Aber Falls'!C10</f>
        <v>6.4</v>
      </c>
      <c r="D10" s="60">
        <f>'Field data and Aber Falls'!D10</f>
        <v>5.8</v>
      </c>
      <c r="E10" s="60">
        <f>'Field data and Aber Falls'!E10</f>
        <v>6</v>
      </c>
      <c r="F10" s="60">
        <f>'Field data and Aber Falls'!F10</f>
        <v>6</v>
      </c>
      <c r="G10" s="60">
        <f>'Field data and Aber Falls'!G10</f>
        <v>5.9</v>
      </c>
      <c r="H10" s="60">
        <f>'Field data and Aber Falls'!H10</f>
        <v>6.1</v>
      </c>
      <c r="I10" s="60">
        <f>'Field data and Aber Falls'!I10</f>
        <v>5.8</v>
      </c>
      <c r="J10" s="60">
        <f>'Field data and Aber Falls'!J10</f>
        <v>5.8</v>
      </c>
      <c r="K10" s="60">
        <f>'Field data and Aber Falls'!K10</f>
        <v>5.7</v>
      </c>
      <c r="L10" s="60">
        <f>'Field data and Aber Falls'!L10</f>
        <v>0</v>
      </c>
      <c r="M10" s="60">
        <f>'Field data and Aber Falls'!M10</f>
        <v>0</v>
      </c>
      <c r="N10" s="60">
        <f>'Field data and Aber Falls'!N10</f>
        <v>0</v>
      </c>
      <c r="O10" s="60">
        <f>'Field data and Aber Falls'!O10</f>
        <v>0</v>
      </c>
      <c r="P10" s="60">
        <f>'Field data and Aber Falls'!P10</f>
        <v>0</v>
      </c>
      <c r="Q10" s="60">
        <f>'Field data and Aber Falls'!Q10</f>
        <v>0</v>
      </c>
      <c r="R10" s="60">
        <f>'Field data and Aber Falls'!R10</f>
        <v>0</v>
      </c>
      <c r="S10" s="60">
        <f>'Field data and Aber Falls'!S10</f>
        <v>0</v>
      </c>
      <c r="T10" s="60">
        <f>'Field data and Aber Falls'!T10</f>
        <v>0</v>
      </c>
      <c r="U10" s="60">
        <f>'Field data and Aber Falls'!U10</f>
        <v>0</v>
      </c>
      <c r="V10" s="60">
        <f>'Field data and Aber Falls'!V10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Aber Falls'!C11</f>
        <v>2</v>
      </c>
      <c r="D11" s="60">
        <f>'Field data and Aber Falls'!D11</f>
        <v>2</v>
      </c>
      <c r="E11" s="60">
        <f>'Field data and Aber Falls'!E11</f>
        <v>3</v>
      </c>
      <c r="F11" s="60">
        <f>'Field data and Aber Falls'!F11</f>
        <v>1</v>
      </c>
      <c r="G11" s="60">
        <f>'Field data and Aber Falls'!G11</f>
        <v>0</v>
      </c>
      <c r="H11" s="60">
        <f>'Field data and Aber Falls'!H11</f>
        <v>3</v>
      </c>
      <c r="I11" s="60">
        <f>'Field data and Aber Falls'!I11</f>
        <v>2</v>
      </c>
      <c r="J11" s="60">
        <f>'Field data and Aber Falls'!J11</f>
        <v>2</v>
      </c>
      <c r="K11" s="60">
        <f>'Field data and Aber Falls'!K11</f>
        <v>2</v>
      </c>
      <c r="L11" s="60">
        <f>'Field data and Aber Falls'!L11</f>
        <v>0</v>
      </c>
      <c r="M11" s="60">
        <f>'Field data and Aber Falls'!M11</f>
        <v>0</v>
      </c>
      <c r="N11" s="60">
        <f>'Field data and Aber Falls'!N11</f>
        <v>0</v>
      </c>
      <c r="O11" s="60">
        <f>'Field data and Aber Falls'!O11</f>
        <v>0</v>
      </c>
      <c r="P11" s="60">
        <f>'Field data and Aber Falls'!P11</f>
        <v>0</v>
      </c>
      <c r="Q11" s="60">
        <f>'Field data and Aber Falls'!Q11</f>
        <v>0</v>
      </c>
      <c r="R11" s="60">
        <f>'Field data and Aber Falls'!R11</f>
        <v>0</v>
      </c>
      <c r="S11" s="60">
        <f>'Field data and Aber Falls'!S11</f>
        <v>0</v>
      </c>
      <c r="T11" s="60">
        <f>'Field data and Aber Falls'!T11</f>
        <v>0</v>
      </c>
      <c r="U11" s="60">
        <f>'Field data and Aber Falls'!U11</f>
        <v>0</v>
      </c>
      <c r="V11" s="60">
        <f>'Field data and Aber Falls'!V11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Aber Falls'!C12</f>
        <v>3</v>
      </c>
      <c r="D12" s="60">
        <f>'Field data and Aber Falls'!D12</f>
        <v>4</v>
      </c>
      <c r="E12" s="60">
        <f>'Field data and Aber Falls'!E12</f>
        <v>4</v>
      </c>
      <c r="F12" s="60">
        <f>'Field data and Aber Falls'!F12</f>
        <v>1</v>
      </c>
      <c r="G12" s="60">
        <f>'Field data and Aber Falls'!G12</f>
        <v>1</v>
      </c>
      <c r="H12" s="60">
        <f>'Field data and Aber Falls'!H12</f>
        <v>2</v>
      </c>
      <c r="I12" s="60">
        <f>'Field data and Aber Falls'!I12</f>
        <v>1</v>
      </c>
      <c r="J12" s="60">
        <f>'Field data and Aber Falls'!J12</f>
        <v>2</v>
      </c>
      <c r="K12" s="60">
        <f>'Field data and Aber Falls'!K12</f>
        <v>2</v>
      </c>
      <c r="L12" s="60">
        <f>'Field data and Aber Falls'!L12</f>
        <v>0</v>
      </c>
      <c r="M12" s="60">
        <f>'Field data and Aber Falls'!M12</f>
        <v>0</v>
      </c>
      <c r="N12" s="60">
        <f>'Field data and Aber Falls'!N12</f>
        <v>0</v>
      </c>
      <c r="O12" s="60">
        <f>'Field data and Aber Falls'!O12</f>
        <v>0</v>
      </c>
      <c r="P12" s="60">
        <f>'Field data and Aber Falls'!P12</f>
        <v>0</v>
      </c>
      <c r="Q12" s="60">
        <f>'Field data and Aber Falls'!Q12</f>
        <v>0</v>
      </c>
      <c r="R12" s="60">
        <f>'Field data and Aber Falls'!R12</f>
        <v>0</v>
      </c>
      <c r="S12" s="60">
        <f>'Field data and Aber Falls'!S12</f>
        <v>0</v>
      </c>
      <c r="T12" s="60">
        <f>'Field data and Aber Falls'!T12</f>
        <v>0</v>
      </c>
      <c r="U12" s="60">
        <f>'Field data and Aber Falls'!U12</f>
        <v>0</v>
      </c>
      <c r="V12" s="60">
        <f>'Field data and Aber Falls'!V12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Aber Falls'!C13</f>
        <v>4</v>
      </c>
      <c r="D13" s="60">
        <f>'Field data and Aber Falls'!D13</f>
        <v>3</v>
      </c>
      <c r="E13" s="60">
        <f>'Field data and Aber Falls'!E13</f>
        <v>3</v>
      </c>
      <c r="F13" s="60">
        <f>'Field data and Aber Falls'!F13</f>
        <v>3</v>
      </c>
      <c r="G13" s="60">
        <f>'Field data and Aber Falls'!G13</f>
        <v>3</v>
      </c>
      <c r="H13" s="60">
        <f>'Field data and Aber Falls'!H13</f>
        <v>3</v>
      </c>
      <c r="I13" s="60">
        <f>'Field data and Aber Falls'!I13</f>
        <v>3</v>
      </c>
      <c r="J13" s="60">
        <f>'Field data and Aber Falls'!J13</f>
        <v>3</v>
      </c>
      <c r="K13" s="60">
        <f>'Field data and Aber Falls'!K13</f>
        <v>3</v>
      </c>
      <c r="L13" s="60">
        <f>'Field data and Aber Falls'!L13</f>
        <v>0</v>
      </c>
      <c r="M13" s="60">
        <f>'Field data and Aber Falls'!M13</f>
        <v>0</v>
      </c>
      <c r="N13" s="60">
        <f>'Field data and Aber Falls'!N13</f>
        <v>0</v>
      </c>
      <c r="O13" s="60">
        <f>'Field data and Aber Falls'!O13</f>
        <v>0</v>
      </c>
      <c r="P13" s="60">
        <f>'Field data and Aber Falls'!P13</f>
        <v>0</v>
      </c>
      <c r="Q13" s="60">
        <f>'Field data and Aber Falls'!Q13</f>
        <v>0</v>
      </c>
      <c r="R13" s="60">
        <f>'Field data and Aber Falls'!R13</f>
        <v>0</v>
      </c>
      <c r="S13" s="60">
        <f>'Field data and Aber Falls'!S13</f>
        <v>0</v>
      </c>
      <c r="T13" s="60">
        <f>'Field data and Aber Falls'!T13</f>
        <v>0</v>
      </c>
      <c r="U13" s="60">
        <f>'Field data and Aber Falls'!U13</f>
        <v>0</v>
      </c>
      <c r="V13" s="60">
        <f>'Field data and Aber Falls'!V13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Aber Falls'!C14</f>
        <v xml:space="preserve">Grass Silage (30% DM) </v>
      </c>
      <c r="D14" s="102" t="str">
        <f>'Field data and Aber Falls'!D14</f>
        <v xml:space="preserve">Grass Silage (30% DM) </v>
      </c>
      <c r="E14" s="102" t="str">
        <f>'Field data and Aber Falls'!E14</f>
        <v xml:space="preserve">Grass Silage (30% DM) </v>
      </c>
      <c r="F14" s="102" t="str">
        <f>'Field data and Aber Falls'!F14</f>
        <v xml:space="preserve">Grass Silage (30% DM) </v>
      </c>
      <c r="G14" s="102" t="str">
        <f>'Field data and Aber Falls'!G14</f>
        <v xml:space="preserve">Grass Silage (30% DM) </v>
      </c>
      <c r="H14" s="102" t="str">
        <f>'Field data and Aber Falls'!H14</f>
        <v xml:space="preserve">Grass Silage (30% DM) </v>
      </c>
      <c r="I14" s="102" t="str">
        <f>'Field data and Aber Falls'!I14</f>
        <v xml:space="preserve">Grass Silage (30% DM) </v>
      </c>
      <c r="J14" s="102" t="str">
        <f>'Field data and Aber Falls'!J14</f>
        <v xml:space="preserve">Grass Silage (30% DM) </v>
      </c>
      <c r="K14" s="102" t="str">
        <f>'Field data and Aber Falls'!K14</f>
        <v xml:space="preserve">Grass Silage (30% DM) </v>
      </c>
      <c r="L14" s="102">
        <f>'Field data and Aber Falls'!L14</f>
        <v>0</v>
      </c>
      <c r="M14" s="102">
        <f>'Field data and Aber Falls'!M14</f>
        <v>0</v>
      </c>
      <c r="N14" s="102">
        <f>'Field data and Aber Falls'!N14</f>
        <v>0</v>
      </c>
      <c r="O14" s="102">
        <f>'Field data and Aber Falls'!O14</f>
        <v>0</v>
      </c>
      <c r="P14" s="102">
        <f>'Field data and Aber Falls'!P14</f>
        <v>0</v>
      </c>
      <c r="Q14" s="102">
        <f>'Field data and Aber Falls'!Q14</f>
        <v>0</v>
      </c>
      <c r="R14" s="102">
        <f>'Field data and Aber Falls'!R14</f>
        <v>0</v>
      </c>
      <c r="S14" s="102">
        <f>'Field data and Aber Falls'!S14</f>
        <v>0</v>
      </c>
      <c r="T14" s="102">
        <f>'Field data and Aber Falls'!T14</f>
        <v>0</v>
      </c>
      <c r="U14" s="102">
        <f>'Field data and Aber Falls'!U14</f>
        <v>0</v>
      </c>
      <c r="V14" s="102">
        <f>'Field data and Aber Falls'!V14</f>
        <v>0</v>
      </c>
      <c r="AD14" s="30" t="s">
        <v>138</v>
      </c>
      <c r="AE14" s="30">
        <v>6</v>
      </c>
      <c r="AI14" s="53" t="s">
        <v>119</v>
      </c>
      <c r="AJ14" s="54">
        <v>0.8</v>
      </c>
      <c r="AK14" s="55">
        <v>1.7</v>
      </c>
      <c r="AL14" s="11">
        <v>12</v>
      </c>
      <c r="AM14" s="11">
        <v>6.7</v>
      </c>
      <c r="AN14" s="11" t="s">
        <v>135</v>
      </c>
    </row>
    <row r="15" spans="1:41" ht="13" x14ac:dyDescent="0.25">
      <c r="A15" s="130" t="s">
        <v>9</v>
      </c>
      <c r="B15" s="130"/>
      <c r="C15" s="60">
        <f>'Field data and Aber Falls'!C15</f>
        <v>47</v>
      </c>
      <c r="D15" s="60">
        <f>'Field data and Aber Falls'!D15</f>
        <v>47</v>
      </c>
      <c r="E15" s="60">
        <f>'Field data and Aber Falls'!E15</f>
        <v>47</v>
      </c>
      <c r="F15" s="60">
        <f>'Field data and Aber Falls'!F15</f>
        <v>47</v>
      </c>
      <c r="G15" s="60">
        <f>'Field data and Aber Falls'!G15</f>
        <v>47</v>
      </c>
      <c r="H15" s="60">
        <f>'Field data and Aber Falls'!H15</f>
        <v>47</v>
      </c>
      <c r="I15" s="60">
        <f>'Field data and Aber Falls'!I15</f>
        <v>47</v>
      </c>
      <c r="J15" s="60">
        <f>'Field data and Aber Falls'!J15</f>
        <v>47</v>
      </c>
      <c r="K15" s="60">
        <f>'Field data and Aber Falls'!K15</f>
        <v>47</v>
      </c>
      <c r="L15" s="60">
        <f>'Field data and Aber Falls'!L15</f>
        <v>0</v>
      </c>
      <c r="M15" s="60">
        <f>'Field data and Aber Falls'!M15</f>
        <v>0</v>
      </c>
      <c r="N15" s="60">
        <f>'Field data and Aber Falls'!N15</f>
        <v>0</v>
      </c>
      <c r="O15" s="60">
        <f>'Field data and Aber Falls'!O15</f>
        <v>0</v>
      </c>
      <c r="P15" s="60">
        <f>'Field data and Aber Falls'!P15</f>
        <v>0</v>
      </c>
      <c r="Q15" s="60">
        <f>'Field data and Aber Falls'!Q15</f>
        <v>0</v>
      </c>
      <c r="R15" s="60">
        <f>'Field data and Aber Falls'!R15</f>
        <v>0</v>
      </c>
      <c r="S15" s="60">
        <f>'Field data and Aber Falls'!S15</f>
        <v>0</v>
      </c>
      <c r="T15" s="60">
        <f>'Field data and Aber Falls'!T15</f>
        <v>0</v>
      </c>
      <c r="U15" s="60">
        <f>'Field data and Aber Falls'!U15</f>
        <v>0</v>
      </c>
      <c r="V15" s="60">
        <f>'Field data and Aber Falls'!V15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Aber Falls'!C16</f>
        <v>Medium/Clay</v>
      </c>
      <c r="D16" s="103" t="str">
        <f>'Field data and Aber Falls'!D16</f>
        <v>Medium/Clay</v>
      </c>
      <c r="E16" s="103" t="str">
        <f>'Field data and Aber Falls'!E16</f>
        <v>Medium/Clay</v>
      </c>
      <c r="F16" s="103" t="str">
        <f>'Field data and Aber Falls'!F16</f>
        <v>Medium/Clay</v>
      </c>
      <c r="G16" s="103" t="str">
        <f>'Field data and Aber Falls'!G16</f>
        <v>Medium/Clay</v>
      </c>
      <c r="H16" s="103" t="str">
        <f>'Field data and Aber Falls'!H16</f>
        <v>Medium/Clay</v>
      </c>
      <c r="I16" s="103" t="str">
        <f>'Field data and Aber Falls'!I16</f>
        <v>Medium/Clay</v>
      </c>
      <c r="J16" s="103" t="str">
        <f>'Field data and Aber Falls'!J16</f>
        <v>Medium/Clay</v>
      </c>
      <c r="K16" s="103" t="str">
        <f>'Field data and Aber Falls'!K16</f>
        <v>Medium/Clay</v>
      </c>
      <c r="L16" s="103">
        <f>'Field data and Aber Falls'!L16</f>
        <v>0</v>
      </c>
      <c r="M16" s="103">
        <f>'Field data and Aber Falls'!M16</f>
        <v>0</v>
      </c>
      <c r="N16" s="103">
        <f>'Field data and Aber Falls'!N16</f>
        <v>0</v>
      </c>
      <c r="O16" s="103">
        <f>'Field data and Aber Falls'!O16</f>
        <v>0</v>
      </c>
      <c r="P16" s="103">
        <f>'Field data and Aber Falls'!P16</f>
        <v>0</v>
      </c>
      <c r="Q16" s="103">
        <f>'Field data and Aber Falls'!Q16</f>
        <v>0</v>
      </c>
      <c r="R16" s="103">
        <f>'Field data and Aber Falls'!R16</f>
        <v>0</v>
      </c>
      <c r="S16" s="103">
        <f>'Field data and Aber Falls'!S16</f>
        <v>0</v>
      </c>
      <c r="T16" s="103">
        <f>'Field data and Aber Falls'!T16</f>
        <v>0</v>
      </c>
      <c r="U16" s="103">
        <f>'Field data and Aber Falls'!U16</f>
        <v>0</v>
      </c>
      <c r="V16" s="103">
        <f>'Field data and Aber Falls'!V16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98.7</v>
      </c>
      <c r="D17" s="28">
        <f t="shared" ref="D17:V17" si="0">(VLOOKUP(D$14,$AI2:$AK26,2,FALSE))*D$15</f>
        <v>98.7</v>
      </c>
      <c r="E17" s="28">
        <f t="shared" si="0"/>
        <v>98.7</v>
      </c>
      <c r="F17" s="28">
        <f t="shared" si="0"/>
        <v>98.7</v>
      </c>
      <c r="G17" s="28">
        <f t="shared" si="0"/>
        <v>98.7</v>
      </c>
      <c r="H17" s="28">
        <f t="shared" si="0"/>
        <v>98.7</v>
      </c>
      <c r="I17" s="28">
        <f t="shared" si="0"/>
        <v>98.7</v>
      </c>
      <c r="J17" s="28">
        <f t="shared" si="0"/>
        <v>98.7</v>
      </c>
      <c r="K17" s="28">
        <f t="shared" si="0"/>
        <v>98.7</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0.9870727680000001</v>
      </c>
      <c r="D18" s="16">
        <f>$D32</f>
        <v>0.9870727680000001</v>
      </c>
      <c r="E18" s="16">
        <f>$D33</f>
        <v>0.9870727680000001</v>
      </c>
      <c r="F18" s="16">
        <f>$D34</f>
        <v>0.9870727680000001</v>
      </c>
      <c r="G18" s="16">
        <f>$D35</f>
        <v>0.9870727680000001</v>
      </c>
      <c r="H18" s="16">
        <f>$D36</f>
        <v>0.9870727680000001</v>
      </c>
      <c r="I18" s="16">
        <f>$D37</f>
        <v>0.9870727680000001</v>
      </c>
      <c r="J18" s="16">
        <f>$D38</f>
        <v>0.9870727680000001</v>
      </c>
      <c r="K18" s="16">
        <f>$D39</f>
        <v>0.9870727680000001</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-97.712927231999998</v>
      </c>
      <c r="D19" s="16">
        <f t="shared" ref="D19:V19" si="1">D18-D17</f>
        <v>-97.712927231999998</v>
      </c>
      <c r="E19" s="16">
        <f t="shared" si="1"/>
        <v>-97.712927231999998</v>
      </c>
      <c r="F19" s="16">
        <f t="shared" si="1"/>
        <v>-97.712927231999998</v>
      </c>
      <c r="G19" s="16">
        <f t="shared" si="1"/>
        <v>-97.712927231999998</v>
      </c>
      <c r="H19" s="16">
        <f t="shared" si="1"/>
        <v>-97.712927231999998</v>
      </c>
      <c r="I19" s="16">
        <f t="shared" si="1"/>
        <v>-97.712927231999998</v>
      </c>
      <c r="J19" s="16">
        <f t="shared" si="1"/>
        <v>-97.712927231999998</v>
      </c>
      <c r="K19" s="16">
        <f t="shared" si="1"/>
        <v>-97.712927231999998</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338.40000000000003</v>
      </c>
      <c r="D21" s="28">
        <f t="shared" ref="D21:V21" si="2">(VLOOKUP(D$14,$AI2:$AK26,3,FALSE))*D$15</f>
        <v>338.40000000000003</v>
      </c>
      <c r="E21" s="28">
        <f t="shared" si="2"/>
        <v>338.40000000000003</v>
      </c>
      <c r="F21" s="28">
        <f t="shared" si="2"/>
        <v>338.40000000000003</v>
      </c>
      <c r="G21" s="28">
        <f t="shared" si="2"/>
        <v>338.40000000000003</v>
      </c>
      <c r="H21" s="28">
        <f t="shared" si="2"/>
        <v>338.40000000000003</v>
      </c>
      <c r="I21" s="28">
        <f t="shared" si="2"/>
        <v>338.40000000000003</v>
      </c>
      <c r="J21" s="28">
        <f t="shared" si="2"/>
        <v>338.40000000000003</v>
      </c>
      <c r="K21" s="28">
        <f t="shared" si="2"/>
        <v>338.40000000000003</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4.6572768000000009</v>
      </c>
      <c r="D22" s="16">
        <f>$E32</f>
        <v>4.6572768000000009</v>
      </c>
      <c r="E22" s="16">
        <f>$E33</f>
        <v>4.6572768000000009</v>
      </c>
      <c r="F22" s="16">
        <f>$E34</f>
        <v>4.6572768000000009</v>
      </c>
      <c r="G22" s="16">
        <f>$E35</f>
        <v>4.6572768000000009</v>
      </c>
      <c r="H22" s="16">
        <f>$E36</f>
        <v>4.6572768000000009</v>
      </c>
      <c r="I22" s="16">
        <f>$E37</f>
        <v>4.6572768000000009</v>
      </c>
      <c r="J22" s="16">
        <f>$E38</f>
        <v>4.6572768000000009</v>
      </c>
      <c r="K22" s="16">
        <f>$E39</f>
        <v>4.6572768000000009</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-333.74272320000006</v>
      </c>
      <c r="D23" s="16">
        <f t="shared" ref="D23:V23" si="3">D22-D21</f>
        <v>-333.74272320000006</v>
      </c>
      <c r="E23" s="16">
        <f t="shared" si="3"/>
        <v>-333.74272320000006</v>
      </c>
      <c r="F23" s="16">
        <f t="shared" si="3"/>
        <v>-333.74272320000006</v>
      </c>
      <c r="G23" s="16">
        <f t="shared" si="3"/>
        <v>-333.74272320000006</v>
      </c>
      <c r="H23" s="16">
        <f t="shared" si="3"/>
        <v>-333.74272320000006</v>
      </c>
      <c r="I23" s="16">
        <f t="shared" si="3"/>
        <v>-333.74272320000006</v>
      </c>
      <c r="J23" s="16">
        <f t="shared" si="3"/>
        <v>-333.74272320000006</v>
      </c>
      <c r="K23" s="16">
        <f t="shared" si="3"/>
        <v>-333.74272320000006</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55</v>
      </c>
      <c r="E27" s="107" t="s">
        <v>55</v>
      </c>
      <c r="F27" s="107" t="s">
        <v>55</v>
      </c>
      <c r="G27" s="107" t="s">
        <v>55</v>
      </c>
      <c r="H27" s="107" t="s">
        <v>55</v>
      </c>
      <c r="I27" s="107" t="s">
        <v>55</v>
      </c>
      <c r="J27" s="107" t="s">
        <v>55</v>
      </c>
      <c r="K27" s="107" t="s">
        <v>55</v>
      </c>
      <c r="L27" s="107" t="s">
        <v>55</v>
      </c>
      <c r="M27" s="107" t="s">
        <v>55</v>
      </c>
      <c r="N27" s="107"/>
      <c r="O27" s="107"/>
      <c r="P27" s="107" t="s">
        <v>55</v>
      </c>
      <c r="Q27" s="107" t="s">
        <v>55</v>
      </c>
      <c r="R27" s="107" t="s">
        <v>55</v>
      </c>
      <c r="S27" s="107" t="s">
        <v>55</v>
      </c>
      <c r="T27" s="107" t="s">
        <v>55</v>
      </c>
      <c r="U27" s="107" t="s">
        <v>55</v>
      </c>
    </row>
    <row r="28" spans="1:40" s="57" customFormat="1" x14ac:dyDescent="0.35">
      <c r="A28" s="108"/>
      <c r="B28" s="24">
        <v>70.400000000000006</v>
      </c>
      <c r="C28" s="15">
        <v>0.06</v>
      </c>
      <c r="D28" s="15">
        <v>102</v>
      </c>
      <c r="E28" s="15">
        <v>915</v>
      </c>
      <c r="F28" s="15">
        <v>6889</v>
      </c>
      <c r="G28" s="15">
        <v>4.84</v>
      </c>
      <c r="H28" s="15">
        <v>45.7</v>
      </c>
      <c r="I28" s="15">
        <v>20</v>
      </c>
      <c r="J28" s="15">
        <v>0.1</v>
      </c>
      <c r="K28" s="23">
        <v>0.12</v>
      </c>
      <c r="L28" s="15">
        <v>5.03</v>
      </c>
      <c r="M28" s="15">
        <v>6.51</v>
      </c>
      <c r="N28" s="15"/>
      <c r="O28" s="15"/>
      <c r="P28" s="15">
        <v>328</v>
      </c>
      <c r="Q28" s="15">
        <v>161191</v>
      </c>
      <c r="R28" s="15">
        <v>0.64</v>
      </c>
      <c r="S28" s="15">
        <v>1.61</v>
      </c>
      <c r="T28" s="15">
        <v>1.05</v>
      </c>
      <c r="U28" s="15">
        <v>99.3</v>
      </c>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SJC1</v>
      </c>
      <c r="B31" s="15">
        <v>6</v>
      </c>
      <c r="C31" s="77">
        <f>IF(C$27="%w/w SAR",((C$28*10)*$B31),IF(C$27="%w/w DM",(((C$28*10)*($B$28/100))*$B31),IF(C$27="kg/t SAR",(C$28*$B31),IF(C$27="kg/t DM",((C$28*($B$28/100))*$B31),IF(C$27="mg/kg SAR",((C$28*0.001)*$B31),IF(C$27="mg/kg DM",(((C$28*0.001)*($B$28/100))*$B31),0))))))</f>
        <v>2.5344000000000002</v>
      </c>
      <c r="D31" s="77">
        <f>(IF(D$27="%w/w SAR",((D$28*10)*$B31),IF(D$27="%w/w DM",(((D$28*10)*($B$28/100))*$B31),IF(D$27="kg/t SAR",(D$28*$B31),IF(D$27="kg/t DM",((D$28*($B$28/100))*$B31),IF(D$27="mg/kg SAR",((D$28*0.001)*$B31),IF(D$27="mg/kg DM",(((D$28*0.001)*($B$28/100))*$B31),"0")))))))*2.291</f>
        <v>0.9870727680000001</v>
      </c>
      <c r="E31" s="77">
        <f>(IF(E$27="%w/w SAR",((E$28*10)*$B31),IF(E$27="%w/w DM",(((E$28*10)*($B$28/100))*$B31),IF(E$27="kg/t SAR",(E$28*$B31),IF(E$27="kg/t DM",((E$28*($B$28/100))*$B31),IF(E$27="mg/kg SAR",((E$28*0.001)*$B31),IF(E$27="mg/kg DM",(((E$28*0.001)*($B$28/100))*$B31),"0")))))))*1.205</f>
        <v>4.6572768000000009</v>
      </c>
      <c r="F31" s="77">
        <f>(IF(F$27="%w/w SAR",((F$28*10)*$B31),IF(F$27="%w/w DM",(((F$28*10)*($B$28/100))*$B31),IF(F$27="kg/t SAR",(F$28*$B31),IF(F$27="kg/t DM",((F$28*($B$28/100))*$B31),IF(F$27="mg/kg SAR",((F$28*0.001)*$B31),IF(F$27="mg/kg DM",(((F$28*0.001)*($B$28/100))*$B31),"0")))))))*1.658</f>
        <v>48.246367488000004</v>
      </c>
      <c r="G31" s="77">
        <f t="shared" ref="G31:P46" si="5">IF(G$27="%w/w SAR",((G$28*10)*$B31),IF(G$27="%w/w DM",(((G$28*10)*($B$28/100))*$B31),IF(G$27="kg/t SAR",(G$28*$B31),IF(G$27="kg/t DM",((G$28*($B$28/100))*$B31),IF(G$27="mg/kg SAR",((G$28*0.001)*$B31),IF(G$27="mg/kg DM",(((G$28*0.001)*($B$28/100))*$B31),0))))))</f>
        <v>2.0444159999999999E-2</v>
      </c>
      <c r="H31" s="77">
        <f t="shared" si="5"/>
        <v>0.19303680000000006</v>
      </c>
      <c r="I31" s="77">
        <f t="shared" si="5"/>
        <v>8.4480000000000013E-2</v>
      </c>
      <c r="J31" s="77">
        <f t="shared" si="5"/>
        <v>4.2240000000000008E-4</v>
      </c>
      <c r="K31" s="77">
        <f t="shared" si="5"/>
        <v>5.0688000000000003E-4</v>
      </c>
      <c r="L31" s="77">
        <f t="shared" si="5"/>
        <v>2.1246720000000004E-2</v>
      </c>
      <c r="M31" s="77">
        <f t="shared" si="5"/>
        <v>2.7498240000000007E-2</v>
      </c>
      <c r="N31" s="77">
        <f t="shared" si="5"/>
        <v>0</v>
      </c>
      <c r="O31" s="77">
        <f t="shared" si="5"/>
        <v>0</v>
      </c>
      <c r="P31" s="77">
        <f t="shared" si="5"/>
        <v>1.3854720000000003</v>
      </c>
      <c r="Q31" s="77">
        <f>(IF(Q$27="%w/w SAR",((Q$28*10)*$B31),IF(Q$27="%w/w DM",(((Q$28*10)*($B$28/100))*$B31),IF(Q$27="kg/t SAR",(Q$28*$B31),IF(Q$27="kg/t DM",((Q$28*($B$28/100))*$B31),IF(Q$27="mg/kg SAR",((Q$28*0.001)*$B31),IF(Q$27="mg/kg DM",(((Q$28*0.001)*($B$28/100))*$B31),0)))))))*2.5</f>
        <v>1702.1769600000002</v>
      </c>
      <c r="R31" s="77">
        <f>IF(R$27="%w/w SAR",((R$28*10)*$B31),IF(R$27="%w/w DM",(((R$28*10)*($B$28/100))*$B31),IF(R$27="kg/t SAR",(R$28*$B31),IF(R$27="kg/t DM",((R$28*($B$28/100))*$B31),IF(R$27="mg/kg SAR",((R$28*0.001)*$B31),IF(R$27="mg/kg DM",(((R$28*0.001)*($B$28/100))*$B31),0))))))</f>
        <v>2.7033600000000006E-3</v>
      </c>
      <c r="S31" s="77">
        <f>IF(S$27="%w/w SAR",((S$28*10)*$B31),IF(S$27="%w/w DM",(((S$28*10)*($B$28/100))*$B31),IF(S$27="kg/t SAR",(S$28*$B31),IF(S$27="kg/t DM",((S$28*($B$28/100))*$B31),IF(S$27="mg/kg SAR",((S$28*0.001)*$B31),IF(S$27="mg/kg DM",(((S$28*0.001)*($B$28/100))*$B31),0))))))</f>
        <v>6.8006400000000002E-3</v>
      </c>
      <c r="T31" s="77">
        <f>IF(T$27="%w/w SAR",((T$28*10)*$B31),IF(T$27="%w/w DM",(((T$28*10)*($B$28/100))*$B31),IF(T$27="kg/t SAR",(T$28*$B31),IF(T$27="kg/t DM",((T$28*($B$28/100))*$B31),IF(T$27="mg/kg SAR",((T$28*0.001)*$B31),IF(T$27="mg/kg DM",(((T$28*0.001)*($B$28/100))*$B31),0))))))</f>
        <v>4.4352000000000011E-3</v>
      </c>
      <c r="U31" s="77">
        <f>IF(U$27="%w/w SAR",((U$28*10)*$B31),IF(U$27="%w/w DM",(((U$28*10)*($B$28/100))*$B31),IF(U$27="kg/t SAR",(U$28*$B31),IF(U$27="kg/t DM",((U$28*($B$28/100))*$B31),IF(U$27="mg/kg SAR",((U$28*0.001)*$B31),IF(U$27="mg/kg DM",(((U$28*0.001)*($B$28/100))*$B31),0))))))</f>
        <v>0.41944320000000002</v>
      </c>
      <c r="AB31" s="59"/>
      <c r="AC31" s="59"/>
      <c r="AD31" s="59"/>
      <c r="AE31" s="59"/>
      <c r="AF31" s="59"/>
      <c r="AG31" s="59"/>
      <c r="AH31" s="59"/>
      <c r="AI31" s="59"/>
    </row>
    <row r="32" spans="1:40" s="72" customFormat="1" ht="13" x14ac:dyDescent="0.35">
      <c r="A32" s="13" t="str">
        <f>D8</f>
        <v>SJC2</v>
      </c>
      <c r="B32" s="15">
        <v>6</v>
      </c>
      <c r="C32" s="77">
        <f t="shared" ref="C32:C50" si="6">IF(C$27="%w/w SAR",((C$28*10)*$B32),IF(C$27="%w/w DM",(((C$28*10)*($B$28/100))*$B32),IF(C$27="kg/t SAR",(C$28*$B32),IF(C$27="kg/t DM",((C$28*($B$28/100))*$B32),IF(C$27="mg/kg SAR",((C$28*0.001)*$B32),IF(C$27="mg/kg DM",(((C$28*0.001)*($B$28/100))*$B32),0))))))</f>
        <v>2.5344000000000002</v>
      </c>
      <c r="D32" s="77">
        <f t="shared" ref="D32:D50" si="7">(IF(D$27="%w/w SAR",((D$28*10)*$B32),IF(D$27="%w/w DM",(((D$28*10)*($B$28/100))*$B32),IF(D$27="kg/t SAR",(D$28*$B32),IF(D$27="kg/t DM",((D$28*($B$28/100))*$B32),IF(D$27="mg/kg SAR",((D$28*0.001)*$B32),IF(D$27="mg/kg DM",(((D$28*0.001)*($B$28/100))*$B32),"0")))))))*2.291</f>
        <v>0.9870727680000001</v>
      </c>
      <c r="E32" s="77">
        <f t="shared" ref="E32:E50" si="8">(IF(E$27="%w/w SAR",((E$28*10)*$B32),IF(E$27="%w/w DM",(((E$28*10)*($B$28/100))*$B32),IF(E$27="kg/t SAR",(E$28*$B32),IF(E$27="kg/t DM",((E$28*($B$28/100))*$B32),IF(E$27="mg/kg SAR",((E$28*0.001)*$B32),IF(E$27="mg/kg DM",(((E$28*0.001)*($B$28/100))*$B32),"0")))))))*1.205</f>
        <v>4.6572768000000009</v>
      </c>
      <c r="F32" s="77">
        <f t="shared" ref="F32:F50" si="9">(IF(F$27="%w/w SAR",((F$28*10)*$B32),IF(F$27="%w/w DM",(((F$28*10)*($B$28/100))*$B32),IF(F$27="kg/t SAR",(F$28*$B32),IF(F$27="kg/t DM",((F$28*($B$28/100))*$B32),IF(F$27="mg/kg SAR",((F$28*0.001)*$B32),IF(F$27="mg/kg DM",(((F$28*0.001)*($B$28/100))*$B32),"0")))))))*1.658</f>
        <v>48.246367488000004</v>
      </c>
      <c r="G32" s="77">
        <f t="shared" si="5"/>
        <v>2.0444159999999999E-2</v>
      </c>
      <c r="H32" s="77">
        <f t="shared" si="5"/>
        <v>0.19303680000000006</v>
      </c>
      <c r="I32" s="77">
        <f t="shared" si="5"/>
        <v>8.4480000000000013E-2</v>
      </c>
      <c r="J32" s="77">
        <f t="shared" si="5"/>
        <v>4.2240000000000008E-4</v>
      </c>
      <c r="K32" s="77">
        <f t="shared" si="5"/>
        <v>5.0688000000000003E-4</v>
      </c>
      <c r="L32" s="77">
        <f t="shared" si="5"/>
        <v>2.1246720000000004E-2</v>
      </c>
      <c r="M32" s="77">
        <f t="shared" si="5"/>
        <v>2.7498240000000007E-2</v>
      </c>
      <c r="N32" s="77">
        <f t="shared" si="5"/>
        <v>0</v>
      </c>
      <c r="O32" s="77">
        <f t="shared" si="5"/>
        <v>0</v>
      </c>
      <c r="P32" s="77">
        <f t="shared" si="5"/>
        <v>1.3854720000000003</v>
      </c>
      <c r="Q32" s="77">
        <f t="shared" ref="Q32:Q50" si="10">(IF(Q$27="%w/w SAR",((Q$28*10)*$B32),IF(Q$27="%w/w DM",(((Q$28*10)*($B$28/100))*$B32),IF(Q$27="kg/t SAR",(Q$28*$B32),IF(Q$27="kg/t DM",((Q$28*($B$28/100))*$B32),IF(Q$27="mg/kg SAR",((Q$28*0.001)*$B32),IF(Q$27="mg/kg DM",(((Q$28*0.001)*($B$28/100))*$B32),0)))))))*2.5</f>
        <v>1702.1769600000002</v>
      </c>
      <c r="R32" s="77">
        <f t="shared" ref="R32:U50" si="11">IF(R$27="%w/w SAR",((R$28*10)*$B32),IF(R$27="%w/w DM",(((R$28*10)*($B$28/100))*$B32),IF(R$27="kg/t SAR",(R$28*$B32),IF(R$27="kg/t DM",((R$28*($B$28/100))*$B32),IF(R$27="mg/kg SAR",((R$28*0.001)*$B32),IF(R$27="mg/kg DM",(((R$28*0.001)*($B$28/100))*$B32),0))))))</f>
        <v>2.7033600000000006E-3</v>
      </c>
      <c r="S32" s="77">
        <f t="shared" si="11"/>
        <v>6.8006400000000002E-3</v>
      </c>
      <c r="T32" s="77">
        <f t="shared" si="11"/>
        <v>4.4352000000000011E-3</v>
      </c>
      <c r="U32" s="77">
        <f t="shared" si="11"/>
        <v>0.41944320000000002</v>
      </c>
      <c r="AB32" s="59"/>
      <c r="AC32" s="59"/>
      <c r="AD32" s="59"/>
      <c r="AE32" s="59"/>
      <c r="AF32" s="59"/>
      <c r="AG32" s="59"/>
      <c r="AH32" s="59"/>
      <c r="AI32" s="59"/>
    </row>
    <row r="33" spans="1:35" s="72" customFormat="1" ht="13" x14ac:dyDescent="0.35">
      <c r="A33" s="13" t="str">
        <f>E8</f>
        <v>SJC3</v>
      </c>
      <c r="B33" s="15">
        <v>6</v>
      </c>
      <c r="C33" s="77">
        <f t="shared" si="6"/>
        <v>2.5344000000000002</v>
      </c>
      <c r="D33" s="77">
        <f t="shared" si="7"/>
        <v>0.9870727680000001</v>
      </c>
      <c r="E33" s="77">
        <f t="shared" si="8"/>
        <v>4.6572768000000009</v>
      </c>
      <c r="F33" s="77">
        <f t="shared" si="9"/>
        <v>48.246367488000004</v>
      </c>
      <c r="G33" s="77">
        <f t="shared" si="5"/>
        <v>2.0444159999999999E-2</v>
      </c>
      <c r="H33" s="77">
        <f t="shared" si="5"/>
        <v>0.19303680000000006</v>
      </c>
      <c r="I33" s="77">
        <f t="shared" si="5"/>
        <v>8.4480000000000013E-2</v>
      </c>
      <c r="J33" s="77">
        <f t="shared" si="5"/>
        <v>4.2240000000000008E-4</v>
      </c>
      <c r="K33" s="77">
        <f t="shared" si="5"/>
        <v>5.0688000000000003E-4</v>
      </c>
      <c r="L33" s="77">
        <f t="shared" si="5"/>
        <v>2.1246720000000004E-2</v>
      </c>
      <c r="M33" s="77">
        <f t="shared" si="5"/>
        <v>2.7498240000000007E-2</v>
      </c>
      <c r="N33" s="77">
        <f t="shared" si="5"/>
        <v>0</v>
      </c>
      <c r="O33" s="77">
        <f t="shared" si="5"/>
        <v>0</v>
      </c>
      <c r="P33" s="77">
        <f t="shared" si="5"/>
        <v>1.3854720000000003</v>
      </c>
      <c r="Q33" s="77">
        <f t="shared" si="10"/>
        <v>1702.1769600000002</v>
      </c>
      <c r="R33" s="77">
        <f t="shared" si="11"/>
        <v>2.7033600000000006E-3</v>
      </c>
      <c r="S33" s="77">
        <f t="shared" si="11"/>
        <v>6.8006400000000002E-3</v>
      </c>
      <c r="T33" s="77">
        <f t="shared" si="11"/>
        <v>4.4352000000000011E-3</v>
      </c>
      <c r="U33" s="77">
        <f t="shared" si="11"/>
        <v>0.41944320000000002</v>
      </c>
      <c r="AB33" s="59"/>
      <c r="AC33" s="59"/>
      <c r="AD33" s="59"/>
      <c r="AE33" s="59"/>
      <c r="AF33" s="59"/>
      <c r="AG33" s="59"/>
      <c r="AH33" s="59"/>
      <c r="AI33" s="59"/>
    </row>
    <row r="34" spans="1:35" s="72" customFormat="1" ht="13" x14ac:dyDescent="0.35">
      <c r="A34" s="13" t="str">
        <f>F8</f>
        <v>SJC4</v>
      </c>
      <c r="B34" s="15">
        <v>6</v>
      </c>
      <c r="C34" s="77">
        <f t="shared" si="6"/>
        <v>2.5344000000000002</v>
      </c>
      <c r="D34" s="77">
        <f t="shared" si="7"/>
        <v>0.9870727680000001</v>
      </c>
      <c r="E34" s="77">
        <f t="shared" si="8"/>
        <v>4.6572768000000009</v>
      </c>
      <c r="F34" s="77">
        <f t="shared" si="9"/>
        <v>48.246367488000004</v>
      </c>
      <c r="G34" s="77">
        <f t="shared" si="5"/>
        <v>2.0444159999999999E-2</v>
      </c>
      <c r="H34" s="77">
        <f t="shared" si="5"/>
        <v>0.19303680000000006</v>
      </c>
      <c r="I34" s="77">
        <f t="shared" si="5"/>
        <v>8.4480000000000013E-2</v>
      </c>
      <c r="J34" s="77">
        <f t="shared" si="5"/>
        <v>4.2240000000000008E-4</v>
      </c>
      <c r="K34" s="77">
        <f t="shared" si="5"/>
        <v>5.0688000000000003E-4</v>
      </c>
      <c r="L34" s="77">
        <f t="shared" si="5"/>
        <v>2.1246720000000004E-2</v>
      </c>
      <c r="M34" s="77">
        <f t="shared" si="5"/>
        <v>2.7498240000000007E-2</v>
      </c>
      <c r="N34" s="77">
        <f t="shared" si="5"/>
        <v>0</v>
      </c>
      <c r="O34" s="77">
        <f t="shared" si="5"/>
        <v>0</v>
      </c>
      <c r="P34" s="77">
        <f t="shared" si="5"/>
        <v>1.3854720000000003</v>
      </c>
      <c r="Q34" s="77">
        <f t="shared" si="10"/>
        <v>1702.1769600000002</v>
      </c>
      <c r="R34" s="77">
        <f t="shared" si="11"/>
        <v>2.7033600000000006E-3</v>
      </c>
      <c r="S34" s="77">
        <f t="shared" si="11"/>
        <v>6.8006400000000002E-3</v>
      </c>
      <c r="T34" s="77">
        <f t="shared" si="11"/>
        <v>4.4352000000000011E-3</v>
      </c>
      <c r="U34" s="77">
        <f t="shared" si="11"/>
        <v>0.41944320000000002</v>
      </c>
      <c r="AB34" s="59"/>
      <c r="AC34" s="59"/>
      <c r="AD34" s="59"/>
      <c r="AE34" s="59"/>
      <c r="AF34" s="59"/>
      <c r="AG34" s="59"/>
      <c r="AH34" s="59"/>
      <c r="AI34" s="59"/>
    </row>
    <row r="35" spans="1:35" s="72" customFormat="1" ht="13" x14ac:dyDescent="0.35">
      <c r="A35" s="13" t="str">
        <f>G8</f>
        <v>SJC5</v>
      </c>
      <c r="B35" s="15">
        <v>6</v>
      </c>
      <c r="C35" s="77">
        <f t="shared" si="6"/>
        <v>2.5344000000000002</v>
      </c>
      <c r="D35" s="77">
        <f t="shared" si="7"/>
        <v>0.9870727680000001</v>
      </c>
      <c r="E35" s="77">
        <f t="shared" si="8"/>
        <v>4.6572768000000009</v>
      </c>
      <c r="F35" s="77">
        <f t="shared" si="9"/>
        <v>48.246367488000004</v>
      </c>
      <c r="G35" s="77">
        <f t="shared" si="5"/>
        <v>2.0444159999999999E-2</v>
      </c>
      <c r="H35" s="77">
        <f t="shared" si="5"/>
        <v>0.19303680000000006</v>
      </c>
      <c r="I35" s="77">
        <f t="shared" si="5"/>
        <v>8.4480000000000013E-2</v>
      </c>
      <c r="J35" s="77">
        <f t="shared" si="5"/>
        <v>4.2240000000000008E-4</v>
      </c>
      <c r="K35" s="77">
        <f t="shared" si="5"/>
        <v>5.0688000000000003E-4</v>
      </c>
      <c r="L35" s="77">
        <f t="shared" si="5"/>
        <v>2.1246720000000004E-2</v>
      </c>
      <c r="M35" s="77">
        <f t="shared" si="5"/>
        <v>2.7498240000000007E-2</v>
      </c>
      <c r="N35" s="77">
        <f t="shared" si="5"/>
        <v>0</v>
      </c>
      <c r="O35" s="77">
        <f t="shared" si="5"/>
        <v>0</v>
      </c>
      <c r="P35" s="77">
        <f t="shared" si="5"/>
        <v>1.3854720000000003</v>
      </c>
      <c r="Q35" s="77">
        <f t="shared" si="10"/>
        <v>1702.1769600000002</v>
      </c>
      <c r="R35" s="77">
        <f t="shared" si="11"/>
        <v>2.7033600000000006E-3</v>
      </c>
      <c r="S35" s="77">
        <f t="shared" si="11"/>
        <v>6.8006400000000002E-3</v>
      </c>
      <c r="T35" s="77">
        <f t="shared" si="11"/>
        <v>4.4352000000000011E-3</v>
      </c>
      <c r="U35" s="77">
        <f t="shared" si="11"/>
        <v>0.41944320000000002</v>
      </c>
      <c r="AB35" s="59"/>
      <c r="AC35" s="59"/>
      <c r="AD35" s="59"/>
      <c r="AE35" s="59"/>
      <c r="AF35" s="59"/>
      <c r="AG35" s="59"/>
      <c r="AH35" s="59"/>
      <c r="AI35" s="59"/>
    </row>
    <row r="36" spans="1:35" s="72" customFormat="1" ht="13" x14ac:dyDescent="0.35">
      <c r="A36" s="13" t="str">
        <f>H8</f>
        <v>SJC6</v>
      </c>
      <c r="B36" s="15">
        <v>6</v>
      </c>
      <c r="C36" s="77">
        <f t="shared" si="6"/>
        <v>2.5344000000000002</v>
      </c>
      <c r="D36" s="77">
        <f t="shared" si="7"/>
        <v>0.9870727680000001</v>
      </c>
      <c r="E36" s="77">
        <f t="shared" si="8"/>
        <v>4.6572768000000009</v>
      </c>
      <c r="F36" s="77">
        <f t="shared" si="9"/>
        <v>48.246367488000004</v>
      </c>
      <c r="G36" s="77">
        <f t="shared" si="5"/>
        <v>2.0444159999999999E-2</v>
      </c>
      <c r="H36" s="77">
        <f t="shared" si="5"/>
        <v>0.19303680000000006</v>
      </c>
      <c r="I36" s="77">
        <f t="shared" si="5"/>
        <v>8.4480000000000013E-2</v>
      </c>
      <c r="J36" s="77">
        <f t="shared" si="5"/>
        <v>4.2240000000000008E-4</v>
      </c>
      <c r="K36" s="77">
        <f t="shared" si="5"/>
        <v>5.0688000000000003E-4</v>
      </c>
      <c r="L36" s="77">
        <f t="shared" si="5"/>
        <v>2.1246720000000004E-2</v>
      </c>
      <c r="M36" s="77">
        <f t="shared" si="5"/>
        <v>2.7498240000000007E-2</v>
      </c>
      <c r="N36" s="77">
        <f t="shared" si="5"/>
        <v>0</v>
      </c>
      <c r="O36" s="77">
        <f t="shared" si="5"/>
        <v>0</v>
      </c>
      <c r="P36" s="77">
        <f t="shared" si="5"/>
        <v>1.3854720000000003</v>
      </c>
      <c r="Q36" s="77">
        <f t="shared" si="10"/>
        <v>1702.1769600000002</v>
      </c>
      <c r="R36" s="77">
        <f t="shared" si="11"/>
        <v>2.7033600000000006E-3</v>
      </c>
      <c r="S36" s="77">
        <f t="shared" si="11"/>
        <v>6.8006400000000002E-3</v>
      </c>
      <c r="T36" s="77">
        <f t="shared" si="11"/>
        <v>4.4352000000000011E-3</v>
      </c>
      <c r="U36" s="77">
        <f t="shared" si="11"/>
        <v>0.41944320000000002</v>
      </c>
      <c r="AB36" s="59"/>
      <c r="AC36" s="59"/>
      <c r="AD36" s="59"/>
      <c r="AE36" s="59"/>
      <c r="AF36" s="59"/>
      <c r="AG36" s="59"/>
      <c r="AH36" s="59"/>
      <c r="AI36" s="59"/>
    </row>
    <row r="37" spans="1:35" s="72" customFormat="1" ht="13" x14ac:dyDescent="0.35">
      <c r="A37" s="13" t="str">
        <f>I8</f>
        <v>SJC7</v>
      </c>
      <c r="B37" s="15">
        <v>6</v>
      </c>
      <c r="C37" s="77">
        <f t="shared" si="6"/>
        <v>2.5344000000000002</v>
      </c>
      <c r="D37" s="77">
        <f t="shared" si="7"/>
        <v>0.9870727680000001</v>
      </c>
      <c r="E37" s="77">
        <f t="shared" si="8"/>
        <v>4.6572768000000009</v>
      </c>
      <c r="F37" s="77">
        <f t="shared" si="9"/>
        <v>48.246367488000004</v>
      </c>
      <c r="G37" s="77">
        <f t="shared" si="5"/>
        <v>2.0444159999999999E-2</v>
      </c>
      <c r="H37" s="77">
        <f t="shared" si="5"/>
        <v>0.19303680000000006</v>
      </c>
      <c r="I37" s="77">
        <f t="shared" si="5"/>
        <v>8.4480000000000013E-2</v>
      </c>
      <c r="J37" s="77">
        <f t="shared" si="5"/>
        <v>4.2240000000000008E-4</v>
      </c>
      <c r="K37" s="77">
        <f t="shared" si="5"/>
        <v>5.0688000000000003E-4</v>
      </c>
      <c r="L37" s="77">
        <f t="shared" si="5"/>
        <v>2.1246720000000004E-2</v>
      </c>
      <c r="M37" s="77">
        <f t="shared" si="5"/>
        <v>2.7498240000000007E-2</v>
      </c>
      <c r="N37" s="77">
        <f t="shared" si="5"/>
        <v>0</v>
      </c>
      <c r="O37" s="77">
        <f t="shared" si="5"/>
        <v>0</v>
      </c>
      <c r="P37" s="77">
        <f t="shared" si="5"/>
        <v>1.3854720000000003</v>
      </c>
      <c r="Q37" s="77">
        <f t="shared" si="10"/>
        <v>1702.1769600000002</v>
      </c>
      <c r="R37" s="77">
        <f t="shared" si="11"/>
        <v>2.7033600000000006E-3</v>
      </c>
      <c r="S37" s="77">
        <f t="shared" si="11"/>
        <v>6.8006400000000002E-3</v>
      </c>
      <c r="T37" s="77">
        <f t="shared" si="11"/>
        <v>4.4352000000000011E-3</v>
      </c>
      <c r="U37" s="77">
        <f t="shared" si="11"/>
        <v>0.41944320000000002</v>
      </c>
      <c r="AB37" s="59"/>
      <c r="AC37" s="59"/>
      <c r="AD37" s="59"/>
      <c r="AE37" s="59"/>
      <c r="AF37" s="59"/>
      <c r="AG37" s="59"/>
      <c r="AH37" s="59"/>
      <c r="AI37" s="59"/>
    </row>
    <row r="38" spans="1:35" s="72" customFormat="1" ht="13" x14ac:dyDescent="0.35">
      <c r="A38" s="13" t="str">
        <f>J8</f>
        <v>Bonolwyn A</v>
      </c>
      <c r="B38" s="15">
        <v>6</v>
      </c>
      <c r="C38" s="77">
        <f t="shared" si="6"/>
        <v>2.5344000000000002</v>
      </c>
      <c r="D38" s="77">
        <f t="shared" si="7"/>
        <v>0.9870727680000001</v>
      </c>
      <c r="E38" s="77">
        <f t="shared" si="8"/>
        <v>4.6572768000000009</v>
      </c>
      <c r="F38" s="77">
        <f t="shared" si="9"/>
        <v>48.246367488000004</v>
      </c>
      <c r="G38" s="77">
        <f t="shared" si="5"/>
        <v>2.0444159999999999E-2</v>
      </c>
      <c r="H38" s="77">
        <f t="shared" si="5"/>
        <v>0.19303680000000006</v>
      </c>
      <c r="I38" s="77">
        <f t="shared" si="5"/>
        <v>8.4480000000000013E-2</v>
      </c>
      <c r="J38" s="77">
        <f t="shared" si="5"/>
        <v>4.2240000000000008E-4</v>
      </c>
      <c r="K38" s="77">
        <f t="shared" si="5"/>
        <v>5.0688000000000003E-4</v>
      </c>
      <c r="L38" s="77">
        <f t="shared" si="5"/>
        <v>2.1246720000000004E-2</v>
      </c>
      <c r="M38" s="77">
        <f t="shared" si="5"/>
        <v>2.7498240000000007E-2</v>
      </c>
      <c r="N38" s="77">
        <f t="shared" si="5"/>
        <v>0</v>
      </c>
      <c r="O38" s="77">
        <f t="shared" si="5"/>
        <v>0</v>
      </c>
      <c r="P38" s="77">
        <f t="shared" si="5"/>
        <v>1.3854720000000003</v>
      </c>
      <c r="Q38" s="77">
        <f t="shared" si="10"/>
        <v>1702.1769600000002</v>
      </c>
      <c r="R38" s="77">
        <f t="shared" si="11"/>
        <v>2.7033600000000006E-3</v>
      </c>
      <c r="S38" s="77">
        <f t="shared" si="11"/>
        <v>6.8006400000000002E-3</v>
      </c>
      <c r="T38" s="77">
        <f t="shared" si="11"/>
        <v>4.4352000000000011E-3</v>
      </c>
      <c r="U38" s="77">
        <f t="shared" si="11"/>
        <v>0.41944320000000002</v>
      </c>
      <c r="AB38" s="59"/>
      <c r="AC38" s="59"/>
      <c r="AD38" s="59"/>
      <c r="AE38" s="59"/>
      <c r="AF38" s="59"/>
      <c r="AG38" s="59"/>
      <c r="AH38" s="59"/>
      <c r="AI38" s="59"/>
    </row>
    <row r="39" spans="1:35" s="72" customFormat="1" ht="13" x14ac:dyDescent="0.35">
      <c r="A39" s="13" t="str">
        <f>K8</f>
        <v>Bodnolwyn B</v>
      </c>
      <c r="B39" s="15">
        <v>6</v>
      </c>
      <c r="C39" s="77">
        <f t="shared" si="6"/>
        <v>2.5344000000000002</v>
      </c>
      <c r="D39" s="77">
        <f t="shared" si="7"/>
        <v>0.9870727680000001</v>
      </c>
      <c r="E39" s="77">
        <f t="shared" si="8"/>
        <v>4.6572768000000009</v>
      </c>
      <c r="F39" s="77">
        <f t="shared" si="9"/>
        <v>48.246367488000004</v>
      </c>
      <c r="G39" s="77">
        <f t="shared" si="5"/>
        <v>2.0444159999999999E-2</v>
      </c>
      <c r="H39" s="77">
        <f t="shared" si="5"/>
        <v>0.19303680000000006</v>
      </c>
      <c r="I39" s="77">
        <f t="shared" si="5"/>
        <v>8.4480000000000013E-2</v>
      </c>
      <c r="J39" s="77">
        <f t="shared" si="5"/>
        <v>4.2240000000000008E-4</v>
      </c>
      <c r="K39" s="77">
        <f t="shared" si="5"/>
        <v>5.0688000000000003E-4</v>
      </c>
      <c r="L39" s="77">
        <f t="shared" si="5"/>
        <v>2.1246720000000004E-2</v>
      </c>
      <c r="M39" s="77">
        <f t="shared" si="5"/>
        <v>2.7498240000000007E-2</v>
      </c>
      <c r="N39" s="77">
        <f t="shared" si="5"/>
        <v>0</v>
      </c>
      <c r="O39" s="77">
        <f t="shared" si="5"/>
        <v>0</v>
      </c>
      <c r="P39" s="77">
        <f t="shared" si="5"/>
        <v>1.3854720000000003</v>
      </c>
      <c r="Q39" s="77">
        <f t="shared" si="10"/>
        <v>1702.1769600000002</v>
      </c>
      <c r="R39" s="77">
        <f t="shared" si="11"/>
        <v>2.7033600000000006E-3</v>
      </c>
      <c r="S39" s="77">
        <f t="shared" si="11"/>
        <v>6.8006400000000002E-3</v>
      </c>
      <c r="T39" s="77">
        <f t="shared" si="11"/>
        <v>4.4352000000000011E-3</v>
      </c>
      <c r="U39" s="77">
        <f t="shared" si="11"/>
        <v>0.41944320000000002</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v>70.400000000000006</v>
      </c>
      <c r="C55" s="116">
        <v>3</v>
      </c>
      <c r="D55" s="117">
        <f>(B55/100)*C55</f>
        <v>2.1120000000000001</v>
      </c>
      <c r="E55" s="117">
        <f>G55</f>
        <v>3.7312000000000003</v>
      </c>
      <c r="F55" s="116">
        <v>5.3</v>
      </c>
      <c r="G55" s="117">
        <f>(B55/100)*F55</f>
        <v>3.7312000000000003</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SJC1</v>
      </c>
      <c r="C57" s="8" t="str">
        <f t="shared" ref="C57:U57" si="13">D8</f>
        <v>SJC2</v>
      </c>
      <c r="D57" s="8" t="str">
        <f t="shared" si="13"/>
        <v>SJC3</v>
      </c>
      <c r="E57" s="8" t="str">
        <f t="shared" si="13"/>
        <v>SJC4</v>
      </c>
      <c r="F57" s="8" t="str">
        <f t="shared" si="13"/>
        <v>SJC5</v>
      </c>
      <c r="G57" s="8" t="str">
        <f t="shared" si="13"/>
        <v>SJC6</v>
      </c>
      <c r="H57" s="8" t="str">
        <f t="shared" si="13"/>
        <v>SJC7</v>
      </c>
      <c r="I57" s="8" t="str">
        <f t="shared" si="13"/>
        <v>Bonolwyn A</v>
      </c>
      <c r="J57" s="8" t="str">
        <f t="shared" si="13"/>
        <v>Bodnolwyn B</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"&amp;(VLOOKUP(C14,Table24567[],6,FALSE))</f>
        <v>Medium/Clay I Grass</v>
      </c>
      <c r="C58" s="13" t="str">
        <f>D16&amp;" I "&amp;(VLOOKUP(D14,Table24567[],6,FALSE))</f>
        <v>Medium/Clay I Grass</v>
      </c>
      <c r="D58" s="13" t="str">
        <f>E16&amp;" I "&amp;(VLOOKUP(E14,Table24567[],6,FALSE))</f>
        <v>Medium/Clay I Grass</v>
      </c>
      <c r="E58" s="13" t="str">
        <f>F16&amp;" I "&amp;(VLOOKUP(F14,Table24567[],6,FALSE))</f>
        <v>Medium/Clay I Grass</v>
      </c>
      <c r="F58" s="13" t="str">
        <f>G16&amp;" I "&amp;(VLOOKUP(G14,Table24567[],6,FALSE))</f>
        <v>Medium/Clay I Grass</v>
      </c>
      <c r="G58" s="13" t="str">
        <f>H16&amp;" I "&amp;(VLOOKUP(H14,Table24567[],6,FALSE))</f>
        <v>Medium/Clay I Grass</v>
      </c>
      <c r="H58" s="13" t="str">
        <f>I16&amp;" I "&amp;(VLOOKUP(I14,Table24567[],6,FALSE))</f>
        <v>Medium/Clay I Grass</v>
      </c>
      <c r="I58" s="13" t="str">
        <f>J16&amp;" I "&amp;(VLOOKUP(J14,Table24567[],6,FALSE))</f>
        <v>Medium/Clay I Grass</v>
      </c>
      <c r="J58" s="13" t="str">
        <f>K16&amp;" I "&amp;(VLOOKUP(K14,Table24567[],6,FALSE))</f>
        <v>Medium/Clay I Grass</v>
      </c>
      <c r="K58" s="13" t="e">
        <f>L16&amp;" I "&amp;(VLOOKUP(L14,Table24567[],6,FALSE))</f>
        <v>#N/A</v>
      </c>
      <c r="L58" s="13" t="e">
        <f>M16&amp;" I "&amp;(VLOOKUP(M14,Table24567[],6,FALSE))</f>
        <v>#N/A</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1" t="s">
        <v>132</v>
      </c>
      <c r="B59" s="76">
        <f>VLOOKUP(C$14,Table24567[],5,FALSE)</f>
        <v>6.2</v>
      </c>
      <c r="C59" s="76">
        <f>VLOOKUP(D$14,Table24567[],5,FALSE)</f>
        <v>6.2</v>
      </c>
      <c r="D59" s="76">
        <f>VLOOKUP(E$14,Table24567[],5,FALSE)</f>
        <v>6.2</v>
      </c>
      <c r="E59" s="76">
        <f>VLOOKUP(F$14,Table24567[],5,FALSE)</f>
        <v>6.2</v>
      </c>
      <c r="F59" s="76">
        <f>VLOOKUP(G$14,Table24567[],5,FALSE)</f>
        <v>6.2</v>
      </c>
      <c r="G59" s="76">
        <f>VLOOKUP(H$14,Table24567[],5,FALSE)</f>
        <v>6.2</v>
      </c>
      <c r="H59" s="76">
        <f>VLOOKUP(I$14,Table24567[],5,FALSE)</f>
        <v>6.2</v>
      </c>
      <c r="I59" s="76">
        <f>VLOOKUP(J$14,Table24567[],5,FALSE)</f>
        <v>6.2</v>
      </c>
      <c r="J59" s="76">
        <f>VLOOKUP(K$14,Table24567[],5,FALSE)</f>
        <v>6.2</v>
      </c>
      <c r="K59" s="76" t="e">
        <f>VLOOKUP(L$14,Table24567[],5,FALSE)</f>
        <v>#N/A</v>
      </c>
      <c r="L59" s="76" t="e">
        <f>VLOOKUP(M$14,Table24567[],5,FALSE)</f>
        <v>#N/A</v>
      </c>
      <c r="M59" s="76" t="e">
        <f>VLOOKUP(N$14,Table24567[],5,FALSE)</f>
        <v>#N/A</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ht="13" x14ac:dyDescent="0.3">
      <c r="A60" s="111" t="s">
        <v>4</v>
      </c>
      <c r="B60" s="76">
        <f>C10</f>
        <v>6.4</v>
      </c>
      <c r="C60" s="76">
        <f t="shared" ref="C60:U60" si="14">D10</f>
        <v>5.8</v>
      </c>
      <c r="D60" s="76">
        <f t="shared" si="14"/>
        <v>6</v>
      </c>
      <c r="E60" s="76">
        <f t="shared" si="14"/>
        <v>6</v>
      </c>
      <c r="F60" s="76">
        <f t="shared" si="14"/>
        <v>5.9</v>
      </c>
      <c r="G60" s="76">
        <f t="shared" si="14"/>
        <v>6.1</v>
      </c>
      <c r="H60" s="76">
        <f t="shared" si="14"/>
        <v>5.8</v>
      </c>
      <c r="I60" s="76">
        <f t="shared" si="14"/>
        <v>5.8</v>
      </c>
      <c r="J60" s="76">
        <f t="shared" si="14"/>
        <v>5.7</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6</v>
      </c>
      <c r="C62" s="77">
        <f>B32</f>
        <v>6</v>
      </c>
      <c r="D62" s="77">
        <f>B33</f>
        <v>6</v>
      </c>
      <c r="E62" s="77">
        <f>B34</f>
        <v>6</v>
      </c>
      <c r="F62" s="77">
        <f>B35</f>
        <v>6</v>
      </c>
      <c r="G62" s="77">
        <f>B36</f>
        <v>6</v>
      </c>
      <c r="H62" s="77">
        <f>B37</f>
        <v>6</v>
      </c>
      <c r="I62" s="77">
        <f>B38</f>
        <v>6</v>
      </c>
      <c r="J62" s="77">
        <f>B39</f>
        <v>6</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0.22387200000000002</v>
      </c>
      <c r="C63" s="77">
        <f t="shared" ref="C63:U63" si="16">$E55*(C62/100)</f>
        <v>0.22387200000000002</v>
      </c>
      <c r="D63" s="77">
        <f t="shared" si="16"/>
        <v>0.22387200000000002</v>
      </c>
      <c r="E63" s="77">
        <f t="shared" si="16"/>
        <v>0.22387200000000002</v>
      </c>
      <c r="F63" s="77">
        <f>$E55*(F62/100)</f>
        <v>0.22387200000000002</v>
      </c>
      <c r="G63" s="77">
        <f t="shared" si="16"/>
        <v>0.22387200000000002</v>
      </c>
      <c r="H63" s="77">
        <f t="shared" si="16"/>
        <v>0.22387200000000002</v>
      </c>
      <c r="I63" s="77">
        <f t="shared" si="16"/>
        <v>0.22387200000000002</v>
      </c>
      <c r="J63" s="77">
        <f t="shared" si="16"/>
        <v>0.22387200000000002</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-1.2000000000000011</v>
      </c>
      <c r="C64" s="77">
        <f t="shared" ref="C64:U64" si="17">(C59-C60)*C61</f>
        <v>2.4000000000000021</v>
      </c>
      <c r="D64" s="77">
        <f t="shared" si="17"/>
        <v>1.2000000000000011</v>
      </c>
      <c r="E64" s="77">
        <f t="shared" si="17"/>
        <v>1.2000000000000011</v>
      </c>
      <c r="F64" s="77">
        <f t="shared" si="17"/>
        <v>1.7999999999999989</v>
      </c>
      <c r="G64" s="77">
        <f t="shared" si="17"/>
        <v>0.6000000000000032</v>
      </c>
      <c r="H64" s="77">
        <f t="shared" si="17"/>
        <v>2.4000000000000021</v>
      </c>
      <c r="I64" s="77">
        <f t="shared" si="17"/>
        <v>2.4000000000000021</v>
      </c>
      <c r="J64" s="77">
        <f t="shared" si="17"/>
        <v>3</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1.4238720000000011</v>
      </c>
      <c r="C65" s="77">
        <f t="shared" ref="C65:U65" si="18">C63-C64</f>
        <v>-2.1761280000000021</v>
      </c>
      <c r="D65" s="77">
        <f t="shared" si="18"/>
        <v>-0.97612800000000099</v>
      </c>
      <c r="E65" s="77">
        <f t="shared" si="18"/>
        <v>-0.97612800000000099</v>
      </c>
      <c r="F65" s="77">
        <f t="shared" si="18"/>
        <v>-1.5761279999999989</v>
      </c>
      <c r="G65" s="77">
        <f t="shared" si="18"/>
        <v>-0.37612800000000318</v>
      </c>
      <c r="H65" s="77">
        <f t="shared" si="18"/>
        <v>-2.1761280000000021</v>
      </c>
      <c r="I65" s="77">
        <f t="shared" si="18"/>
        <v>-2.1761280000000021</v>
      </c>
      <c r="J65" s="77">
        <f t="shared" si="18"/>
        <v>-2.7761279999999999</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7" operator="equal">
      <formula>"DECREASE"</formula>
    </cfRule>
    <cfRule type="cellIs" dxfId="82" priority="38" operator="equal">
      <formula>"INCREASE"</formula>
    </cfRule>
  </conditionalFormatting>
  <conditionalFormatting sqref="B62:U66 B31:B50">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Aber Falls'!C1:D1</f>
        <v>PAN-019961</v>
      </c>
      <c r="D1" s="141"/>
      <c r="E1" s="93" t="s">
        <v>45</v>
      </c>
      <c r="F1" s="39">
        <f>'Field data and Aber Falls'!F1</f>
        <v>48</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Aber Falls'!C2:D2</f>
        <v>EPR/GP3792SK</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Aber Falls'!C3:D3</f>
        <v>ByProduct Recovery Ltd</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Aber Falls'!C4:D4</f>
        <v>Plas Bach, Cerrigceinwen, Bodorgan, LL62 5NS</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Aber Falls'!C5:D5</f>
        <v>Bryan Burn</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'Field data and Aber Falls'!C8</f>
        <v>SJC1</v>
      </c>
      <c r="D8" s="60" t="str">
        <f>'Field data and Aber Falls'!D8</f>
        <v>SJC2</v>
      </c>
      <c r="E8" s="60" t="str">
        <f>'Field data and Aber Falls'!E8</f>
        <v>SJC3</v>
      </c>
      <c r="F8" s="60" t="str">
        <f>'Field data and Aber Falls'!F8</f>
        <v>SJC4</v>
      </c>
      <c r="G8" s="60" t="str">
        <f>'Field data and Aber Falls'!G8</f>
        <v>SJC5</v>
      </c>
      <c r="H8" s="60" t="str">
        <f>'Field data and Aber Falls'!H8</f>
        <v>SJC6</v>
      </c>
      <c r="I8" s="60" t="str">
        <f>'Field data and Aber Falls'!I8</f>
        <v>SJC7</v>
      </c>
      <c r="J8" s="60" t="str">
        <f>'Field data and Aber Falls'!J8</f>
        <v>Bonolwyn A</v>
      </c>
      <c r="K8" s="60" t="str">
        <f>'Field data and Aber Falls'!K8</f>
        <v>Bodnolwyn B</v>
      </c>
      <c r="L8" s="60">
        <f>'Field data and Aber Falls'!L8</f>
        <v>0</v>
      </c>
      <c r="M8" s="60">
        <f>'Field data and Aber Falls'!M8</f>
        <v>0</v>
      </c>
      <c r="N8" s="60">
        <f>'Field data and Aber Falls'!N8</f>
        <v>0</v>
      </c>
      <c r="O8" s="60">
        <f>'Field data and Aber Falls'!O8</f>
        <v>0</v>
      </c>
      <c r="P8" s="60">
        <f>'Field data and Aber Falls'!P8</f>
        <v>0</v>
      </c>
      <c r="Q8" s="60">
        <f>'Field data and Aber Falls'!Q8</f>
        <v>0</v>
      </c>
      <c r="R8" s="60">
        <f>'Field data and Aber Falls'!R8</f>
        <v>0</v>
      </c>
      <c r="S8" s="60">
        <f>'Field data and Aber Falls'!S8</f>
        <v>0</v>
      </c>
      <c r="T8" s="60">
        <f>'Field data and Aber Falls'!T8</f>
        <v>0</v>
      </c>
      <c r="U8" s="60">
        <f>'Field data and Aber Falls'!U8</f>
        <v>0</v>
      </c>
      <c r="V8" s="60">
        <f>'Field data and Aber Falls'!V8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Aber Falls'!C9</f>
        <v>med</v>
      </c>
      <c r="D9" s="60" t="str">
        <f>'Field data and Aber Falls'!D9</f>
        <v>med</v>
      </c>
      <c r="E9" s="60" t="str">
        <f>'Field data and Aber Falls'!E9</f>
        <v>med</v>
      </c>
      <c r="F9" s="60" t="str">
        <f>'Field data and Aber Falls'!F9</f>
        <v>med</v>
      </c>
      <c r="G9" s="60" t="str">
        <f>'Field data and Aber Falls'!G9</f>
        <v>med</v>
      </c>
      <c r="H9" s="60" t="str">
        <f>'Field data and Aber Falls'!H9</f>
        <v>med</v>
      </c>
      <c r="I9" s="60" t="str">
        <f>'Field data and Aber Falls'!I9</f>
        <v>med</v>
      </c>
      <c r="J9" s="60" t="str">
        <f>'Field data and Aber Falls'!J9</f>
        <v>med</v>
      </c>
      <c r="K9" s="60" t="str">
        <f>'Field data and Aber Falls'!K9</f>
        <v>med</v>
      </c>
      <c r="L9" s="60">
        <f>'Field data and Aber Falls'!L9</f>
        <v>0</v>
      </c>
      <c r="M9" s="60">
        <f>'Field data and Aber Falls'!M9</f>
        <v>0</v>
      </c>
      <c r="N9" s="60">
        <f>'Field data and Aber Falls'!N9</f>
        <v>0</v>
      </c>
      <c r="O9" s="60">
        <f>'Field data and Aber Falls'!O9</f>
        <v>0</v>
      </c>
      <c r="P9" s="60">
        <f>'Field data and Aber Falls'!P9</f>
        <v>0</v>
      </c>
      <c r="Q9" s="60">
        <f>'Field data and Aber Falls'!Q9</f>
        <v>0</v>
      </c>
      <c r="R9" s="60">
        <f>'Field data and Aber Falls'!R9</f>
        <v>0</v>
      </c>
      <c r="S9" s="60">
        <f>'Field data and Aber Falls'!S9</f>
        <v>0</v>
      </c>
      <c r="T9" s="60">
        <f>'Field data and Aber Falls'!T9</f>
        <v>0</v>
      </c>
      <c r="U9" s="60">
        <f>'Field data and Aber Falls'!U9</f>
        <v>0</v>
      </c>
      <c r="V9" s="60">
        <f>'Field data and Aber Falls'!V9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Aber Falls'!C10</f>
        <v>6.4</v>
      </c>
      <c r="D10" s="60">
        <f>'Field data and Aber Falls'!D10</f>
        <v>5.8</v>
      </c>
      <c r="E10" s="60">
        <f>'Field data and Aber Falls'!E10</f>
        <v>6</v>
      </c>
      <c r="F10" s="60">
        <f>'Field data and Aber Falls'!F10</f>
        <v>6</v>
      </c>
      <c r="G10" s="60">
        <f>'Field data and Aber Falls'!G10</f>
        <v>5.9</v>
      </c>
      <c r="H10" s="60">
        <f>'Field data and Aber Falls'!H10</f>
        <v>6.1</v>
      </c>
      <c r="I10" s="60">
        <f>'Field data and Aber Falls'!I10</f>
        <v>5.8</v>
      </c>
      <c r="J10" s="60">
        <f>'Field data and Aber Falls'!J10</f>
        <v>5.8</v>
      </c>
      <c r="K10" s="60">
        <f>'Field data and Aber Falls'!K10</f>
        <v>5.7</v>
      </c>
      <c r="L10" s="60">
        <f>'Field data and Aber Falls'!L10</f>
        <v>0</v>
      </c>
      <c r="M10" s="60">
        <f>'Field data and Aber Falls'!M10</f>
        <v>0</v>
      </c>
      <c r="N10" s="60">
        <f>'Field data and Aber Falls'!N10</f>
        <v>0</v>
      </c>
      <c r="O10" s="60">
        <f>'Field data and Aber Falls'!O10</f>
        <v>0</v>
      </c>
      <c r="P10" s="60">
        <f>'Field data and Aber Falls'!P10</f>
        <v>0</v>
      </c>
      <c r="Q10" s="60">
        <f>'Field data and Aber Falls'!Q10</f>
        <v>0</v>
      </c>
      <c r="R10" s="60">
        <f>'Field data and Aber Falls'!R10</f>
        <v>0</v>
      </c>
      <c r="S10" s="60">
        <f>'Field data and Aber Falls'!S10</f>
        <v>0</v>
      </c>
      <c r="T10" s="60">
        <f>'Field data and Aber Falls'!T10</f>
        <v>0</v>
      </c>
      <c r="U10" s="60">
        <f>'Field data and Aber Falls'!U10</f>
        <v>0</v>
      </c>
      <c r="V10" s="60">
        <f>'Field data and Aber Falls'!V10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Aber Falls'!C11</f>
        <v>2</v>
      </c>
      <c r="D11" s="60">
        <f>'Field data and Aber Falls'!D11</f>
        <v>2</v>
      </c>
      <c r="E11" s="60">
        <f>'Field data and Aber Falls'!E11</f>
        <v>3</v>
      </c>
      <c r="F11" s="60">
        <f>'Field data and Aber Falls'!F11</f>
        <v>1</v>
      </c>
      <c r="G11" s="60">
        <f>'Field data and Aber Falls'!G11</f>
        <v>0</v>
      </c>
      <c r="H11" s="60">
        <f>'Field data and Aber Falls'!H11</f>
        <v>3</v>
      </c>
      <c r="I11" s="60">
        <f>'Field data and Aber Falls'!I11</f>
        <v>2</v>
      </c>
      <c r="J11" s="60">
        <f>'Field data and Aber Falls'!J11</f>
        <v>2</v>
      </c>
      <c r="K11" s="60">
        <f>'Field data and Aber Falls'!K11</f>
        <v>2</v>
      </c>
      <c r="L11" s="60">
        <f>'Field data and Aber Falls'!L11</f>
        <v>0</v>
      </c>
      <c r="M11" s="60">
        <f>'Field data and Aber Falls'!M11</f>
        <v>0</v>
      </c>
      <c r="N11" s="60">
        <f>'Field data and Aber Falls'!N11</f>
        <v>0</v>
      </c>
      <c r="O11" s="60">
        <f>'Field data and Aber Falls'!O11</f>
        <v>0</v>
      </c>
      <c r="P11" s="60">
        <f>'Field data and Aber Falls'!P11</f>
        <v>0</v>
      </c>
      <c r="Q11" s="60">
        <f>'Field data and Aber Falls'!Q11</f>
        <v>0</v>
      </c>
      <c r="R11" s="60">
        <f>'Field data and Aber Falls'!R11</f>
        <v>0</v>
      </c>
      <c r="S11" s="60">
        <f>'Field data and Aber Falls'!S11</f>
        <v>0</v>
      </c>
      <c r="T11" s="60">
        <f>'Field data and Aber Falls'!T11</f>
        <v>0</v>
      </c>
      <c r="U11" s="60">
        <f>'Field data and Aber Falls'!U11</f>
        <v>0</v>
      </c>
      <c r="V11" s="60">
        <f>'Field data and Aber Falls'!V11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Aber Falls'!C12</f>
        <v>3</v>
      </c>
      <c r="D12" s="60">
        <f>'Field data and Aber Falls'!D12</f>
        <v>4</v>
      </c>
      <c r="E12" s="60">
        <f>'Field data and Aber Falls'!E12</f>
        <v>4</v>
      </c>
      <c r="F12" s="60">
        <f>'Field data and Aber Falls'!F12</f>
        <v>1</v>
      </c>
      <c r="G12" s="60">
        <f>'Field data and Aber Falls'!G12</f>
        <v>1</v>
      </c>
      <c r="H12" s="60">
        <f>'Field data and Aber Falls'!H12</f>
        <v>2</v>
      </c>
      <c r="I12" s="60">
        <f>'Field data and Aber Falls'!I12</f>
        <v>1</v>
      </c>
      <c r="J12" s="60">
        <f>'Field data and Aber Falls'!J12</f>
        <v>2</v>
      </c>
      <c r="K12" s="60">
        <f>'Field data and Aber Falls'!K12</f>
        <v>2</v>
      </c>
      <c r="L12" s="60">
        <f>'Field data and Aber Falls'!L12</f>
        <v>0</v>
      </c>
      <c r="M12" s="60">
        <f>'Field data and Aber Falls'!M12</f>
        <v>0</v>
      </c>
      <c r="N12" s="60">
        <f>'Field data and Aber Falls'!N12</f>
        <v>0</v>
      </c>
      <c r="O12" s="60">
        <f>'Field data and Aber Falls'!O12</f>
        <v>0</v>
      </c>
      <c r="P12" s="60">
        <f>'Field data and Aber Falls'!P12</f>
        <v>0</v>
      </c>
      <c r="Q12" s="60">
        <f>'Field data and Aber Falls'!Q12</f>
        <v>0</v>
      </c>
      <c r="R12" s="60">
        <f>'Field data and Aber Falls'!R12</f>
        <v>0</v>
      </c>
      <c r="S12" s="60">
        <f>'Field data and Aber Falls'!S12</f>
        <v>0</v>
      </c>
      <c r="T12" s="60">
        <f>'Field data and Aber Falls'!T12</f>
        <v>0</v>
      </c>
      <c r="U12" s="60">
        <f>'Field data and Aber Falls'!U12</f>
        <v>0</v>
      </c>
      <c r="V12" s="60">
        <f>'Field data and Aber Falls'!V12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Aber Falls'!C13</f>
        <v>4</v>
      </c>
      <c r="D13" s="60">
        <f>'Field data and Aber Falls'!D13</f>
        <v>3</v>
      </c>
      <c r="E13" s="60">
        <f>'Field data and Aber Falls'!E13</f>
        <v>3</v>
      </c>
      <c r="F13" s="60">
        <f>'Field data and Aber Falls'!F13</f>
        <v>3</v>
      </c>
      <c r="G13" s="60">
        <f>'Field data and Aber Falls'!G13</f>
        <v>3</v>
      </c>
      <c r="H13" s="60">
        <f>'Field data and Aber Falls'!H13</f>
        <v>3</v>
      </c>
      <c r="I13" s="60">
        <f>'Field data and Aber Falls'!I13</f>
        <v>3</v>
      </c>
      <c r="J13" s="60">
        <f>'Field data and Aber Falls'!J13</f>
        <v>3</v>
      </c>
      <c r="K13" s="60">
        <f>'Field data and Aber Falls'!K13</f>
        <v>3</v>
      </c>
      <c r="L13" s="60">
        <f>'Field data and Aber Falls'!L13</f>
        <v>0</v>
      </c>
      <c r="M13" s="60">
        <f>'Field data and Aber Falls'!M13</f>
        <v>0</v>
      </c>
      <c r="N13" s="60">
        <f>'Field data and Aber Falls'!N13</f>
        <v>0</v>
      </c>
      <c r="O13" s="60">
        <f>'Field data and Aber Falls'!O13</f>
        <v>0</v>
      </c>
      <c r="P13" s="60">
        <f>'Field data and Aber Falls'!P13</f>
        <v>0</v>
      </c>
      <c r="Q13" s="60">
        <f>'Field data and Aber Falls'!Q13</f>
        <v>0</v>
      </c>
      <c r="R13" s="60">
        <f>'Field data and Aber Falls'!R13</f>
        <v>0</v>
      </c>
      <c r="S13" s="60">
        <f>'Field data and Aber Falls'!S13</f>
        <v>0</v>
      </c>
      <c r="T13" s="60">
        <f>'Field data and Aber Falls'!T13</f>
        <v>0</v>
      </c>
      <c r="U13" s="60">
        <f>'Field data and Aber Falls'!U13</f>
        <v>0</v>
      </c>
      <c r="V13" s="60">
        <f>'Field data and Aber Falls'!V13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Aber Falls'!C14</f>
        <v xml:space="preserve">Grass Silage (30% DM) </v>
      </c>
      <c r="D14" s="102" t="str">
        <f>'Field data and Aber Falls'!D14</f>
        <v xml:space="preserve">Grass Silage (30% DM) </v>
      </c>
      <c r="E14" s="102" t="str">
        <f>'Field data and Aber Falls'!E14</f>
        <v xml:space="preserve">Grass Silage (30% DM) </v>
      </c>
      <c r="F14" s="102" t="str">
        <f>'Field data and Aber Falls'!F14</f>
        <v xml:space="preserve">Grass Silage (30% DM) </v>
      </c>
      <c r="G14" s="102" t="str">
        <f>'Field data and Aber Falls'!G14</f>
        <v xml:space="preserve">Grass Silage (30% DM) </v>
      </c>
      <c r="H14" s="102" t="str">
        <f>'Field data and Aber Falls'!H14</f>
        <v xml:space="preserve">Grass Silage (30% DM) </v>
      </c>
      <c r="I14" s="102" t="str">
        <f>'Field data and Aber Falls'!I14</f>
        <v xml:space="preserve">Grass Silage (30% DM) </v>
      </c>
      <c r="J14" s="102" t="str">
        <f>'Field data and Aber Falls'!J14</f>
        <v xml:space="preserve">Grass Silage (30% DM) </v>
      </c>
      <c r="K14" s="102" t="str">
        <f>'Field data and Aber Falls'!K14</f>
        <v xml:space="preserve">Grass Silage (30% DM) </v>
      </c>
      <c r="L14" s="102">
        <f>'Field data and Aber Falls'!L14</f>
        <v>0</v>
      </c>
      <c r="M14" s="102">
        <f>'Field data and Aber Falls'!M14</f>
        <v>0</v>
      </c>
      <c r="N14" s="102">
        <f>'Field data and Aber Falls'!N14</f>
        <v>0</v>
      </c>
      <c r="O14" s="102">
        <f>'Field data and Aber Falls'!O14</f>
        <v>0</v>
      </c>
      <c r="P14" s="102">
        <f>'Field data and Aber Falls'!P14</f>
        <v>0</v>
      </c>
      <c r="Q14" s="102">
        <f>'Field data and Aber Falls'!Q14</f>
        <v>0</v>
      </c>
      <c r="R14" s="102">
        <f>'Field data and Aber Falls'!R14</f>
        <v>0</v>
      </c>
      <c r="S14" s="102">
        <f>'Field data and Aber Falls'!S14</f>
        <v>0</v>
      </c>
      <c r="T14" s="102">
        <f>'Field data and Aber Falls'!T14</f>
        <v>0</v>
      </c>
      <c r="U14" s="102">
        <f>'Field data and Aber Falls'!U14</f>
        <v>0</v>
      </c>
      <c r="V14" s="102">
        <f>'Field data and Aber Falls'!V14</f>
        <v>0</v>
      </c>
      <c r="AD14" s="30" t="s">
        <v>138</v>
      </c>
      <c r="AE14" s="30">
        <v>6</v>
      </c>
      <c r="AI14" s="53" t="s">
        <v>119</v>
      </c>
      <c r="AJ14" s="54">
        <v>0.8</v>
      </c>
      <c r="AK14" s="55">
        <v>1.7</v>
      </c>
      <c r="AL14" s="11">
        <v>12</v>
      </c>
      <c r="AM14" s="11">
        <v>6.7</v>
      </c>
      <c r="AN14" s="11" t="s">
        <v>135</v>
      </c>
    </row>
    <row r="15" spans="1:41" ht="13" x14ac:dyDescent="0.25">
      <c r="A15" s="130" t="s">
        <v>9</v>
      </c>
      <c r="B15" s="130"/>
      <c r="C15" s="60">
        <f>'Field data and Aber Falls'!C15</f>
        <v>47</v>
      </c>
      <c r="D15" s="60">
        <f>'Field data and Aber Falls'!D15</f>
        <v>47</v>
      </c>
      <c r="E15" s="60">
        <f>'Field data and Aber Falls'!E15</f>
        <v>47</v>
      </c>
      <c r="F15" s="60">
        <f>'Field data and Aber Falls'!F15</f>
        <v>47</v>
      </c>
      <c r="G15" s="60">
        <f>'Field data and Aber Falls'!G15</f>
        <v>47</v>
      </c>
      <c r="H15" s="60">
        <f>'Field data and Aber Falls'!H15</f>
        <v>47</v>
      </c>
      <c r="I15" s="60">
        <f>'Field data and Aber Falls'!I15</f>
        <v>47</v>
      </c>
      <c r="J15" s="60">
        <f>'Field data and Aber Falls'!J15</f>
        <v>47</v>
      </c>
      <c r="K15" s="60">
        <f>'Field data and Aber Falls'!K15</f>
        <v>47</v>
      </c>
      <c r="L15" s="60">
        <f>'Field data and Aber Falls'!L15</f>
        <v>0</v>
      </c>
      <c r="M15" s="60">
        <f>'Field data and Aber Falls'!M15</f>
        <v>0</v>
      </c>
      <c r="N15" s="60">
        <f>'Field data and Aber Falls'!N15</f>
        <v>0</v>
      </c>
      <c r="O15" s="60">
        <f>'Field data and Aber Falls'!O15</f>
        <v>0</v>
      </c>
      <c r="P15" s="60">
        <f>'Field data and Aber Falls'!P15</f>
        <v>0</v>
      </c>
      <c r="Q15" s="60">
        <f>'Field data and Aber Falls'!Q15</f>
        <v>0</v>
      </c>
      <c r="R15" s="60">
        <f>'Field data and Aber Falls'!R15</f>
        <v>0</v>
      </c>
      <c r="S15" s="60">
        <f>'Field data and Aber Falls'!S15</f>
        <v>0</v>
      </c>
      <c r="T15" s="60">
        <f>'Field data and Aber Falls'!T15</f>
        <v>0</v>
      </c>
      <c r="U15" s="60">
        <f>'Field data and Aber Falls'!U15</f>
        <v>0</v>
      </c>
      <c r="V15" s="60">
        <f>'Field data and Aber Falls'!V15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Aber Falls'!C16</f>
        <v>Medium/Clay</v>
      </c>
      <c r="D16" s="103" t="str">
        <f>'Field data and Aber Falls'!D16</f>
        <v>Medium/Clay</v>
      </c>
      <c r="E16" s="103" t="str">
        <f>'Field data and Aber Falls'!E16</f>
        <v>Medium/Clay</v>
      </c>
      <c r="F16" s="103" t="str">
        <f>'Field data and Aber Falls'!F16</f>
        <v>Medium/Clay</v>
      </c>
      <c r="G16" s="103" t="str">
        <f>'Field data and Aber Falls'!G16</f>
        <v>Medium/Clay</v>
      </c>
      <c r="H16" s="103" t="str">
        <f>'Field data and Aber Falls'!H16</f>
        <v>Medium/Clay</v>
      </c>
      <c r="I16" s="103" t="str">
        <f>'Field data and Aber Falls'!I16</f>
        <v>Medium/Clay</v>
      </c>
      <c r="J16" s="103" t="str">
        <f>'Field data and Aber Falls'!J16</f>
        <v>Medium/Clay</v>
      </c>
      <c r="K16" s="103" t="str">
        <f>'Field data and Aber Falls'!K16</f>
        <v>Medium/Clay</v>
      </c>
      <c r="L16" s="103">
        <f>'Field data and Aber Falls'!L16</f>
        <v>0</v>
      </c>
      <c r="M16" s="103">
        <f>'Field data and Aber Falls'!M16</f>
        <v>0</v>
      </c>
      <c r="N16" s="103">
        <f>'Field data and Aber Falls'!N16</f>
        <v>0</v>
      </c>
      <c r="O16" s="103">
        <f>'Field data and Aber Falls'!O16</f>
        <v>0</v>
      </c>
      <c r="P16" s="103">
        <f>'Field data and Aber Falls'!P16</f>
        <v>0</v>
      </c>
      <c r="Q16" s="103">
        <f>'Field data and Aber Falls'!Q16</f>
        <v>0</v>
      </c>
      <c r="R16" s="103">
        <f>'Field data and Aber Falls'!R16</f>
        <v>0</v>
      </c>
      <c r="S16" s="103">
        <f>'Field data and Aber Falls'!S16</f>
        <v>0</v>
      </c>
      <c r="T16" s="103">
        <f>'Field data and Aber Falls'!T16</f>
        <v>0</v>
      </c>
      <c r="U16" s="103">
        <f>'Field data and Aber Falls'!U16</f>
        <v>0</v>
      </c>
      <c r="V16" s="103">
        <f>'Field data and Aber Falls'!V16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98.7</v>
      </c>
      <c r="D17" s="28">
        <f t="shared" ref="D17:V17" si="0">(VLOOKUP(D$14,$AI2:$AK26,2,FALSE))*D$15</f>
        <v>98.7</v>
      </c>
      <c r="E17" s="28">
        <f t="shared" si="0"/>
        <v>98.7</v>
      </c>
      <c r="F17" s="28">
        <f t="shared" si="0"/>
        <v>98.7</v>
      </c>
      <c r="G17" s="28">
        <f t="shared" si="0"/>
        <v>98.7</v>
      </c>
      <c r="H17" s="28">
        <f t="shared" si="0"/>
        <v>98.7</v>
      </c>
      <c r="I17" s="28">
        <f t="shared" si="0"/>
        <v>98.7</v>
      </c>
      <c r="J17" s="28">
        <f t="shared" si="0"/>
        <v>98.7</v>
      </c>
      <c r="K17" s="28">
        <f t="shared" si="0"/>
        <v>98.7</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-98.7</v>
      </c>
      <c r="D19" s="16">
        <f t="shared" ref="D19:V19" si="1">D18-D17</f>
        <v>-98.7</v>
      </c>
      <c r="E19" s="16">
        <f t="shared" si="1"/>
        <v>-98.7</v>
      </c>
      <c r="F19" s="16">
        <f t="shared" si="1"/>
        <v>-98.7</v>
      </c>
      <c r="G19" s="16">
        <f t="shared" si="1"/>
        <v>-98.7</v>
      </c>
      <c r="H19" s="16">
        <f t="shared" si="1"/>
        <v>-98.7</v>
      </c>
      <c r="I19" s="16">
        <f t="shared" si="1"/>
        <v>-98.7</v>
      </c>
      <c r="J19" s="16">
        <f t="shared" si="1"/>
        <v>-98.7</v>
      </c>
      <c r="K19" s="16">
        <f t="shared" si="1"/>
        <v>-98.7</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338.40000000000003</v>
      </c>
      <c r="D21" s="28">
        <f t="shared" ref="D21:V21" si="2">(VLOOKUP(D$14,$AI2:$AK26,3,FALSE))*D$15</f>
        <v>338.40000000000003</v>
      </c>
      <c r="E21" s="28">
        <f t="shared" si="2"/>
        <v>338.40000000000003</v>
      </c>
      <c r="F21" s="28">
        <f t="shared" si="2"/>
        <v>338.40000000000003</v>
      </c>
      <c r="G21" s="28">
        <f t="shared" si="2"/>
        <v>338.40000000000003</v>
      </c>
      <c r="H21" s="28">
        <f t="shared" si="2"/>
        <v>338.40000000000003</v>
      </c>
      <c r="I21" s="28">
        <f t="shared" si="2"/>
        <v>338.40000000000003</v>
      </c>
      <c r="J21" s="28">
        <f t="shared" si="2"/>
        <v>338.40000000000003</v>
      </c>
      <c r="K21" s="28">
        <f t="shared" si="2"/>
        <v>338.40000000000003</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-338.40000000000003</v>
      </c>
      <c r="D23" s="16">
        <f t="shared" ref="D23:V23" si="3">D22-D21</f>
        <v>-338.40000000000003</v>
      </c>
      <c r="E23" s="16">
        <f t="shared" si="3"/>
        <v>-338.40000000000003</v>
      </c>
      <c r="F23" s="16">
        <f t="shared" si="3"/>
        <v>-338.40000000000003</v>
      </c>
      <c r="G23" s="16">
        <f t="shared" si="3"/>
        <v>-338.40000000000003</v>
      </c>
      <c r="H23" s="16">
        <f t="shared" si="3"/>
        <v>-338.40000000000003</v>
      </c>
      <c r="I23" s="16">
        <f t="shared" si="3"/>
        <v>-338.40000000000003</v>
      </c>
      <c r="J23" s="16">
        <f t="shared" si="3"/>
        <v>-338.40000000000003</v>
      </c>
      <c r="K23" s="16">
        <f t="shared" si="3"/>
        <v>-338.40000000000003</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SJC1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SJC2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SJC3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SJC4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SJC5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SJC6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SJC7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Bonolwyn A</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Bodnolwyn B</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SJC1</v>
      </c>
      <c r="C57" s="8" t="str">
        <f t="shared" ref="C57:U57" si="13">D8</f>
        <v>SJC2</v>
      </c>
      <c r="D57" s="8" t="str">
        <f t="shared" si="13"/>
        <v>SJC3</v>
      </c>
      <c r="E57" s="8" t="str">
        <f t="shared" si="13"/>
        <v>SJC4</v>
      </c>
      <c r="F57" s="8" t="str">
        <f t="shared" si="13"/>
        <v>SJC5</v>
      </c>
      <c r="G57" s="8" t="str">
        <f t="shared" si="13"/>
        <v>SJC6</v>
      </c>
      <c r="H57" s="8" t="str">
        <f t="shared" si="13"/>
        <v>SJC7</v>
      </c>
      <c r="I57" s="8" t="str">
        <f t="shared" si="13"/>
        <v>Bonolwyn A</v>
      </c>
      <c r="J57" s="8" t="str">
        <f t="shared" si="13"/>
        <v>Bodnolwyn B</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"&amp;(VLOOKUP(C14,Table2456[],6,FALSE))</f>
        <v>Medium/Clay I Grass</v>
      </c>
      <c r="C58" s="13" t="str">
        <f>D16&amp;" I "&amp;(VLOOKUP(D14,Table2456[],6,FALSE))</f>
        <v>Medium/Clay I Grass</v>
      </c>
      <c r="D58" s="13" t="str">
        <f>E16&amp;" I "&amp;(VLOOKUP(E14,Table2456[],6,FALSE))</f>
        <v>Medium/Clay I Grass</v>
      </c>
      <c r="E58" s="13" t="str">
        <f>F16&amp;" I "&amp;(VLOOKUP(F14,Table2456[],6,FALSE))</f>
        <v>Medium/Clay I Grass</v>
      </c>
      <c r="F58" s="13" t="str">
        <f>G16&amp;" I "&amp;(VLOOKUP(G14,Table2456[],6,FALSE))</f>
        <v>Medium/Clay I Grass</v>
      </c>
      <c r="G58" s="13" t="str">
        <f>H16&amp;" I "&amp;(VLOOKUP(H14,Table2456[],6,FALSE))</f>
        <v>Medium/Clay I Grass</v>
      </c>
      <c r="H58" s="13" t="str">
        <f>I16&amp;" I "&amp;(VLOOKUP(I14,Table2456[],6,FALSE))</f>
        <v>Medium/Clay I Grass</v>
      </c>
      <c r="I58" s="13" t="str">
        <f>J16&amp;" I "&amp;(VLOOKUP(J14,Table2456[],6,FALSE))</f>
        <v>Medium/Clay I Grass</v>
      </c>
      <c r="J58" s="13" t="str">
        <f>K16&amp;" I "&amp;(VLOOKUP(K14,Table2456[],6,FALSE))</f>
        <v>Medium/Clay I Grass</v>
      </c>
      <c r="K58" s="13" t="e">
        <f>L16&amp;" I "&amp;(VLOOKUP(L14,Table2456[],6,FALSE))</f>
        <v>#N/A</v>
      </c>
      <c r="L58" s="13" t="e">
        <f>M16&amp;" I "&amp;(VLOOKUP(M14,Table2456[],6,FALSE))</f>
        <v>#N/A</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1" t="s">
        <v>132</v>
      </c>
      <c r="B59" s="76">
        <f>VLOOKUP(C$14,Table2456[],5,FALSE)</f>
        <v>6.2</v>
      </c>
      <c r="C59" s="76">
        <f>VLOOKUP(D$14,Table2456[],5,FALSE)</f>
        <v>6.2</v>
      </c>
      <c r="D59" s="76">
        <f>VLOOKUP(E$14,Table2456[],5,FALSE)</f>
        <v>6.2</v>
      </c>
      <c r="E59" s="76">
        <f>VLOOKUP(F$14,Table2456[],5,FALSE)</f>
        <v>6.2</v>
      </c>
      <c r="F59" s="76">
        <f>VLOOKUP(G$14,Table2456[],5,FALSE)</f>
        <v>6.2</v>
      </c>
      <c r="G59" s="76">
        <f>VLOOKUP(H$14,Table2456[],5,FALSE)</f>
        <v>6.2</v>
      </c>
      <c r="H59" s="76">
        <f>VLOOKUP(I$14,Table2456[],5,FALSE)</f>
        <v>6.2</v>
      </c>
      <c r="I59" s="76">
        <f>VLOOKUP(J$14,Table2456[],5,FALSE)</f>
        <v>6.2</v>
      </c>
      <c r="J59" s="76">
        <f>VLOOKUP(K$14,Table2456[],5,FALSE)</f>
        <v>6.2</v>
      </c>
      <c r="K59" s="76" t="e">
        <f>VLOOKUP(L$14,Table2456[],5,FALSE)</f>
        <v>#N/A</v>
      </c>
      <c r="L59" s="76" t="e">
        <f>VLOOKUP(M$14,Table2456[],5,FALSE)</f>
        <v>#N/A</v>
      </c>
      <c r="M59" s="76" t="e">
        <f>VLOOKUP(N$14,Table2456[],5,FALSE)</f>
        <v>#N/A</v>
      </c>
      <c r="N59" s="76" t="e">
        <f>VLOOKUP(O$14,Table2456[],5,FALSE)</f>
        <v>#N/A</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ht="13" x14ac:dyDescent="0.3">
      <c r="A60" s="111" t="s">
        <v>4</v>
      </c>
      <c r="B60" s="76">
        <f>C10</f>
        <v>6.4</v>
      </c>
      <c r="C60" s="76">
        <f t="shared" ref="C60:U60" si="14">D10</f>
        <v>5.8</v>
      </c>
      <c r="D60" s="76">
        <f t="shared" si="14"/>
        <v>6</v>
      </c>
      <c r="E60" s="76">
        <f t="shared" si="14"/>
        <v>6</v>
      </c>
      <c r="F60" s="76">
        <f t="shared" si="14"/>
        <v>5.9</v>
      </c>
      <c r="G60" s="76">
        <f t="shared" si="14"/>
        <v>6.1</v>
      </c>
      <c r="H60" s="76">
        <f t="shared" si="14"/>
        <v>5.8</v>
      </c>
      <c r="I60" s="76">
        <f t="shared" si="14"/>
        <v>5.8</v>
      </c>
      <c r="J60" s="76">
        <f t="shared" si="14"/>
        <v>5.7</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-1.2000000000000011</v>
      </c>
      <c r="C64" s="77">
        <f t="shared" ref="C64:U64" si="17">(C59-C60)*C61</f>
        <v>2.4000000000000021</v>
      </c>
      <c r="D64" s="77">
        <f t="shared" si="17"/>
        <v>1.2000000000000011</v>
      </c>
      <c r="E64" s="77">
        <f t="shared" si="17"/>
        <v>1.2000000000000011</v>
      </c>
      <c r="F64" s="77">
        <f t="shared" si="17"/>
        <v>1.7999999999999989</v>
      </c>
      <c r="G64" s="77">
        <f t="shared" si="17"/>
        <v>0.6000000000000032</v>
      </c>
      <c r="H64" s="77">
        <f t="shared" si="17"/>
        <v>2.4000000000000021</v>
      </c>
      <c r="I64" s="77">
        <f t="shared" si="17"/>
        <v>2.4000000000000021</v>
      </c>
      <c r="J64" s="77">
        <f t="shared" si="17"/>
        <v>3</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1.2000000000000011</v>
      </c>
      <c r="C65" s="77">
        <f t="shared" ref="C65:U65" si="18">C63-C64</f>
        <v>-2.4000000000000021</v>
      </c>
      <c r="D65" s="77">
        <f t="shared" si="18"/>
        <v>-1.2000000000000011</v>
      </c>
      <c r="E65" s="77">
        <f t="shared" si="18"/>
        <v>-1.2000000000000011</v>
      </c>
      <c r="F65" s="77">
        <f t="shared" si="18"/>
        <v>-1.7999999999999989</v>
      </c>
      <c r="G65" s="77">
        <f t="shared" si="18"/>
        <v>-0.6000000000000032</v>
      </c>
      <c r="H65" s="77">
        <f t="shared" si="18"/>
        <v>-2.4000000000000021</v>
      </c>
      <c r="I65" s="77">
        <f t="shared" si="18"/>
        <v>-2.4000000000000021</v>
      </c>
      <c r="J65" s="77">
        <f t="shared" si="18"/>
        <v>-3</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4" t="s">
        <v>84</v>
      </c>
      <c r="B1" s="38" t="str">
        <f>'Field data and Aber Falls'!B29</f>
        <v>Application Rate</v>
      </c>
      <c r="C1" s="38" t="str">
        <f>'Field data and Aber Falls'!C29</f>
        <v>Nitrogen Addition</v>
      </c>
      <c r="D1" s="38" t="str">
        <f>'Field data and Aber Falls'!D29</f>
        <v>Phosphate Addition</v>
      </c>
      <c r="E1" s="38" t="str">
        <f>'Field data and Aber Falls'!E29</f>
        <v>Potash  Addition</v>
      </c>
      <c r="F1" s="38" t="str">
        <f>'Field data and Aber Falls'!F29</f>
        <v>Mg Oxide Addition</v>
      </c>
      <c r="G1" s="38" t="str">
        <f>'Field data and Aber Falls'!G29</f>
        <v>Copper Addition</v>
      </c>
      <c r="H1" s="38" t="str">
        <f>'Field data and Aber Falls'!H29</f>
        <v>Zinc Addition</v>
      </c>
      <c r="I1" s="38" t="str">
        <f>'Field data and Aber Falls'!I29</f>
        <v>Lead Addition</v>
      </c>
      <c r="J1" s="38" t="str">
        <f>'Field data and Aber Falls'!J29</f>
        <v>Cadmium Addition</v>
      </c>
      <c r="K1" s="38" t="str">
        <f>'Field data and Aber Falls'!K29</f>
        <v>Mercury Addition</v>
      </c>
      <c r="L1" s="38" t="str">
        <f>'Field data and Aber Falls'!L29</f>
        <v>Nickel Addition</v>
      </c>
      <c r="M1" s="38" t="str">
        <f>'Field data and Aber Falls'!M29</f>
        <v>Chromium Addition</v>
      </c>
      <c r="N1" s="38" t="str">
        <f>'Field data and Aber Falls'!N29</f>
        <v>Aluminium Addition</v>
      </c>
      <c r="O1" s="38" t="str">
        <f>'Field data and Aber Falls'!O29</f>
        <v>Iron Addition</v>
      </c>
      <c r="P1" s="38" t="str">
        <f>'Field data and Aber Falls'!P29</f>
        <v xml:space="preserve">Sodium Addition                 </v>
      </c>
      <c r="Q1" s="38" t="str">
        <f>'Field data and Aber Falls'!Q29</f>
        <v>SO3  Addition                             kg/ha</v>
      </c>
      <c r="R1" s="38" t="str">
        <f>'Field data and Aber Falls'!R29</f>
        <v xml:space="preserve">Selenium Addition </v>
      </c>
      <c r="S1" s="38" t="str">
        <f>'Field data and Aber Falls'!S29</f>
        <v xml:space="preserve">Arsenic  Addition  </v>
      </c>
      <c r="T1" s="38" t="str">
        <f>'Field data and Aber Falls'!T29</f>
        <v xml:space="preserve">Molybdenum Addition  </v>
      </c>
      <c r="U1" s="38" t="str">
        <f>'Field data and Aber Falls'!U29</f>
        <v xml:space="preserve">Fluoride Addition </v>
      </c>
    </row>
    <row r="2" spans="1:21" ht="25" x14ac:dyDescent="0.25">
      <c r="A2" s="144"/>
      <c r="B2" s="38" t="str">
        <f>'Field data and Aber Falls'!B30</f>
        <v>tonnes/ha</v>
      </c>
      <c r="C2" s="38" t="str">
        <f>'Field data and Aber Falls'!C30</f>
        <v>kg/ha</v>
      </c>
      <c r="D2" s="38" t="str">
        <f>'Field data and Aber Falls'!D30</f>
        <v>P2O5 
kg/ha</v>
      </c>
      <c r="E2" s="38" t="str">
        <f>'Field data and Aber Falls'!E30</f>
        <v>K2O 
kg/ha</v>
      </c>
      <c r="F2" s="38" t="str">
        <f>'Field data and Aber Falls'!F30</f>
        <v>MgO 
kg/ha</v>
      </c>
      <c r="G2" s="38" t="str">
        <f>'Field data and Aber Falls'!G30</f>
        <v>kg/ha</v>
      </c>
      <c r="H2" s="38" t="str">
        <f>'Field data and Aber Falls'!H30</f>
        <v>kg/ha</v>
      </c>
      <c r="I2" s="38" t="str">
        <f>'Field data and Aber Falls'!I30</f>
        <v>kg/ha</v>
      </c>
      <c r="J2" s="38" t="str">
        <f>'Field data and Aber Falls'!J30</f>
        <v>kg/ha</v>
      </c>
      <c r="K2" s="38" t="str">
        <f>'Field data and Aber Falls'!K30</f>
        <v>kg/ha</v>
      </c>
      <c r="L2" s="38" t="str">
        <f>'Field data and Aber Falls'!L30</f>
        <v>kg/ha</v>
      </c>
      <c r="M2" s="38" t="str">
        <f>'Field data and Aber Falls'!M30</f>
        <v>kg/ha</v>
      </c>
      <c r="N2" s="38" t="str">
        <f>'Field data and Aber Falls'!N30</f>
        <v>kg/ha</v>
      </c>
      <c r="O2" s="38" t="str">
        <f>'Field data and Aber Falls'!O30</f>
        <v>kg/ha</v>
      </c>
      <c r="P2" s="38" t="str">
        <f>'Field data and Aber Falls'!P30</f>
        <v>kg/ha</v>
      </c>
      <c r="Q2" s="38" t="str">
        <f>'Field data and Aber Falls'!Q30</f>
        <v>kg/ha</v>
      </c>
      <c r="R2" s="38" t="str">
        <f>'Field data and Aber Falls'!R30</f>
        <v>kg/ha</v>
      </c>
      <c r="S2" s="38" t="str">
        <f>'Field data and Aber Falls'!S30</f>
        <v>kg/ha</v>
      </c>
      <c r="T2" s="38" t="str">
        <f>'Field data and Aber Falls'!T30</f>
        <v>kg/ha</v>
      </c>
      <c r="U2" s="38" t="str">
        <f>'Field data and Aber Falls'!U30</f>
        <v>kg/ha</v>
      </c>
    </row>
    <row r="3" spans="1:21" x14ac:dyDescent="0.25">
      <c r="A3" s="36">
        <v>1</v>
      </c>
      <c r="B3" s="33">
        <f>'Field data and Aber Falls'!B31</f>
        <v>35</v>
      </c>
      <c r="C3" s="33">
        <f>'Field data and Aber Falls'!C31</f>
        <v>150.5</v>
      </c>
      <c r="D3" s="33">
        <f>'Field data and Aber Falls'!D31</f>
        <v>65.030034999999998</v>
      </c>
      <c r="E3" s="33">
        <f>'Field data and Aber Falls'!E31</f>
        <v>39.517975000000007</v>
      </c>
      <c r="F3" s="33">
        <f>'Field data and Aber Falls'!F31</f>
        <v>7.9501099999999996</v>
      </c>
      <c r="G3" s="33">
        <f>'Field data and Aber Falls'!G31</f>
        <v>5.4249999999999998</v>
      </c>
      <c r="H3" s="33">
        <f>'Field data and Aber Falls'!H31</f>
        <v>4.1649999999999993E-2</v>
      </c>
      <c r="I3" s="33">
        <f>'Field data and Aber Falls'!I31</f>
        <v>1.7500000000000002E-2</v>
      </c>
      <c r="J3" s="33">
        <f>'Field data and Aber Falls'!J31</f>
        <v>3.5000000000000005E-4</v>
      </c>
      <c r="K3" s="33">
        <f>'Field data and Aber Falls'!K31</f>
        <v>1.75E-3</v>
      </c>
      <c r="L3" s="33">
        <f>'Field data and Aber Falls'!L31</f>
        <v>7.0000000000000001E-3</v>
      </c>
      <c r="M3" s="33">
        <f>'Field data and Aber Falls'!M31</f>
        <v>7.0000000000000001E-3</v>
      </c>
      <c r="N3" s="33">
        <f>'Field data and Aber Falls'!N31</f>
        <v>0</v>
      </c>
      <c r="O3" s="33">
        <f>'Field data and Aber Falls'!O31</f>
        <v>0</v>
      </c>
      <c r="P3" s="33">
        <f>'Field data and Aber Falls'!P31</f>
        <v>0.88549999999999995</v>
      </c>
      <c r="Q3" s="33">
        <f>'Field data and Aber Falls'!Q31</f>
        <v>28.875</v>
      </c>
      <c r="R3" s="33">
        <f>'Field data and Aber Falls'!R31</f>
        <v>7.000000000000001E-4</v>
      </c>
      <c r="S3" s="33">
        <f>'Field data and Aber Falls'!S31</f>
        <v>1.7500000000000002E-2</v>
      </c>
      <c r="T3" s="33">
        <f>'Field data and Aber Falls'!T31</f>
        <v>1.75E-3</v>
      </c>
      <c r="U3" s="33">
        <f>'Field data and Aber Falls'!U31</f>
        <v>0.35000000000000003</v>
      </c>
    </row>
    <row r="4" spans="1:21" x14ac:dyDescent="0.25">
      <c r="A4" s="36">
        <v>2</v>
      </c>
      <c r="B4" s="33">
        <f>Alaw!B31</f>
        <v>115</v>
      </c>
      <c r="C4" s="33">
        <f>Alaw!C31</f>
        <v>226.98930000000001</v>
      </c>
      <c r="D4" s="33">
        <f>Alaw!D31</f>
        <v>63.547757999999995</v>
      </c>
      <c r="E4" s="33">
        <f>Alaw!E31</f>
        <v>8.0218296000000009E-4</v>
      </c>
      <c r="F4" s="33">
        <f>Alaw!F31</f>
        <v>509.71811100000002</v>
      </c>
      <c r="G4" s="33">
        <f>Alaw!G31</f>
        <v>0.57325200000000009</v>
      </c>
      <c r="H4" s="33">
        <f>Alaw!H31</f>
        <v>12.782595000000002</v>
      </c>
      <c r="I4" s="33">
        <f>Alaw!I31</f>
        <v>0.14331300000000002</v>
      </c>
      <c r="J4" s="33">
        <f>Alaw!J31</f>
        <v>6.7033500000000003E-3</v>
      </c>
      <c r="K4" s="33">
        <f>Alaw!K31</f>
        <v>5.77875E-3</v>
      </c>
      <c r="L4" s="33">
        <f>Alaw!L31</f>
        <v>0.12250950000000002</v>
      </c>
      <c r="M4" s="33">
        <f>Alaw!M31</f>
        <v>9.9394499999999997E-2</v>
      </c>
      <c r="N4" s="33">
        <f>Alaw!N31</f>
        <v>4299.3900000000003</v>
      </c>
      <c r="O4" s="33">
        <f>Alaw!O31</f>
        <v>256.57650000000001</v>
      </c>
      <c r="P4" s="33">
        <f>Alaw!P31</f>
        <v>0</v>
      </c>
      <c r="Q4" s="33">
        <f>Alaw!Q31</f>
        <v>397.00012500000003</v>
      </c>
      <c r="R4" s="33">
        <f>Alaw!R31</f>
        <v>0</v>
      </c>
      <c r="S4" s="33">
        <f>Alaw!S31</f>
        <v>0.27275700000000003</v>
      </c>
      <c r="T4" s="33">
        <f>Alaw!T31</f>
        <v>0</v>
      </c>
      <c r="U4" s="33">
        <f>Alaw!U31</f>
        <v>0</v>
      </c>
    </row>
    <row r="5" spans="1:21" x14ac:dyDescent="0.25">
      <c r="A5" s="36">
        <v>3</v>
      </c>
      <c r="B5" s="33">
        <f>'Bryn Cowlyd'!B31</f>
        <v>250</v>
      </c>
      <c r="C5" s="33">
        <f>'Bryn Cowlyd'!C31</f>
        <v>47.16749999999999</v>
      </c>
      <c r="D5" s="33">
        <f>'Bryn Cowlyd'!D31</f>
        <v>4.5878420499999999</v>
      </c>
      <c r="E5" s="33">
        <f>'Bryn Cowlyd'!E31</f>
        <v>8.6750962499999997E-5</v>
      </c>
      <c r="F5" s="33">
        <f>'Bryn Cowlyd'!F31</f>
        <v>3.7181064500000001</v>
      </c>
      <c r="G5" s="33">
        <f>'Bryn Cowlyd'!G31</f>
        <v>6.4544999999999991E-2</v>
      </c>
      <c r="H5" s="33">
        <f>'Bryn Cowlyd'!H31</f>
        <v>1.1998749999999998</v>
      </c>
      <c r="I5" s="33">
        <f>'Bryn Cowlyd'!I31</f>
        <v>0.2192875</v>
      </c>
      <c r="J5" s="33">
        <f>'Bryn Cowlyd'!J31</f>
        <v>6.1234999999999987E-3</v>
      </c>
      <c r="K5" s="33">
        <f>'Bryn Cowlyd'!K31</f>
        <v>5.0477499999999993E-3</v>
      </c>
      <c r="L5" s="33">
        <f>'Bryn Cowlyd'!L31</f>
        <v>0.35747999999999996</v>
      </c>
      <c r="M5" s="33">
        <f>'Bryn Cowlyd'!M31</f>
        <v>8.0184749999999985E-2</v>
      </c>
      <c r="N5" s="33">
        <f>'Bryn Cowlyd'!N31</f>
        <v>22.342500000000001</v>
      </c>
      <c r="O5" s="33">
        <f>'Bryn Cowlyd'!O31</f>
        <v>3872.6999999999994</v>
      </c>
      <c r="P5" s="33">
        <f>'Bryn Cowlyd'!P31</f>
        <v>0</v>
      </c>
      <c r="Q5" s="33">
        <f>'Bryn Cowlyd'!Q31</f>
        <v>123.50437499999998</v>
      </c>
      <c r="R5" s="33">
        <f>'Bryn Cowlyd'!R31</f>
        <v>0</v>
      </c>
      <c r="S5" s="33">
        <f>'Bryn Cowlyd'!S31</f>
        <v>9.5162499999999983E-2</v>
      </c>
      <c r="T5" s="33">
        <f>'Bryn Cowlyd'!T31</f>
        <v>0</v>
      </c>
      <c r="U5" s="33">
        <f>'Bryn Cowlyd'!U31</f>
        <v>0</v>
      </c>
    </row>
    <row r="6" spans="1:21" x14ac:dyDescent="0.25">
      <c r="A6" s="36">
        <v>4</v>
      </c>
      <c r="B6" s="33">
        <f>Cefni!B31</f>
        <v>250</v>
      </c>
      <c r="C6" s="33">
        <f>Cefni!C31</f>
        <v>110.565</v>
      </c>
      <c r="D6" s="33">
        <f>Cefni!D31</f>
        <v>55.207372499999991</v>
      </c>
      <c r="E6" s="33">
        <f>Cefni!E31</f>
        <v>3.1201064999999999E-4</v>
      </c>
      <c r="F6" s="33">
        <f>Cefni!F31</f>
        <v>13.960277099999999</v>
      </c>
      <c r="G6" s="33">
        <f>Cefni!G31</f>
        <v>0.2646</v>
      </c>
      <c r="H6" s="33">
        <f>Cefni!H31</f>
        <v>0.84955500000000006</v>
      </c>
      <c r="I6" s="33">
        <f>Cefni!I31</f>
        <v>5.8590000000000003E-2</v>
      </c>
      <c r="J6" s="33">
        <f>Cefni!J31</f>
        <v>3.8744999999999999E-3</v>
      </c>
      <c r="K6" s="33">
        <f>Cefni!K31</f>
        <v>5.1029999999999999E-3</v>
      </c>
      <c r="L6" s="33">
        <f>Cefni!L31</f>
        <v>0.20601</v>
      </c>
      <c r="M6" s="33">
        <f>Cefni!M31</f>
        <v>6.2464499999999999E-2</v>
      </c>
      <c r="N6" s="33">
        <f>Cefni!N31</f>
        <v>1634.85</v>
      </c>
      <c r="O6" s="33">
        <f>Cefni!O31</f>
        <v>83.349000000000004</v>
      </c>
      <c r="P6" s="33">
        <f>Cefni!P31</f>
        <v>0</v>
      </c>
      <c r="Q6" s="33">
        <f>Cefni!Q31</f>
        <v>309.48750000000001</v>
      </c>
      <c r="R6" s="33">
        <f>Cefni!R31</f>
        <v>0</v>
      </c>
      <c r="S6" s="33">
        <f>Cefni!S31</f>
        <v>0.14552999999999999</v>
      </c>
      <c r="T6" s="33">
        <f>Cefni!T31</f>
        <v>0</v>
      </c>
      <c r="U6" s="33">
        <f>Cefni!U31</f>
        <v>0</v>
      </c>
    </row>
    <row r="7" spans="1:21" x14ac:dyDescent="0.25">
      <c r="A7" s="36">
        <v>5</v>
      </c>
      <c r="B7" s="33">
        <f>Cwellyn!B31</f>
        <v>185</v>
      </c>
      <c r="C7" s="33">
        <f>Cwellyn!C31</f>
        <v>83.516400000000004</v>
      </c>
      <c r="D7" s="33">
        <f>Cwellyn!D31</f>
        <v>63.955853829999988</v>
      </c>
      <c r="E7" s="33">
        <f>Cwellyn!E31</f>
        <v>1.6027415800000001E-4</v>
      </c>
      <c r="F7" s="33">
        <f>Cwellyn!F31</f>
        <v>5.7439486719999993</v>
      </c>
      <c r="G7" s="33">
        <f>Cwellyn!G31</f>
        <v>0.54053669999999998</v>
      </c>
      <c r="H7" s="33">
        <f>Cwellyn!H31</f>
        <v>1.7940559999999999</v>
      </c>
      <c r="I7" s="33">
        <f>Cwellyn!I31</f>
        <v>4.7944600000000004E-2</v>
      </c>
      <c r="J7" s="33">
        <f>Cwellyn!J31</f>
        <v>4.2531499999999998E-3</v>
      </c>
      <c r="K7" s="33">
        <f>Cwellyn!K31</f>
        <v>3.7118400000000001E-3</v>
      </c>
      <c r="L7" s="33">
        <f>Cwellyn!L31</f>
        <v>0.14074059999999999</v>
      </c>
      <c r="M7" s="33">
        <f>Cwellyn!M31</f>
        <v>3.3251899999999994E-2</v>
      </c>
      <c r="N7" s="33">
        <f>Cwellyn!N31</f>
        <v>1430.605</v>
      </c>
      <c r="O7" s="33">
        <f>Cwellyn!O31</f>
        <v>54.053669999999997</v>
      </c>
      <c r="P7" s="33">
        <f>Cwellyn!P31</f>
        <v>0</v>
      </c>
      <c r="Q7" s="33">
        <f>Cwellyn!Q31</f>
        <v>190.42512499999998</v>
      </c>
      <c r="R7" s="33">
        <f>Cwellyn!R31</f>
        <v>0</v>
      </c>
      <c r="S7" s="33">
        <f>Cwellyn!S31</f>
        <v>0.22967009999999999</v>
      </c>
      <c r="T7" s="33">
        <f>Cwellyn!T31</f>
        <v>0</v>
      </c>
      <c r="U7" s="33">
        <f>Cwellyn!U31</f>
        <v>0</v>
      </c>
    </row>
    <row r="8" spans="1:21" x14ac:dyDescent="0.25">
      <c r="A8" s="36">
        <v>6</v>
      </c>
      <c r="B8" s="33">
        <f>Dolbenmaen!B31</f>
        <v>250</v>
      </c>
      <c r="C8" s="33">
        <f>Dolbenmaen!C31</f>
        <v>86.362499999999997</v>
      </c>
      <c r="D8" s="33">
        <f>Dolbenmaen!D31</f>
        <v>60.110685249999996</v>
      </c>
      <c r="E8" s="33">
        <f>Dolbenmaen!E31</f>
        <v>3.1517377500000002E-4</v>
      </c>
      <c r="F8" s="33">
        <f>Dolbenmaen!F31</f>
        <v>3.4638106999999998</v>
      </c>
      <c r="G8" s="33">
        <f>Dolbenmaen!G31</f>
        <v>0.24181499999999997</v>
      </c>
      <c r="H8" s="33">
        <f>Dolbenmaen!H31</f>
        <v>4.9596749999999989</v>
      </c>
      <c r="I8" s="33">
        <f>Dolbenmaen!I31</f>
        <v>5.0995000000000006E-2</v>
      </c>
      <c r="J8" s="33">
        <f>Dolbenmaen!J31</f>
        <v>2.4674999999999999E-2</v>
      </c>
      <c r="K8" s="33">
        <f>Dolbenmaen!K31</f>
        <v>5.0172499999999991E-3</v>
      </c>
      <c r="L8" s="33">
        <f>Dolbenmaen!L31</f>
        <v>0.22043000000000001</v>
      </c>
      <c r="M8" s="33">
        <f>Dolbenmaen!M31</f>
        <v>3.5367499999999996E-2</v>
      </c>
      <c r="N8" s="33">
        <f>Dolbenmaen!N31</f>
        <v>1348.9</v>
      </c>
      <c r="O8" s="33">
        <f>Dolbenmaen!O31</f>
        <v>29.61</v>
      </c>
      <c r="P8" s="33">
        <f>Dolbenmaen!P31</f>
        <v>0</v>
      </c>
      <c r="Q8" s="33">
        <f>Dolbenmaen!Q31</f>
        <v>160.38749999999996</v>
      </c>
      <c r="R8" s="33">
        <f>Dolbenmaen!R31</f>
        <v>0</v>
      </c>
      <c r="S8" s="33">
        <f>Dolbenmaen!S31</f>
        <v>0.14722750000000001</v>
      </c>
      <c r="T8" s="33">
        <f>Dolbenmaen!T31</f>
        <v>0</v>
      </c>
      <c r="U8" s="33">
        <f>Dolbenmaen!U31</f>
        <v>0</v>
      </c>
    </row>
    <row r="9" spans="1:21" x14ac:dyDescent="0.25">
      <c r="A9" s="36">
        <v>7</v>
      </c>
      <c r="B9" s="33">
        <f>Mynydd!B31</f>
        <v>250</v>
      </c>
      <c r="C9" s="33">
        <f>Mynydd!C31</f>
        <v>125.31499999999998</v>
      </c>
      <c r="D9" s="33">
        <f>Mynydd!D31</f>
        <v>9.2194422000000014</v>
      </c>
      <c r="E9" s="33">
        <f>Mynydd!E31</f>
        <v>1.9630594750000001E-4</v>
      </c>
      <c r="F9" s="33">
        <f>Mynydd!F31</f>
        <v>17.382637799999998</v>
      </c>
      <c r="G9" s="33">
        <f>Mynydd!G31</f>
        <v>0.54538500000000001</v>
      </c>
      <c r="H9" s="33">
        <f>Mynydd!H31</f>
        <v>8.7367499999999989</v>
      </c>
      <c r="I9" s="33">
        <f>Mynydd!I31</f>
        <v>0.79601499999999992</v>
      </c>
      <c r="J9" s="33">
        <f>Mynydd!J31</f>
        <v>3.3534999999999995E-2</v>
      </c>
      <c r="K9" s="33">
        <f>Mynydd!K31</f>
        <v>5.1184999999999998E-3</v>
      </c>
      <c r="L9" s="33">
        <f>Mynydd!L31</f>
        <v>0.4394849999999999</v>
      </c>
      <c r="M9" s="33">
        <f>Mynydd!M31</f>
        <v>0.192385</v>
      </c>
      <c r="N9" s="33">
        <f>Mynydd!N31</f>
        <v>85.778999999999996</v>
      </c>
      <c r="O9" s="33">
        <f>Mynydd!O31</f>
        <v>7818.9499999999989</v>
      </c>
      <c r="P9" s="33">
        <f>Mynydd!P31</f>
        <v>0</v>
      </c>
      <c r="Q9" s="33">
        <f>Mynydd!Q31</f>
        <v>90.014999999999986</v>
      </c>
      <c r="R9" s="33">
        <f>Mynydd!R31</f>
        <v>0</v>
      </c>
      <c r="S9" s="33">
        <f>Mynydd!S31</f>
        <v>0.18179500000000001</v>
      </c>
      <c r="T9" s="33">
        <f>Mynydd!T31</f>
        <v>0</v>
      </c>
      <c r="U9" s="33">
        <f>Mynydd!U31</f>
        <v>0</v>
      </c>
    </row>
    <row r="10" spans="1:21" x14ac:dyDescent="0.25">
      <c r="A10" s="36">
        <v>8</v>
      </c>
      <c r="B10" s="33">
        <f>Llyn!B31</f>
        <v>250</v>
      </c>
      <c r="C10" s="33">
        <f>Llyn!C31</f>
        <v>68.454750000000004</v>
      </c>
      <c r="D10" s="33">
        <f>Llyn!D31</f>
        <v>24.273717749999996</v>
      </c>
      <c r="E10" s="33">
        <f>Llyn!E31</f>
        <v>1.8897412500000003E-4</v>
      </c>
      <c r="F10" s="33">
        <f>Llyn!F31</f>
        <v>4.2067605000000006</v>
      </c>
      <c r="G10" s="33">
        <f>Llyn!G31</f>
        <v>9.9449999999999997E-2</v>
      </c>
      <c r="H10" s="33">
        <f>Llyn!H31</f>
        <v>4.1564999999999994</v>
      </c>
      <c r="I10" s="33">
        <f>Llyn!I31</f>
        <v>0.47812499999999991</v>
      </c>
      <c r="J10" s="33">
        <f>Llyn!J31</f>
        <v>1.9635E-2</v>
      </c>
      <c r="K10" s="33">
        <f>Llyn!K31</f>
        <v>4.9725000000000004E-3</v>
      </c>
      <c r="L10" s="33">
        <f>Llyn!L31</f>
        <v>0.55844999999999989</v>
      </c>
      <c r="M10" s="33">
        <f>Llyn!M31</f>
        <v>8.4659999999999999E-2</v>
      </c>
      <c r="N10" s="33">
        <f>Llyn!N31</f>
        <v>762.50000000000011</v>
      </c>
      <c r="O10" s="33">
        <f>Llyn!O31</f>
        <v>5316.75</v>
      </c>
      <c r="P10" s="33">
        <f>Llyn!P31</f>
        <v>0</v>
      </c>
      <c r="Q10" s="33">
        <f>Llyn!Q31</f>
        <v>234.91874999999999</v>
      </c>
      <c r="R10" s="33">
        <f>Llyn!R31</f>
        <v>0</v>
      </c>
      <c r="S10" s="33">
        <f>Llyn!S31</f>
        <v>0.31109999999999999</v>
      </c>
      <c r="T10" s="33">
        <f>Llyn!T31</f>
        <v>0</v>
      </c>
      <c r="U10" s="33">
        <f>Llyn!U31</f>
        <v>0</v>
      </c>
    </row>
    <row r="11" spans="1:21" x14ac:dyDescent="0.25">
      <c r="A11" s="36">
        <v>9</v>
      </c>
      <c r="B11" s="33">
        <f>Heatrick!B31</f>
        <v>6</v>
      </c>
      <c r="C11" s="33">
        <f>Heatrick!C31</f>
        <v>2.5344000000000002</v>
      </c>
      <c r="D11" s="33">
        <f>Heatrick!D31</f>
        <v>0.9870727680000001</v>
      </c>
      <c r="E11" s="33">
        <f>Heatrick!E31</f>
        <v>4.6572768000000009</v>
      </c>
      <c r="F11" s="33">
        <f>Heatrick!F31</f>
        <v>48.246367488000004</v>
      </c>
      <c r="G11" s="33">
        <f>Heatrick!G31</f>
        <v>2.0444159999999999E-2</v>
      </c>
      <c r="H11" s="33">
        <f>Heatrick!H31</f>
        <v>0.19303680000000006</v>
      </c>
      <c r="I11" s="33">
        <f>Heatrick!I31</f>
        <v>8.4480000000000013E-2</v>
      </c>
      <c r="J11" s="33">
        <f>Heatrick!J31</f>
        <v>4.2240000000000008E-4</v>
      </c>
      <c r="K11" s="33">
        <f>Heatrick!K31</f>
        <v>5.0688000000000003E-4</v>
      </c>
      <c r="L11" s="33">
        <f>Heatrick!L31</f>
        <v>2.1246720000000004E-2</v>
      </c>
      <c r="M11" s="33">
        <f>Heatrick!M31</f>
        <v>2.7498240000000007E-2</v>
      </c>
      <c r="N11" s="33">
        <f>Heatrick!N31</f>
        <v>0</v>
      </c>
      <c r="O11" s="33">
        <f>Heatrick!O31</f>
        <v>0</v>
      </c>
      <c r="P11" s="33">
        <f>Heatrick!P31</f>
        <v>1.3854720000000003</v>
      </c>
      <c r="Q11" s="33">
        <f>Heatrick!Q31</f>
        <v>1702.1769600000002</v>
      </c>
      <c r="R11" s="33">
        <f>Heatrick!R31</f>
        <v>2.7033600000000006E-3</v>
      </c>
      <c r="S11" s="33">
        <f>Heatrick!S31</f>
        <v>6.8006400000000002E-3</v>
      </c>
      <c r="T11" s="33">
        <f>Heatrick!T31</f>
        <v>4.4352000000000011E-3</v>
      </c>
      <c r="U11" s="33">
        <f>Heatrick!U31</f>
        <v>0.41944320000000002</v>
      </c>
    </row>
    <row r="12" spans="1:21" x14ac:dyDescent="0.25">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5" x14ac:dyDescent="0.35">
      <c r="A13" s="80" t="s">
        <v>85</v>
      </c>
      <c r="B13" s="81">
        <f>SUM(B3:B12)</f>
        <v>1591</v>
      </c>
      <c r="C13" s="81">
        <f t="shared" ref="C13:U13" si="0">SUM(C3:C12)</f>
        <v>901.4048499999999</v>
      </c>
      <c r="D13" s="81">
        <f t="shared" si="0"/>
        <v>346.91977934800002</v>
      </c>
      <c r="E13" s="81">
        <f t="shared" si="0"/>
        <v>44.177313472578007</v>
      </c>
      <c r="F13" s="81">
        <f t="shared" si="0"/>
        <v>614.39012971</v>
      </c>
      <c r="G13" s="81">
        <f t="shared" si="0"/>
        <v>7.7750278599999989</v>
      </c>
      <c r="H13" s="81">
        <f t="shared" si="0"/>
        <v>34.713692800000004</v>
      </c>
      <c r="I13" s="81">
        <f t="shared" si="0"/>
        <v>1.8962501</v>
      </c>
      <c r="J13" s="81">
        <f t="shared" si="0"/>
        <v>9.9571899999999991E-2</v>
      </c>
      <c r="K13" s="81">
        <f t="shared" si="0"/>
        <v>3.700647E-2</v>
      </c>
      <c r="L13" s="81">
        <f t="shared" si="0"/>
        <v>2.0733518199999996</v>
      </c>
      <c r="M13" s="81">
        <f t="shared" si="0"/>
        <v>0.62220638999999989</v>
      </c>
      <c r="N13" s="81">
        <f t="shared" si="0"/>
        <v>9584.3665000000001</v>
      </c>
      <c r="O13" s="81">
        <f t="shared" si="0"/>
        <v>17431.989169999997</v>
      </c>
      <c r="P13" s="81">
        <f t="shared" si="0"/>
        <v>2.2709720000000004</v>
      </c>
      <c r="Q13" s="81">
        <f t="shared" si="0"/>
        <v>3236.7903350000006</v>
      </c>
      <c r="R13" s="81">
        <f t="shared" si="0"/>
        <v>3.4033600000000007E-3</v>
      </c>
      <c r="S13" s="81">
        <f t="shared" si="0"/>
        <v>1.4075427399999998</v>
      </c>
      <c r="T13" s="81">
        <f t="shared" si="0"/>
        <v>6.1852000000000009E-3</v>
      </c>
      <c r="U13" s="81">
        <f t="shared" si="0"/>
        <v>0.76944319999999999</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activeCell="B6" sqref="B6"/>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5" t="s">
        <v>84</v>
      </c>
      <c r="B1" s="34" t="s">
        <v>152</v>
      </c>
      <c r="C1" s="35" t="str">
        <f>'Field data and Aber Falls'!B29</f>
        <v>Application Rate</v>
      </c>
      <c r="D1" s="35" t="str">
        <f>'Field data and Aber Falls'!C29</f>
        <v>Nitrogen Addition</v>
      </c>
      <c r="E1" s="35" t="str">
        <f>'Field data and Aber Falls'!D29</f>
        <v>Phosphate Addition</v>
      </c>
      <c r="F1" s="35" t="str">
        <f>'Field data and Aber Falls'!E29</f>
        <v>Potash  Addition</v>
      </c>
      <c r="G1" s="35" t="str">
        <f>'Field data and Aber Falls'!F29</f>
        <v>Mg Oxide Addition</v>
      </c>
      <c r="H1" s="35" t="str">
        <f>'Field data and Aber Falls'!G29</f>
        <v>Copper Addition</v>
      </c>
      <c r="I1" s="35" t="str">
        <f>'Field data and Aber Falls'!H29</f>
        <v>Zinc Addition</v>
      </c>
      <c r="J1" s="35" t="str">
        <f>'Field data and Aber Falls'!I29</f>
        <v>Lead Addition</v>
      </c>
      <c r="K1" s="35" t="str">
        <f>'Field data and Aber Falls'!J29</f>
        <v>Cadmium Addition</v>
      </c>
      <c r="L1" s="35" t="str">
        <f>'Field data and Aber Falls'!K29</f>
        <v>Mercury Addition</v>
      </c>
      <c r="M1" s="35" t="str">
        <f>'Field data and Aber Falls'!L29</f>
        <v>Nickel Addition</v>
      </c>
      <c r="N1" s="35" t="str">
        <f>'Field data and Aber Falls'!M29</f>
        <v>Chromium Addition</v>
      </c>
      <c r="O1" s="35" t="str">
        <f>'Field data and Aber Falls'!N29</f>
        <v>Aluminium Addition</v>
      </c>
      <c r="P1" s="35" t="str">
        <f>'Field data and Aber Falls'!O29</f>
        <v>Iron Addition</v>
      </c>
      <c r="Q1" s="35" t="str">
        <f>'Field data and Aber Falls'!P29</f>
        <v xml:space="preserve">Sodium Addition                 </v>
      </c>
      <c r="R1" s="35" t="str">
        <f>'Field data and Aber Falls'!Q29</f>
        <v>SO3  Addition                             kg/ha</v>
      </c>
      <c r="S1" s="35" t="str">
        <f>'Field data and Aber Falls'!R29</f>
        <v xml:space="preserve">Selenium Addition </v>
      </c>
      <c r="T1" s="35" t="str">
        <f>'Field data and Aber Falls'!S29</f>
        <v xml:space="preserve">Arsenic  Addition  </v>
      </c>
      <c r="U1" s="35" t="str">
        <f>'Field data and Aber Falls'!T29</f>
        <v xml:space="preserve">Molybdenum Addition  </v>
      </c>
      <c r="V1" s="35" t="str">
        <f>'Field data and Aber Falls'!U29</f>
        <v xml:space="preserve">Fluoride Addition </v>
      </c>
    </row>
    <row r="2" spans="1:22" s="83" customFormat="1" ht="25" x14ac:dyDescent="0.35">
      <c r="A2" s="145"/>
      <c r="B2" s="32" t="s">
        <v>46</v>
      </c>
      <c r="C2" s="35" t="str">
        <f>'Field data and Aber Falls'!B30</f>
        <v>tonnes/ha</v>
      </c>
      <c r="D2" s="35" t="str">
        <f>'Field data and Aber Falls'!C30</f>
        <v>kg/ha</v>
      </c>
      <c r="E2" s="35" t="str">
        <f>'Field data and Aber Falls'!D30</f>
        <v>P2O5 
kg/ha</v>
      </c>
      <c r="F2" s="35" t="str">
        <f>'Field data and Aber Falls'!E30</f>
        <v>K2O 
kg/ha</v>
      </c>
      <c r="G2" s="35" t="str">
        <f>'Field data and Aber Falls'!F30</f>
        <v>MgO 
kg/ha</v>
      </c>
      <c r="H2" s="35" t="str">
        <f>'Field data and Aber Falls'!G30</f>
        <v>kg/ha</v>
      </c>
      <c r="I2" s="35" t="str">
        <f>'Field data and Aber Falls'!H30</f>
        <v>kg/ha</v>
      </c>
      <c r="J2" s="35" t="str">
        <f>'Field data and Aber Falls'!I30</f>
        <v>kg/ha</v>
      </c>
      <c r="K2" s="35" t="str">
        <f>'Field data and Aber Falls'!J30</f>
        <v>kg/ha</v>
      </c>
      <c r="L2" s="35" t="str">
        <f>'Field data and Aber Falls'!K30</f>
        <v>kg/ha</v>
      </c>
      <c r="M2" s="35" t="str">
        <f>'Field data and Aber Falls'!L30</f>
        <v>kg/ha</v>
      </c>
      <c r="N2" s="35" t="str">
        <f>'Field data and Aber Falls'!M30</f>
        <v>kg/ha</v>
      </c>
      <c r="O2" s="35" t="str">
        <f>'Field data and Aber Falls'!N30</f>
        <v>kg/ha</v>
      </c>
      <c r="P2" s="35" t="str">
        <f>'Field data and Aber Falls'!O30</f>
        <v>kg/ha</v>
      </c>
      <c r="Q2" s="35" t="str">
        <f>'Field data and Aber Falls'!P30</f>
        <v>kg/ha</v>
      </c>
      <c r="R2" s="35" t="str">
        <f>'Field data and Aber Falls'!Q30</f>
        <v>kg/ha</v>
      </c>
      <c r="S2" s="35" t="str">
        <f>'Field data and Aber Falls'!R30</f>
        <v>kg/ha</v>
      </c>
      <c r="T2" s="35" t="str">
        <f>'Field data and Aber Falls'!S30</f>
        <v>kg/ha</v>
      </c>
      <c r="U2" s="35" t="str">
        <f>'Field data and Aber Falls'!T30</f>
        <v>kg/ha</v>
      </c>
      <c r="V2" s="35" t="str">
        <f>'Field data and Aber Falls'!U30</f>
        <v>kg/ha</v>
      </c>
    </row>
    <row r="3" spans="1:22" x14ac:dyDescent="0.25">
      <c r="A3" s="36">
        <v>1</v>
      </c>
      <c r="B3" s="91"/>
      <c r="C3" s="33">
        <f>'Field data and Aber Falls'!B31</f>
        <v>35</v>
      </c>
      <c r="D3" s="33">
        <f>'Field data and Aber Falls'!C31</f>
        <v>150.5</v>
      </c>
      <c r="E3" s="33">
        <f>'Field data and Aber Falls'!D31</f>
        <v>65.030034999999998</v>
      </c>
      <c r="F3" s="33">
        <f>'Field data and Aber Falls'!E31</f>
        <v>39.517975000000007</v>
      </c>
      <c r="G3" s="33">
        <f>'Field data and Aber Falls'!F31</f>
        <v>7.9501099999999996</v>
      </c>
      <c r="H3" s="33">
        <f>'Field data and Aber Falls'!G31</f>
        <v>5.4249999999999998</v>
      </c>
      <c r="I3" s="33">
        <f>'Field data and Aber Falls'!H31</f>
        <v>4.1649999999999993E-2</v>
      </c>
      <c r="J3" s="33">
        <f>'Field data and Aber Falls'!I31</f>
        <v>1.7500000000000002E-2</v>
      </c>
      <c r="K3" s="33">
        <f>'Field data and Aber Falls'!J31</f>
        <v>3.5000000000000005E-4</v>
      </c>
      <c r="L3" s="33">
        <f>'Field data and Aber Falls'!K31</f>
        <v>1.75E-3</v>
      </c>
      <c r="M3" s="33">
        <f>'Field data and Aber Falls'!L31</f>
        <v>7.0000000000000001E-3</v>
      </c>
      <c r="N3" s="33">
        <f>'Field data and Aber Falls'!M31</f>
        <v>7.0000000000000001E-3</v>
      </c>
      <c r="O3" s="33">
        <f>'Field data and Aber Falls'!N31</f>
        <v>0</v>
      </c>
      <c r="P3" s="33">
        <f>'Field data and Aber Falls'!O31</f>
        <v>0</v>
      </c>
      <c r="Q3" s="33">
        <f>'Field data and Aber Falls'!P31</f>
        <v>0.88549999999999995</v>
      </c>
      <c r="R3" s="33">
        <f>'Field data and Aber Falls'!Q31</f>
        <v>28.875</v>
      </c>
      <c r="S3" s="33">
        <f>'Field data and Aber Falls'!R31</f>
        <v>7.000000000000001E-4</v>
      </c>
      <c r="T3" s="33">
        <f>'Field data and Aber Falls'!S31</f>
        <v>1.7500000000000002E-2</v>
      </c>
      <c r="U3" s="33">
        <f>'Field data and Aber Falls'!T31</f>
        <v>1.75E-3</v>
      </c>
      <c r="V3" s="33">
        <f>'Field data and Aber Falls'!U31</f>
        <v>0.35000000000000003</v>
      </c>
    </row>
    <row r="4" spans="1:22" x14ac:dyDescent="0.25">
      <c r="A4" s="36">
        <v>2</v>
      </c>
      <c r="B4" s="91"/>
      <c r="C4" s="33">
        <f>Alaw!B31</f>
        <v>115</v>
      </c>
      <c r="D4" s="33">
        <f>Alaw!C31</f>
        <v>226.98930000000001</v>
      </c>
      <c r="E4" s="33">
        <f>Alaw!D31</f>
        <v>63.547757999999995</v>
      </c>
      <c r="F4" s="33">
        <f>Alaw!E31</f>
        <v>8.0218296000000009E-4</v>
      </c>
      <c r="G4" s="33">
        <f>Alaw!F31</f>
        <v>509.71811100000002</v>
      </c>
      <c r="H4" s="33">
        <f>Alaw!G31</f>
        <v>0.57325200000000009</v>
      </c>
      <c r="I4" s="33">
        <f>Alaw!H31</f>
        <v>12.782595000000002</v>
      </c>
      <c r="J4" s="33">
        <f>Alaw!I31</f>
        <v>0.14331300000000002</v>
      </c>
      <c r="K4" s="33">
        <f>Alaw!J31</f>
        <v>6.7033500000000003E-3</v>
      </c>
      <c r="L4" s="33">
        <f>Alaw!K31</f>
        <v>5.77875E-3</v>
      </c>
      <c r="M4" s="33">
        <f>Alaw!L31</f>
        <v>0.12250950000000002</v>
      </c>
      <c r="N4" s="33">
        <f>Alaw!M31</f>
        <v>9.9394499999999997E-2</v>
      </c>
      <c r="O4" s="33">
        <f>Alaw!N31</f>
        <v>4299.3900000000003</v>
      </c>
      <c r="P4" s="33">
        <f>Alaw!O31</f>
        <v>256.57650000000001</v>
      </c>
      <c r="Q4" s="33">
        <f>Alaw!P31</f>
        <v>0</v>
      </c>
      <c r="R4" s="33">
        <f>Alaw!Q31</f>
        <v>397.00012500000003</v>
      </c>
      <c r="S4" s="33">
        <f>Alaw!R31</f>
        <v>0</v>
      </c>
      <c r="T4" s="33">
        <f>Alaw!S31</f>
        <v>0.27275700000000003</v>
      </c>
      <c r="U4" s="33">
        <f>Alaw!T31</f>
        <v>0</v>
      </c>
      <c r="V4" s="33">
        <f>Alaw!U31</f>
        <v>0</v>
      </c>
    </row>
    <row r="5" spans="1:22" x14ac:dyDescent="0.25">
      <c r="A5" s="36">
        <v>3</v>
      </c>
      <c r="B5" s="91"/>
      <c r="C5" s="33">
        <f>'Bryn Cowlyd'!B31</f>
        <v>250</v>
      </c>
      <c r="D5" s="33">
        <f>'Bryn Cowlyd'!C31</f>
        <v>47.16749999999999</v>
      </c>
      <c r="E5" s="33">
        <f>'Bryn Cowlyd'!D31</f>
        <v>4.5878420499999999</v>
      </c>
      <c r="F5" s="33">
        <f>'Bryn Cowlyd'!E31</f>
        <v>8.6750962499999997E-5</v>
      </c>
      <c r="G5" s="33">
        <f>'Bryn Cowlyd'!F31</f>
        <v>3.7181064500000001</v>
      </c>
      <c r="H5" s="33">
        <f>'Bryn Cowlyd'!G31</f>
        <v>6.4544999999999991E-2</v>
      </c>
      <c r="I5" s="33">
        <f>'Bryn Cowlyd'!H31</f>
        <v>1.1998749999999998</v>
      </c>
      <c r="J5" s="33">
        <f>'Bryn Cowlyd'!I31</f>
        <v>0.2192875</v>
      </c>
      <c r="K5" s="33">
        <f>'Bryn Cowlyd'!J31</f>
        <v>6.1234999999999987E-3</v>
      </c>
      <c r="L5" s="33">
        <f>'Bryn Cowlyd'!K31</f>
        <v>5.0477499999999993E-3</v>
      </c>
      <c r="M5" s="33">
        <f>'Bryn Cowlyd'!L31</f>
        <v>0.35747999999999996</v>
      </c>
      <c r="N5" s="33">
        <f>'Bryn Cowlyd'!M31</f>
        <v>8.0184749999999985E-2</v>
      </c>
      <c r="O5" s="33">
        <f>'Bryn Cowlyd'!N31</f>
        <v>22.342500000000001</v>
      </c>
      <c r="P5" s="33">
        <f>'Bryn Cowlyd'!O31</f>
        <v>3872.6999999999994</v>
      </c>
      <c r="Q5" s="33">
        <f>'Bryn Cowlyd'!P31</f>
        <v>0</v>
      </c>
      <c r="R5" s="33">
        <f>'Bryn Cowlyd'!Q31</f>
        <v>123.50437499999998</v>
      </c>
      <c r="S5" s="33">
        <f>'Bryn Cowlyd'!R31</f>
        <v>0</v>
      </c>
      <c r="T5" s="33">
        <f>'Bryn Cowlyd'!S31</f>
        <v>9.5162499999999983E-2</v>
      </c>
      <c r="U5" s="33">
        <f>'Bryn Cowlyd'!T31</f>
        <v>0</v>
      </c>
      <c r="V5" s="33">
        <f>'Bryn Cowlyd'!U31</f>
        <v>0</v>
      </c>
    </row>
    <row r="6" spans="1:22" x14ac:dyDescent="0.25">
      <c r="A6" s="36">
        <v>4</v>
      </c>
      <c r="B6" s="91"/>
      <c r="C6" s="33">
        <f>Cefni!B31</f>
        <v>250</v>
      </c>
      <c r="D6" s="33">
        <f>Cefni!C31</f>
        <v>110.565</v>
      </c>
      <c r="E6" s="33">
        <f>Cefni!D31</f>
        <v>55.207372499999991</v>
      </c>
      <c r="F6" s="33">
        <f>Cefni!E31</f>
        <v>3.1201064999999999E-4</v>
      </c>
      <c r="G6" s="33">
        <f>Cefni!F31</f>
        <v>13.960277099999999</v>
      </c>
      <c r="H6" s="33">
        <f>Cefni!G31</f>
        <v>0.2646</v>
      </c>
      <c r="I6" s="33">
        <f>Cefni!H31</f>
        <v>0.84955500000000006</v>
      </c>
      <c r="J6" s="33">
        <f>Cefni!I31</f>
        <v>5.8590000000000003E-2</v>
      </c>
      <c r="K6" s="33">
        <f>Cefni!J31</f>
        <v>3.8744999999999999E-3</v>
      </c>
      <c r="L6" s="33">
        <f>Cefni!K31</f>
        <v>5.1029999999999999E-3</v>
      </c>
      <c r="M6" s="33">
        <f>Cefni!L31</f>
        <v>0.20601</v>
      </c>
      <c r="N6" s="33">
        <f>Cefni!M31</f>
        <v>6.2464499999999999E-2</v>
      </c>
      <c r="O6" s="33">
        <f>Cefni!N31</f>
        <v>1634.85</v>
      </c>
      <c r="P6" s="33">
        <f>Cefni!O31</f>
        <v>83.349000000000004</v>
      </c>
      <c r="Q6" s="33">
        <f>Cefni!P31</f>
        <v>0</v>
      </c>
      <c r="R6" s="33">
        <f>Cefni!Q31</f>
        <v>309.48750000000001</v>
      </c>
      <c r="S6" s="33">
        <f>Cefni!R31</f>
        <v>0</v>
      </c>
      <c r="T6" s="33">
        <f>Cefni!S31</f>
        <v>0.14552999999999999</v>
      </c>
      <c r="U6" s="33">
        <f>Cefni!T31</f>
        <v>0</v>
      </c>
      <c r="V6" s="33">
        <f>Cefni!U31</f>
        <v>0</v>
      </c>
    </row>
    <row r="7" spans="1:22" x14ac:dyDescent="0.25">
      <c r="A7" s="36">
        <v>5</v>
      </c>
      <c r="B7" s="91"/>
      <c r="C7" s="33">
        <f>Cwellyn!B31</f>
        <v>185</v>
      </c>
      <c r="D7" s="33">
        <f>Cwellyn!C31</f>
        <v>83.516400000000004</v>
      </c>
      <c r="E7" s="33">
        <f>Cwellyn!D31</f>
        <v>63.955853829999988</v>
      </c>
      <c r="F7" s="33">
        <f>Cwellyn!E31</f>
        <v>1.6027415800000001E-4</v>
      </c>
      <c r="G7" s="33">
        <f>Cwellyn!F31</f>
        <v>5.7439486719999993</v>
      </c>
      <c r="H7" s="33">
        <f>Cwellyn!G31</f>
        <v>0.54053669999999998</v>
      </c>
      <c r="I7" s="33">
        <f>Cwellyn!H31</f>
        <v>1.7940559999999999</v>
      </c>
      <c r="J7" s="33">
        <f>Cwellyn!I31</f>
        <v>4.7944600000000004E-2</v>
      </c>
      <c r="K7" s="33">
        <f>Cwellyn!J31</f>
        <v>4.2531499999999998E-3</v>
      </c>
      <c r="L7" s="33">
        <f>Cwellyn!K31</f>
        <v>3.7118400000000001E-3</v>
      </c>
      <c r="M7" s="33">
        <f>Cwellyn!L31</f>
        <v>0.14074059999999999</v>
      </c>
      <c r="N7" s="33">
        <f>Cwellyn!M31</f>
        <v>3.3251899999999994E-2</v>
      </c>
      <c r="O7" s="33">
        <f>Cwellyn!N31</f>
        <v>1430.605</v>
      </c>
      <c r="P7" s="33">
        <f>Cwellyn!O31</f>
        <v>54.053669999999997</v>
      </c>
      <c r="Q7" s="33">
        <f>Cwellyn!P31</f>
        <v>0</v>
      </c>
      <c r="R7" s="33">
        <f>Cwellyn!Q31</f>
        <v>190.42512499999998</v>
      </c>
      <c r="S7" s="33">
        <f>Cwellyn!R31</f>
        <v>0</v>
      </c>
      <c r="T7" s="33">
        <f>Cwellyn!S31</f>
        <v>0.22967009999999999</v>
      </c>
      <c r="U7" s="33">
        <f>Cwellyn!T31</f>
        <v>0</v>
      </c>
      <c r="V7" s="33">
        <f>Cwellyn!U31</f>
        <v>0</v>
      </c>
    </row>
    <row r="8" spans="1:22" x14ac:dyDescent="0.25">
      <c r="A8" s="36">
        <v>6</v>
      </c>
      <c r="B8" s="91"/>
      <c r="C8" s="33">
        <f>Dolbenmaen!B31</f>
        <v>250</v>
      </c>
      <c r="D8" s="33">
        <f>Dolbenmaen!C31</f>
        <v>86.362499999999997</v>
      </c>
      <c r="E8" s="33">
        <f>Dolbenmaen!D31</f>
        <v>60.110685249999996</v>
      </c>
      <c r="F8" s="33">
        <f>Dolbenmaen!E31</f>
        <v>3.1517377500000002E-4</v>
      </c>
      <c r="G8" s="33">
        <f>Dolbenmaen!F31</f>
        <v>3.4638106999999998</v>
      </c>
      <c r="H8" s="33">
        <f>Dolbenmaen!G31</f>
        <v>0.24181499999999997</v>
      </c>
      <c r="I8" s="33">
        <f>Dolbenmaen!H31</f>
        <v>4.9596749999999989</v>
      </c>
      <c r="J8" s="33">
        <f>Dolbenmaen!I31</f>
        <v>5.0995000000000006E-2</v>
      </c>
      <c r="K8" s="33">
        <f>Dolbenmaen!J31</f>
        <v>2.4674999999999999E-2</v>
      </c>
      <c r="L8" s="33">
        <f>Dolbenmaen!K31</f>
        <v>5.0172499999999991E-3</v>
      </c>
      <c r="M8" s="33">
        <f>Dolbenmaen!L31</f>
        <v>0.22043000000000001</v>
      </c>
      <c r="N8" s="33">
        <f>Dolbenmaen!M31</f>
        <v>3.5367499999999996E-2</v>
      </c>
      <c r="O8" s="33">
        <f>Dolbenmaen!N31</f>
        <v>1348.9</v>
      </c>
      <c r="P8" s="33">
        <f>Dolbenmaen!O31</f>
        <v>29.61</v>
      </c>
      <c r="Q8" s="33">
        <f>Dolbenmaen!P31</f>
        <v>0</v>
      </c>
      <c r="R8" s="33">
        <f>Dolbenmaen!Q31</f>
        <v>160.38749999999996</v>
      </c>
      <c r="S8" s="33">
        <f>Dolbenmaen!R31</f>
        <v>0</v>
      </c>
      <c r="T8" s="33">
        <f>Dolbenmaen!S31</f>
        <v>0.14722750000000001</v>
      </c>
      <c r="U8" s="33">
        <f>Dolbenmaen!T31</f>
        <v>0</v>
      </c>
      <c r="V8" s="33">
        <f>Dolbenmaen!U31</f>
        <v>0</v>
      </c>
    </row>
    <row r="9" spans="1:22" x14ac:dyDescent="0.25">
      <c r="A9" s="36">
        <v>7</v>
      </c>
      <c r="B9" s="91"/>
      <c r="C9" s="33">
        <f>Mynydd!B31</f>
        <v>250</v>
      </c>
      <c r="D9" s="33">
        <f>Mynydd!C31</f>
        <v>125.31499999999998</v>
      </c>
      <c r="E9" s="33">
        <f>Mynydd!D31</f>
        <v>9.2194422000000014</v>
      </c>
      <c r="F9" s="33">
        <f>Mynydd!E31</f>
        <v>1.9630594750000001E-4</v>
      </c>
      <c r="G9" s="33">
        <f>Mynydd!F31</f>
        <v>17.382637799999998</v>
      </c>
      <c r="H9" s="33">
        <f>Mynydd!G31</f>
        <v>0.54538500000000001</v>
      </c>
      <c r="I9" s="33">
        <f>Mynydd!H31</f>
        <v>8.7367499999999989</v>
      </c>
      <c r="J9" s="33">
        <f>Mynydd!I31</f>
        <v>0.79601499999999992</v>
      </c>
      <c r="K9" s="33">
        <f>Mynydd!J31</f>
        <v>3.3534999999999995E-2</v>
      </c>
      <c r="L9" s="33">
        <f>Mynydd!K31</f>
        <v>5.1184999999999998E-3</v>
      </c>
      <c r="M9" s="33">
        <f>Mynydd!L31</f>
        <v>0.4394849999999999</v>
      </c>
      <c r="N9" s="33">
        <f>Mynydd!M31</f>
        <v>0.192385</v>
      </c>
      <c r="O9" s="33">
        <f>Mynydd!N31</f>
        <v>85.778999999999996</v>
      </c>
      <c r="P9" s="33">
        <f>Mynydd!O31</f>
        <v>7818.9499999999989</v>
      </c>
      <c r="Q9" s="33">
        <f>Mynydd!P31</f>
        <v>0</v>
      </c>
      <c r="R9" s="33">
        <f>Mynydd!Q31</f>
        <v>90.014999999999986</v>
      </c>
      <c r="S9" s="33">
        <f>Mynydd!R31</f>
        <v>0</v>
      </c>
      <c r="T9" s="33">
        <f>Mynydd!S31</f>
        <v>0.18179500000000001</v>
      </c>
      <c r="U9" s="33">
        <f>Mynydd!T31</f>
        <v>0</v>
      </c>
      <c r="V9" s="33">
        <f>Mynydd!U31</f>
        <v>0</v>
      </c>
    </row>
    <row r="10" spans="1:22" x14ac:dyDescent="0.25">
      <c r="A10" s="36">
        <v>8</v>
      </c>
      <c r="B10" s="91"/>
      <c r="C10" s="33">
        <f>Llyn!B31</f>
        <v>250</v>
      </c>
      <c r="D10" s="33">
        <f>Llyn!C31</f>
        <v>68.454750000000004</v>
      </c>
      <c r="E10" s="33">
        <f>Llyn!D31</f>
        <v>24.273717749999996</v>
      </c>
      <c r="F10" s="33">
        <f>Llyn!E31</f>
        <v>1.8897412500000003E-4</v>
      </c>
      <c r="G10" s="33">
        <f>Llyn!F31</f>
        <v>4.2067605000000006</v>
      </c>
      <c r="H10" s="33">
        <f>Llyn!G31</f>
        <v>9.9449999999999997E-2</v>
      </c>
      <c r="I10" s="33">
        <f>Llyn!H31</f>
        <v>4.1564999999999994</v>
      </c>
      <c r="J10" s="33">
        <f>Llyn!I31</f>
        <v>0.47812499999999991</v>
      </c>
      <c r="K10" s="33">
        <f>Llyn!J31</f>
        <v>1.9635E-2</v>
      </c>
      <c r="L10" s="33">
        <f>Llyn!K31</f>
        <v>4.9725000000000004E-3</v>
      </c>
      <c r="M10" s="33">
        <f>Llyn!L31</f>
        <v>0.55844999999999989</v>
      </c>
      <c r="N10" s="33">
        <f>Llyn!M31</f>
        <v>8.4659999999999999E-2</v>
      </c>
      <c r="O10" s="33">
        <f>Llyn!N31</f>
        <v>762.50000000000011</v>
      </c>
      <c r="P10" s="33">
        <f>Llyn!O31</f>
        <v>5316.75</v>
      </c>
      <c r="Q10" s="33">
        <f>Llyn!P31</f>
        <v>0</v>
      </c>
      <c r="R10" s="33">
        <f>Llyn!Q31</f>
        <v>234.91874999999999</v>
      </c>
      <c r="S10" s="33">
        <f>Llyn!R31</f>
        <v>0</v>
      </c>
      <c r="T10" s="33">
        <f>Llyn!S31</f>
        <v>0.31109999999999999</v>
      </c>
      <c r="U10" s="33">
        <f>Llyn!T31</f>
        <v>0</v>
      </c>
      <c r="V10" s="33">
        <f>Llyn!U31</f>
        <v>0</v>
      </c>
    </row>
    <row r="11" spans="1:22" x14ac:dyDescent="0.25">
      <c r="A11" s="36">
        <v>9</v>
      </c>
      <c r="B11" s="91"/>
      <c r="C11" s="33">
        <f>Heatrick!B31</f>
        <v>6</v>
      </c>
      <c r="D11" s="33">
        <f>Heatrick!C31</f>
        <v>2.5344000000000002</v>
      </c>
      <c r="E11" s="33">
        <f>Heatrick!D31</f>
        <v>0.9870727680000001</v>
      </c>
      <c r="F11" s="33">
        <f>Heatrick!E31</f>
        <v>4.6572768000000009</v>
      </c>
      <c r="G11" s="33">
        <f>Heatrick!F31</f>
        <v>48.246367488000004</v>
      </c>
      <c r="H11" s="33">
        <f>Heatrick!G31</f>
        <v>2.0444159999999999E-2</v>
      </c>
      <c r="I11" s="33">
        <f>Heatrick!H31</f>
        <v>0.19303680000000006</v>
      </c>
      <c r="J11" s="33">
        <f>Heatrick!I31</f>
        <v>8.4480000000000013E-2</v>
      </c>
      <c r="K11" s="33">
        <f>Heatrick!J31</f>
        <v>4.2240000000000008E-4</v>
      </c>
      <c r="L11" s="33">
        <f>Heatrick!K31</f>
        <v>5.0688000000000003E-4</v>
      </c>
      <c r="M11" s="33">
        <f>Heatrick!L31</f>
        <v>2.1246720000000004E-2</v>
      </c>
      <c r="N11" s="33">
        <f>Heatrick!M31</f>
        <v>2.7498240000000007E-2</v>
      </c>
      <c r="O11" s="33">
        <f>Heatrick!N31</f>
        <v>0</v>
      </c>
      <c r="P11" s="33">
        <f>Heatrick!O31</f>
        <v>0</v>
      </c>
      <c r="Q11" s="33">
        <f>Heatrick!P31</f>
        <v>1.3854720000000003</v>
      </c>
      <c r="R11" s="33">
        <f>Heatrick!Q31</f>
        <v>1702.1769600000002</v>
      </c>
      <c r="S11" s="33">
        <f>Heatrick!R31</f>
        <v>2.7033600000000006E-3</v>
      </c>
      <c r="T11" s="33">
        <f>Heatrick!S31</f>
        <v>6.8006400000000002E-3</v>
      </c>
      <c r="U11" s="33">
        <f>Heatrick!T31</f>
        <v>4.4352000000000011E-3</v>
      </c>
      <c r="V11" s="33">
        <f>Heatrick!U31</f>
        <v>0.41944320000000002</v>
      </c>
    </row>
    <row r="12" spans="1:22" x14ac:dyDescent="0.25">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4" t="s">
        <v>84</v>
      </c>
      <c r="B15" s="35" t="s">
        <v>152</v>
      </c>
      <c r="C15" s="35">
        <f>'Field data and Aber Falls'!B43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4"/>
      <c r="B16" s="32" t="s">
        <v>46</v>
      </c>
      <c r="C16" s="35">
        <f>'Field data and Aber Falls'!B44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35</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115</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250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250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185</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250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250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250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6</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5" x14ac:dyDescent="0.35">
      <c r="A27" s="146" t="s">
        <v>85</v>
      </c>
      <c r="B27" s="146"/>
      <c r="C27" s="146"/>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REGU-415-1630475</_dlc_DocId>
    <_dlc_DocIdUrl xmlns="9be56660-2c31-41ef-bc00-23e72f632f2a">
      <Url>https://cyfoethnaturiolcymru.sharepoint.com/teams/Regulatory/Permitting/_layouts/15/DocIdRedir.aspx?ID=REGU-415-1630475</Url>
      <Description>REGU-415-1630475</Description>
    </_dlc_DocIdUrl>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2023-01-30T00:00:00+00:00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771" ma:contentTypeDescription="Permitting &amp; Compliance Excel Document" ma:contentTypeScope="" ma:versionID="525e805172ecc65872612648a7ee2df1">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70bd1e9e617200c8a7cd7558ce0bbe01"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ma:readOnly="false">
      <xsd:simpleType>
        <xsd:restriction base="dms:Choice">
          <xsd:enumeration value="Yes"/>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78499d3b-94a8-4059-8763-489d4400b14a" ContentTypeId="0x01010067EB80C5FE939D4A9B3D8BA62129B7F50202" PreviousValue="false"/>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EB88BFD-E29A-4849-A8E6-116EB74B98EA}">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2.xml><?xml version="1.0" encoding="utf-8"?>
<ds:datastoreItem xmlns:ds="http://schemas.openxmlformats.org/officeDocument/2006/customXml" ds:itemID="{EC476C9A-B54E-4FD3-A1EC-CAEA7329FF05}"/>
</file>

<file path=customXml/itemProps3.xml><?xml version="1.0" encoding="utf-8"?>
<ds:datastoreItem xmlns:ds="http://schemas.openxmlformats.org/officeDocument/2006/customXml" ds:itemID="{76878F38-A8A7-4AB5-8C4E-09C3DA8695DF}"/>
</file>

<file path=customXml/itemProps4.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Aber Falls</vt:lpstr>
      <vt:lpstr>Alaw</vt:lpstr>
      <vt:lpstr>Bryn Cowlyd</vt:lpstr>
      <vt:lpstr>Cefni</vt:lpstr>
      <vt:lpstr>Cwellyn</vt:lpstr>
      <vt:lpstr>Dolbenmaen</vt:lpstr>
      <vt:lpstr>Mynydd</vt:lpstr>
      <vt:lpstr>Llyn</vt:lpstr>
      <vt:lpstr>Heatrick</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Burn, Bryan</cp:lastModifiedBy>
  <dcterms:created xsi:type="dcterms:W3CDTF">2016-09-26T10:07:59Z</dcterms:created>
  <dcterms:modified xsi:type="dcterms:W3CDTF">2023-01-17T14:15:25Z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67dc92e2-7620-453e-b18d-8f8ab3634f84</vt:lpwstr>
  </property>
</Properties>
</file>