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0020/"/>
    </mc:Choice>
  </mc:AlternateContent>
  <xr:revisionPtr revIDLastSave="0" documentId="13_ncr:1_{9E75B102-3FC5-4533-9B31-AD5E5A27FF75}" xr6:coauthVersionLast="47" xr6:coauthVersionMax="47" xr10:uidLastSave="{00000000-0000-0000-0000-000000000000}"/>
  <bookViews>
    <workbookView xWindow="-28920" yWindow="-120" windowWidth="29040" windowHeight="15840" tabRatio="870" activeTab="9"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I65" i="1" l="1"/>
  <c r="J65" i="1"/>
  <c r="K65" i="1"/>
  <c r="L65" i="1"/>
  <c r="M65" i="1"/>
  <c r="N65" i="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I65" i="26"/>
  <c r="J65" i="26"/>
  <c r="K65" i="26"/>
  <c r="L65" i="26"/>
  <c r="M65" i="26"/>
  <c r="N65" i="26"/>
  <c r="O65" i="26"/>
  <c r="P65" i="26"/>
  <c r="Q65" i="26"/>
  <c r="R65" i="26"/>
  <c r="S65" i="26"/>
  <c r="T65" i="26"/>
  <c r="U65" i="26"/>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I65" i="23"/>
  <c r="J65" i="23"/>
  <c r="K65" i="23"/>
  <c r="L65" i="23"/>
  <c r="M65" i="23"/>
  <c r="N65" i="23"/>
  <c r="O65" i="23"/>
  <c r="P65" i="23"/>
  <c r="Q65" i="23"/>
  <c r="R65" i="23"/>
  <c r="S65" i="23"/>
  <c r="T65" i="23"/>
  <c r="U65" i="23"/>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U65"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S22" i="30"/>
  <c r="M22" i="30"/>
  <c r="K22" i="30"/>
  <c r="V20" i="30"/>
  <c r="U20" i="30"/>
  <c r="T20" i="30"/>
  <c r="S20" i="30"/>
  <c r="R20" i="30"/>
  <c r="Q20" i="30"/>
  <c r="P20" i="30"/>
  <c r="O20" i="30"/>
  <c r="N20" i="30"/>
  <c r="M20" i="30"/>
  <c r="L20" i="30"/>
  <c r="K20" i="30"/>
  <c r="J20" i="30"/>
  <c r="P18" i="30"/>
  <c r="N18" i="30"/>
  <c r="J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S22" i="29"/>
  <c r="R22" i="29"/>
  <c r="Q22" i="29"/>
  <c r="J22" i="29"/>
  <c r="V20" i="29"/>
  <c r="U20" i="29"/>
  <c r="T20" i="29"/>
  <c r="S20" i="29"/>
  <c r="R20" i="29"/>
  <c r="Q20" i="29"/>
  <c r="P20" i="29"/>
  <c r="O20" i="29"/>
  <c r="N20" i="29"/>
  <c r="M20" i="29"/>
  <c r="L20" i="29"/>
  <c r="K20" i="29"/>
  <c r="J20" i="29"/>
  <c r="V18" i="29"/>
  <c r="U18" i="29"/>
  <c r="T18" i="29"/>
  <c r="R18" i="29"/>
  <c r="P18" i="29"/>
  <c r="N18" i="29"/>
  <c r="M18" i="29"/>
  <c r="L18" i="29"/>
  <c r="I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U22" i="28"/>
  <c r="M22" i="28"/>
  <c r="V20" i="28"/>
  <c r="U20" i="28"/>
  <c r="T20" i="28"/>
  <c r="S20" i="28"/>
  <c r="R20" i="28"/>
  <c r="Q20" i="28"/>
  <c r="P20" i="28"/>
  <c r="O20" i="28"/>
  <c r="N20" i="28"/>
  <c r="M20" i="28"/>
  <c r="L20" i="28"/>
  <c r="K20" i="28"/>
  <c r="J20" i="28"/>
  <c r="V18" i="28"/>
  <c r="R18" i="28"/>
  <c r="P18" i="28"/>
  <c r="N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Q22" i="27"/>
  <c r="O22" i="27"/>
  <c r="G22" i="27"/>
  <c r="V20" i="27"/>
  <c r="U20" i="27"/>
  <c r="T20" i="27"/>
  <c r="S20" i="27"/>
  <c r="R20" i="27"/>
  <c r="Q20" i="27"/>
  <c r="P20" i="27"/>
  <c r="O20" i="27"/>
  <c r="N20" i="27"/>
  <c r="M20" i="27"/>
  <c r="L20" i="27"/>
  <c r="K20" i="27"/>
  <c r="J20" i="27"/>
  <c r="U18" i="27"/>
  <c r="T18" i="27"/>
  <c r="S18" i="27"/>
  <c r="R18" i="27"/>
  <c r="O18" i="27"/>
  <c r="J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Q22" i="26"/>
  <c r="O22" i="26"/>
  <c r="K22" i="26"/>
  <c r="G22" i="26"/>
  <c r="V20" i="26"/>
  <c r="U20" i="26"/>
  <c r="T20" i="26"/>
  <c r="S20" i="26"/>
  <c r="R20" i="26"/>
  <c r="Q20" i="26"/>
  <c r="P20" i="26"/>
  <c r="O20" i="26"/>
  <c r="N20" i="26"/>
  <c r="M20" i="26"/>
  <c r="L20" i="26"/>
  <c r="K20" i="26"/>
  <c r="J20" i="26"/>
  <c r="T18" i="26"/>
  <c r="S18" i="26"/>
  <c r="O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Q22" i="24"/>
  <c r="V20" i="24"/>
  <c r="U20" i="24"/>
  <c r="T20" i="24"/>
  <c r="S20" i="24"/>
  <c r="R20" i="24"/>
  <c r="Q20" i="24"/>
  <c r="P20" i="24"/>
  <c r="O20" i="24"/>
  <c r="N20" i="24"/>
  <c r="M20" i="24"/>
  <c r="L20" i="24"/>
  <c r="K20" i="24"/>
  <c r="J20" i="24"/>
  <c r="V18" i="24"/>
  <c r="U18" i="24"/>
  <c r="M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S22" i="23"/>
  <c r="M22" i="23"/>
  <c r="V20" i="23"/>
  <c r="U20" i="23"/>
  <c r="T20" i="23"/>
  <c r="S20" i="23"/>
  <c r="R20" i="23"/>
  <c r="Q20" i="23"/>
  <c r="P20" i="23"/>
  <c r="O20" i="23"/>
  <c r="N20" i="23"/>
  <c r="M20" i="23"/>
  <c r="L20" i="23"/>
  <c r="K20" i="23"/>
  <c r="J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S22" i="22"/>
  <c r="O22" i="22"/>
  <c r="M22" i="22"/>
  <c r="G22" i="22"/>
  <c r="V20" i="22"/>
  <c r="U20" i="22"/>
  <c r="T20" i="22"/>
  <c r="S20" i="22"/>
  <c r="R20" i="22"/>
  <c r="Q20" i="22"/>
  <c r="P20" i="22"/>
  <c r="O20" i="22"/>
  <c r="N20" i="22"/>
  <c r="M20" i="22"/>
  <c r="L20" i="22"/>
  <c r="K20" i="22"/>
  <c r="J20" i="22"/>
  <c r="V18" i="22"/>
  <c r="U18" i="22"/>
  <c r="S18" i="22"/>
  <c r="R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I4" i="20"/>
  <c r="J4" i="19"/>
  <c r="J18" i="19" s="1"/>
  <c r="I59" i="21"/>
  <c r="J17" i="21"/>
  <c r="J19" i="21" s="1"/>
  <c r="J21" i="21"/>
  <c r="C59" i="22"/>
  <c r="D21" i="22"/>
  <c r="D23" i="22" s="1"/>
  <c r="D24" i="22" s="1"/>
  <c r="D17" i="22"/>
  <c r="D19" i="22" s="1"/>
  <c r="D20"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I23" i="21" s="1"/>
  <c r="I24" i="21" s="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24" i="23" s="1"/>
  <c r="G17" i="23"/>
  <c r="G19" i="23" s="1"/>
  <c r="G20"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19" i="23" s="1"/>
  <c r="E20" i="23" s="1"/>
  <c r="E21" i="23"/>
  <c r="E23" i="23" s="1"/>
  <c r="E24" i="23" s="1"/>
  <c r="L59" i="23"/>
  <c r="M17" i="23"/>
  <c r="M21" i="23"/>
  <c r="T59" i="23"/>
  <c r="U17" i="23"/>
  <c r="U19" i="23" s="1"/>
  <c r="U21" i="23"/>
  <c r="U23"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0" i="24" s="1"/>
  <c r="I21" i="24"/>
  <c r="Q17" i="24"/>
  <c r="Q19" i="24" s="1"/>
  <c r="Q21" i="24"/>
  <c r="Q23" i="24" s="1"/>
  <c r="D59" i="26"/>
  <c r="E21" i="26"/>
  <c r="E23" i="26" s="1"/>
  <c r="E24" i="26" s="1"/>
  <c r="E17" i="26"/>
  <c r="E19" i="26" s="1"/>
  <c r="E20"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23" i="21" s="1"/>
  <c r="H24" i="21" s="1"/>
  <c r="H17" i="21"/>
  <c r="H19" i="21" s="1"/>
  <c r="H20" i="21" s="1"/>
  <c r="E59" i="22"/>
  <c r="F21" i="22"/>
  <c r="F23" i="22" s="1"/>
  <c r="F24" i="22" s="1"/>
  <c r="F17" i="22"/>
  <c r="F19" i="22" s="1"/>
  <c r="F20" i="22" s="1"/>
  <c r="M59" i="22"/>
  <c r="N21" i="22"/>
  <c r="N23" i="22" s="1"/>
  <c r="N17" i="22"/>
  <c r="U59" i="22"/>
  <c r="V17" i="22"/>
  <c r="V21" i="22"/>
  <c r="C18" i="22"/>
  <c r="H21" i="23"/>
  <c r="H23" i="23" s="1"/>
  <c r="H24" i="23" s="1"/>
  <c r="H17" i="23"/>
  <c r="H19" i="23" s="1"/>
  <c r="H20" i="23" s="1"/>
  <c r="P17" i="23"/>
  <c r="P19" i="23" s="1"/>
  <c r="P21" i="23"/>
  <c r="J59" i="24"/>
  <c r="K21" i="24"/>
  <c r="K17" i="24"/>
  <c r="R59" i="24"/>
  <c r="S21" i="24"/>
  <c r="S23" i="24" s="1"/>
  <c r="S17" i="24"/>
  <c r="G21" i="26"/>
  <c r="G17" i="26"/>
  <c r="G19" i="26" s="1"/>
  <c r="G20" i="26" s="1"/>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21" i="22"/>
  <c r="G23" i="22" s="1"/>
  <c r="G24" i="22" s="1"/>
  <c r="O17" i="22"/>
  <c r="O19" i="22" s="1"/>
  <c r="O21" i="22"/>
  <c r="O23" i="22" s="1"/>
  <c r="H59" i="23"/>
  <c r="I21" i="23"/>
  <c r="I23" i="23" s="1"/>
  <c r="I24" i="23" s="1"/>
  <c r="I17" i="23"/>
  <c r="I19" i="23" s="1"/>
  <c r="I20" i="23" s="1"/>
  <c r="P59" i="23"/>
  <c r="Q17" i="23"/>
  <c r="Q21" i="23"/>
  <c r="Q23" i="23" s="1"/>
  <c r="C59" i="24"/>
  <c r="D17" i="24"/>
  <c r="D19" i="24" s="1"/>
  <c r="D20" i="24" s="1"/>
  <c r="D21" i="24"/>
  <c r="D23" i="24" s="1"/>
  <c r="D24"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19" i="29" s="1"/>
  <c r="F20" i="29" s="1"/>
  <c r="F21" i="29"/>
  <c r="F23" i="29" s="1"/>
  <c r="F24" i="29" s="1"/>
  <c r="M59" i="29"/>
  <c r="N17" i="29"/>
  <c r="N21" i="29"/>
  <c r="U59" i="29"/>
  <c r="V17" i="29"/>
  <c r="V21" i="29"/>
  <c r="V23" i="29" s="1"/>
  <c r="D59" i="30"/>
  <c r="E17" i="30"/>
  <c r="E19" i="30" s="1"/>
  <c r="E20" i="30" s="1"/>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D59" i="24"/>
  <c r="E17" i="24"/>
  <c r="E21" i="24"/>
  <c r="L59" i="24"/>
  <c r="M17" i="24"/>
  <c r="M19" i="24" s="1"/>
  <c r="M21" i="24"/>
  <c r="M23"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R59" i="23"/>
  <c r="S17" i="23"/>
  <c r="S19" i="23" s="1"/>
  <c r="S21" i="23"/>
  <c r="E59" i="24"/>
  <c r="F21" i="24"/>
  <c r="F23" i="24" s="1"/>
  <c r="F24" i="24" s="1"/>
  <c r="F17" i="24"/>
  <c r="F19" i="24" s="1"/>
  <c r="F20"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24" i="29" s="1"/>
  <c r="H17" i="29"/>
  <c r="H19" i="29" s="1"/>
  <c r="H20" i="29" s="1"/>
  <c r="P21" i="29"/>
  <c r="P23" i="29" s="1"/>
  <c r="P17" i="29"/>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C65" i="21" s="1"/>
  <c r="K58" i="21"/>
  <c r="K61" i="21" s="1"/>
  <c r="K64" i="21" s="1"/>
  <c r="R19" i="24"/>
  <c r="I21" i="27"/>
  <c r="I23" i="27" s="1"/>
  <c r="I24" i="27" s="1"/>
  <c r="Q21" i="27"/>
  <c r="R58" i="21"/>
  <c r="R61" i="21" s="1"/>
  <c r="R64" i="21" s="1"/>
  <c r="O57" i="21"/>
  <c r="A43" i="21"/>
  <c r="J58" i="21"/>
  <c r="J61" i="21" s="1"/>
  <c r="G23" i="26"/>
  <c r="G24" i="26" s="1"/>
  <c r="D58" i="29"/>
  <c r="D61" i="29" s="1"/>
  <c r="P23" i="26"/>
  <c r="G21" i="27"/>
  <c r="G23" i="27" s="1"/>
  <c r="G24" i="27" s="1"/>
  <c r="O21" i="27"/>
  <c r="O23" i="27" s="1"/>
  <c r="D58" i="30"/>
  <c r="D61"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J19" i="27"/>
  <c r="R21" i="27"/>
  <c r="R23"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H58" i="30"/>
  <c r="H61" i="30" s="1"/>
  <c r="H64"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C58" i="22"/>
  <c r="C61" i="22" s="1"/>
  <c r="C64" i="22" s="1"/>
  <c r="K58" i="22"/>
  <c r="K61" i="22" s="1"/>
  <c r="K64" i="22" s="1"/>
  <c r="S58" i="22"/>
  <c r="S61" i="22" s="1"/>
  <c r="S64" i="22" s="1"/>
  <c r="F57" i="23"/>
  <c r="L23" i="24"/>
  <c r="T23" i="24"/>
  <c r="G58" i="24"/>
  <c r="G61" i="24" s="1"/>
  <c r="O58" i="24"/>
  <c r="O61" i="24" s="1"/>
  <c r="N59" i="24"/>
  <c r="C58" i="26"/>
  <c r="C61"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M58" i="22"/>
  <c r="M61" i="22" s="1"/>
  <c r="M64" i="22" s="1"/>
  <c r="U58" i="22"/>
  <c r="U61" i="22" s="1"/>
  <c r="A45" i="22"/>
  <c r="O57" i="22"/>
  <c r="H58" i="23"/>
  <c r="H61"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N65" i="30" s="1"/>
  <c r="K19" i="30"/>
  <c r="S19" i="30"/>
  <c r="S23" i="30"/>
  <c r="S24" i="30" s="1"/>
  <c r="A31" i="30"/>
  <c r="A33" i="30"/>
  <c r="A39" i="30"/>
  <c r="A41" i="30"/>
  <c r="A47" i="30"/>
  <c r="A49" i="30"/>
  <c r="G57" i="30"/>
  <c r="O57" i="30"/>
  <c r="G59" i="30"/>
  <c r="G64" i="30" s="1"/>
  <c r="O59" i="30"/>
  <c r="G63" i="30"/>
  <c r="O63" i="30"/>
  <c r="O65" i="30" s="1"/>
  <c r="P63" i="30"/>
  <c r="P65" i="30" s="1"/>
  <c r="I63" i="30"/>
  <c r="I65" i="30" s="1"/>
  <c r="Q63" i="30"/>
  <c r="Q65" i="30" s="1"/>
  <c r="T19" i="30"/>
  <c r="N19" i="30"/>
  <c r="V19" i="30"/>
  <c r="N23" i="30"/>
  <c r="N24" i="30" s="1"/>
  <c r="B63" i="30"/>
  <c r="J63" i="30"/>
  <c r="J65" i="30" s="1"/>
  <c r="R63" i="30"/>
  <c r="R65" i="30" s="1"/>
  <c r="M19" i="30"/>
  <c r="G19" i="30"/>
  <c r="G20" i="30" s="1"/>
  <c r="A32" i="30"/>
  <c r="A34" i="30"/>
  <c r="A40" i="30"/>
  <c r="A42" i="30"/>
  <c r="A48" i="30"/>
  <c r="A50" i="30"/>
  <c r="C63" i="30"/>
  <c r="K63" i="30"/>
  <c r="K65" i="30" s="1"/>
  <c r="S63" i="30"/>
  <c r="S65" i="30" s="1"/>
  <c r="P19" i="30"/>
  <c r="D63" i="30"/>
  <c r="L63" i="30"/>
  <c r="L65" i="30" s="1"/>
  <c r="T63" i="30"/>
  <c r="T65" i="30" s="1"/>
  <c r="H63" i="30"/>
  <c r="Q19" i="30"/>
  <c r="E63" i="30"/>
  <c r="M63" i="30"/>
  <c r="M65" i="30" s="1"/>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N19" i="29"/>
  <c r="V19" i="29"/>
  <c r="N23" i="29"/>
  <c r="B63" i="29"/>
  <c r="J63" i="29"/>
  <c r="R63" i="29"/>
  <c r="L19" i="29"/>
  <c r="G19" i="29"/>
  <c r="G20" i="29" s="1"/>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D19" i="28"/>
  <c r="D20" i="28" s="1"/>
  <c r="L19" i="28"/>
  <c r="L23" i="28"/>
  <c r="T23" i="28"/>
  <c r="H59" i="28"/>
  <c r="P59" i="28"/>
  <c r="H63" i="28"/>
  <c r="P63" i="28"/>
  <c r="M19" i="28"/>
  <c r="U19" i="28"/>
  <c r="M23" i="28"/>
  <c r="I57" i="28"/>
  <c r="Q57" i="28"/>
  <c r="I63" i="28"/>
  <c r="Q63" i="28"/>
  <c r="R19" i="28"/>
  <c r="F19" i="28"/>
  <c r="F20" i="28" s="1"/>
  <c r="V19" i="28"/>
  <c r="N23" i="28"/>
  <c r="V23" i="28"/>
  <c r="B63" i="28"/>
  <c r="J63" i="28"/>
  <c r="R63" i="28"/>
  <c r="A32" i="28"/>
  <c r="A34" i="28"/>
  <c r="A40" i="28"/>
  <c r="A42" i="28"/>
  <c r="A48" i="28"/>
  <c r="A50" i="28"/>
  <c r="C63" i="28"/>
  <c r="K63" i="28"/>
  <c r="S63" i="28"/>
  <c r="H19" i="28"/>
  <c r="H20" i="28" s="1"/>
  <c r="D63" i="28"/>
  <c r="L63" i="28"/>
  <c r="T63"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A32" i="27"/>
  <c r="A34" i="27"/>
  <c r="A40" i="27"/>
  <c r="A42" i="27"/>
  <c r="A48" i="27"/>
  <c r="A50" i="27"/>
  <c r="C63" i="27"/>
  <c r="K63" i="27"/>
  <c r="S63" i="27"/>
  <c r="L19" i="27"/>
  <c r="H19" i="27"/>
  <c r="H20" i="27" s="1"/>
  <c r="D63" i="27"/>
  <c r="L63" i="27"/>
  <c r="T63" i="27"/>
  <c r="H63" i="27"/>
  <c r="Q19" i="27"/>
  <c r="E63" i="27"/>
  <c r="M63" i="27"/>
  <c r="U64" i="26"/>
  <c r="U66" i="26" s="1"/>
  <c r="O23" i="26"/>
  <c r="J23" i="26"/>
  <c r="K23" i="26"/>
  <c r="A31" i="26"/>
  <c r="A33" i="26"/>
  <c r="A37" i="26"/>
  <c r="A39" i="26"/>
  <c r="A41" i="26"/>
  <c r="A45" i="26"/>
  <c r="A47" i="26"/>
  <c r="A49" i="26"/>
  <c r="G57" i="26"/>
  <c r="O57" i="26"/>
  <c r="G59" i="26"/>
  <c r="O59" i="26"/>
  <c r="G63" i="26"/>
  <c r="O63" i="26"/>
  <c r="L19" i="26"/>
  <c r="T19" i="26"/>
  <c r="L23" i="26"/>
  <c r="T23" i="26"/>
  <c r="H63" i="26"/>
  <c r="P63" i="26"/>
  <c r="M19" i="26"/>
  <c r="M23" i="26"/>
  <c r="I57" i="26"/>
  <c r="Q57" i="26"/>
  <c r="I59" i="26"/>
  <c r="I64" i="26" s="1"/>
  <c r="Q59" i="26"/>
  <c r="Q64" i="26" s="1"/>
  <c r="I63" i="26"/>
  <c r="Q63" i="26"/>
  <c r="N19" i="26"/>
  <c r="N23" i="26"/>
  <c r="V23" i="26"/>
  <c r="B63" i="26"/>
  <c r="J63" i="26"/>
  <c r="R63" i="26"/>
  <c r="O19" i="26"/>
  <c r="A32" i="26"/>
  <c r="A34" i="26"/>
  <c r="A40" i="26"/>
  <c r="A42" i="26"/>
  <c r="A48" i="26"/>
  <c r="A50" i="26"/>
  <c r="C63" i="26"/>
  <c r="K63" i="26"/>
  <c r="S63" i="26"/>
  <c r="P19" i="26"/>
  <c r="D63" i="26"/>
  <c r="L63" i="26"/>
  <c r="I19" i="26"/>
  <c r="I20" i="26" s="1"/>
  <c r="J23" i="24"/>
  <c r="P23" i="24"/>
  <c r="K19" i="24"/>
  <c r="S19" i="24"/>
  <c r="K23" i="24"/>
  <c r="A31" i="24"/>
  <c r="A33" i="24"/>
  <c r="A37" i="24"/>
  <c r="A39" i="24"/>
  <c r="A41" i="24"/>
  <c r="A45" i="24"/>
  <c r="A47" i="24"/>
  <c r="A49" i="24"/>
  <c r="G57" i="24"/>
  <c r="O57" i="24"/>
  <c r="G59" i="24"/>
  <c r="O59" i="24"/>
  <c r="G63" i="24"/>
  <c r="O63" i="24"/>
  <c r="H59" i="24"/>
  <c r="P59" i="24"/>
  <c r="H63" i="24"/>
  <c r="P63" i="24"/>
  <c r="E19" i="24"/>
  <c r="E20" i="24" s="1"/>
  <c r="U19" i="24"/>
  <c r="E23" i="24"/>
  <c r="E24" i="24" s="1"/>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D24" i="23" s="1"/>
  <c r="L23" i="23"/>
  <c r="T23" i="23"/>
  <c r="M19" i="23"/>
  <c r="M23" i="23"/>
  <c r="I57" i="23"/>
  <c r="Q57" i="23"/>
  <c r="F23" i="23"/>
  <c r="F24" i="23" s="1"/>
  <c r="N23"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L19" i="22"/>
  <c r="T19" i="22"/>
  <c r="L23" i="22"/>
  <c r="T23" i="22"/>
  <c r="K23" i="22"/>
  <c r="A31" i="22"/>
  <c r="A33" i="22"/>
  <c r="A41" i="22"/>
  <c r="A47" i="22"/>
  <c r="E19" i="22"/>
  <c r="E20" i="22" s="1"/>
  <c r="M19" i="22"/>
  <c r="E23" i="22"/>
  <c r="E24" i="22" s="1"/>
  <c r="U23" i="22"/>
  <c r="I57" i="22"/>
  <c r="Q57" i="22"/>
  <c r="K19" i="22"/>
  <c r="A39" i="22"/>
  <c r="A49" i="22"/>
  <c r="N19" i="22"/>
  <c r="V19" i="22"/>
  <c r="V23" i="22"/>
  <c r="G19" i="22"/>
  <c r="G20" i="22" s="1"/>
  <c r="A32" i="22"/>
  <c r="A34" i="22"/>
  <c r="A40" i="22"/>
  <c r="A42" i="22"/>
  <c r="A48" i="22"/>
  <c r="A50" i="22"/>
  <c r="P19" i="22"/>
  <c r="P64" i="21"/>
  <c r="L23" i="21"/>
  <c r="L24" i="21" s="1"/>
  <c r="F23" i="21"/>
  <c r="F24" i="21" s="1"/>
  <c r="N23" i="21"/>
  <c r="N24" i="21" s="1"/>
  <c r="A33" i="21"/>
  <c r="A37" i="21"/>
  <c r="A41" i="21"/>
  <c r="A45" i="21"/>
  <c r="A49" i="21"/>
  <c r="E58" i="21"/>
  <c r="E61" i="21" s="1"/>
  <c r="M58" i="21"/>
  <c r="M61" i="21" s="1"/>
  <c r="U58" i="21"/>
  <c r="U61" i="21" s="1"/>
  <c r="U64" i="21" s="1"/>
  <c r="U66" i="21" s="1"/>
  <c r="S19" i="21"/>
  <c r="M23" i="21"/>
  <c r="M24" i="21" s="1"/>
  <c r="C57" i="21"/>
  <c r="K57" i="21"/>
  <c r="S57" i="21"/>
  <c r="G19" i="21"/>
  <c r="G20" i="21" s="1"/>
  <c r="Q19" i="21"/>
  <c r="J23" i="21"/>
  <c r="J24" i="21" s="1"/>
  <c r="R23" i="21"/>
  <c r="R24" i="21" s="1"/>
  <c r="I19" i="21"/>
  <c r="I20"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5" i="22" l="1"/>
  <c r="C65" i="22"/>
  <c r="E65" i="22"/>
  <c r="C23" i="22"/>
  <c r="C24" i="22" s="1"/>
  <c r="E65" i="23"/>
  <c r="B65" i="30"/>
  <c r="H65" i="30"/>
  <c r="G65" i="30"/>
  <c r="E65" i="27"/>
  <c r="D65" i="27"/>
  <c r="C65" i="27"/>
  <c r="D65" i="21"/>
  <c r="H64" i="23"/>
  <c r="H65" i="23" s="1"/>
  <c r="H64" i="26"/>
  <c r="H65" i="26" s="1"/>
  <c r="F64" i="26"/>
  <c r="D64" i="30"/>
  <c r="D65" i="30" s="1"/>
  <c r="D64" i="24"/>
  <c r="D65" i="24" s="1"/>
  <c r="C64" i="26"/>
  <c r="C65" i="26" s="1"/>
  <c r="C64" i="29"/>
  <c r="C65" i="29" s="1"/>
  <c r="C64" i="23"/>
  <c r="C65" i="23" s="1"/>
  <c r="C64" i="30"/>
  <c r="C65" i="30" s="1"/>
  <c r="B64" i="24"/>
  <c r="B65" i="24" s="1"/>
  <c r="F66" i="26"/>
  <c r="F65" i="26"/>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J66" i="26"/>
  <c r="C66" i="22"/>
  <c r="T66" i="21"/>
  <c r="S66" i="23"/>
  <c r="H66" i="30"/>
  <c r="E66" i="30"/>
  <c r="S66" i="24"/>
  <c r="L66" i="21"/>
  <c r="S66" i="26"/>
  <c r="L66" i="28"/>
  <c r="L66" i="26"/>
  <c r="T66" i="30"/>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I66" i="26"/>
  <c r="L66" i="24"/>
  <c r="I66" i="24"/>
  <c r="P66" i="24"/>
  <c r="D66" i="24"/>
  <c r="K66" i="24"/>
  <c r="M66" i="24"/>
  <c r="I66" i="23"/>
  <c r="N66" i="23"/>
  <c r="E66" i="23"/>
  <c r="I66" i="22"/>
  <c r="M66" i="22"/>
  <c r="S66" i="22"/>
  <c r="K66" i="22"/>
  <c r="T66" i="22"/>
  <c r="M66" i="21"/>
  <c r="K66" i="21"/>
  <c r="C66" i="21"/>
  <c r="D66" i="21"/>
  <c r="R66" i="21"/>
  <c r="N64" i="1"/>
  <c r="M64" i="1"/>
  <c r="T64" i="1"/>
  <c r="L64" i="1"/>
  <c r="J64" i="1"/>
  <c r="K64" i="1"/>
  <c r="O64" i="1"/>
  <c r="C64" i="1"/>
  <c r="I64" i="1"/>
  <c r="H64" i="1"/>
  <c r="G64" i="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H66" i="21" l="1"/>
  <c r="C66" i="29"/>
  <c r="C66" i="26"/>
  <c r="H65" i="1"/>
  <c r="G65" i="1"/>
  <c r="C65" i="1"/>
  <c r="B65" i="1"/>
  <c r="H66" i="26"/>
  <c r="D66" i="26"/>
  <c r="D66" i="29"/>
  <c r="E66" i="24"/>
  <c r="E65" i="24"/>
  <c r="G66" i="22"/>
  <c r="G65" i="22"/>
  <c r="G66" i="28"/>
  <c r="G65" i="28"/>
  <c r="F66" i="21"/>
  <c r="F65" i="21"/>
  <c r="H66" i="27"/>
  <c r="H65" i="27"/>
  <c r="H66" i="28"/>
  <c r="H65" i="28"/>
  <c r="E66" i="21"/>
  <c r="E65" i="21"/>
  <c r="F66" i="27"/>
  <c r="F65" i="27"/>
  <c r="F66" i="22"/>
  <c r="F65" i="22"/>
  <c r="H66" i="29"/>
  <c r="H65" i="29"/>
  <c r="F66" i="23"/>
  <c r="F65" i="23"/>
  <c r="F66" i="29"/>
  <c r="F65" i="29"/>
  <c r="G66" i="23"/>
  <c r="G65" i="23"/>
  <c r="G66" i="29"/>
  <c r="G65" i="29"/>
  <c r="G66" i="21"/>
  <c r="G65" i="21"/>
  <c r="G66" i="26"/>
  <c r="G65" i="26"/>
  <c r="G66" i="27"/>
  <c r="G65" i="27"/>
  <c r="C66" i="28"/>
  <c r="C65" i="28"/>
  <c r="H66" i="24"/>
  <c r="H65" i="24"/>
  <c r="F66" i="24"/>
  <c r="F65" i="24"/>
  <c r="D66" i="23"/>
  <c r="D66" i="22"/>
  <c r="G66" i="24"/>
  <c r="G65" i="24"/>
  <c r="E66" i="28"/>
  <c r="E65" i="28"/>
  <c r="C66" i="24"/>
  <c r="C65" i="24"/>
  <c r="F66" i="28"/>
  <c r="F65" i="28"/>
  <c r="E66" i="29"/>
  <c r="E65" i="29"/>
  <c r="F66" i="30"/>
  <c r="F65" i="30"/>
  <c r="E66" i="26"/>
  <c r="E65" i="26"/>
  <c r="B66" i="21"/>
  <c r="B65" i="21"/>
  <c r="B66" i="26"/>
  <c r="B65" i="26"/>
  <c r="B66" i="27"/>
  <c r="B65" i="27"/>
  <c r="B66" i="28"/>
  <c r="B65" i="28"/>
  <c r="B66" i="29"/>
  <c r="B65" i="29"/>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<sst xmlns="http://schemas.openxmlformats.org/spreadsheetml/2006/main" count="2258" uniqueCount="185">
  <si>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</si>
  <si>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</si>
  <si>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</si>
  <si>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</si>
  <si>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</si>
  <si>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</si>
  <si>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</si>
  <si>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</si>
  <si>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</si>
  <si>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</si>
  <si>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</si>
  <si>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</si>
  <si>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</si>
  <si>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</si>
  <si>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</si>
  <si>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</si>
  <si>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</si>
  <si>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</si>
  <si>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</si>
  <si>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</si>
  <si>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</si>
  <si>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</si>
  <si>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</si>
  <si>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</si>
  <si>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</si>
  <si>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</si>
  <si>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</si>
  <si>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</si>
  <si>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</si>
  <si>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</si>
  <si>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</si>
  <si>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</si>
  <si>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</si>
  <si>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</si>
  <si>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</si>
  <si>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</si>
  <si>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</si>
  <si>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</si>
  <si>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</si>
  <si>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</si>
  <si>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</si>
  <si>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</si>
  <si>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</si>
  <si>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</si>
  <si>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</si>
  <si>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</si>
  <si>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</si>
  <si>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</si>
  <si>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</si>
  <si>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</si>
  <si>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</si>
  <si>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</si>
  <si>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</si>
  <si>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</si>
  <si>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</si>
  <si>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</si>
  <si>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</si>
  <si>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</si>
  <si>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</si>
  <si>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</si>
  <si>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</si>
  <si>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</si>
  <si>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</si>
  <si>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</si>
  <si>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</si>
  <si>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</si>
  <si>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</si>
  <si>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</si>
  <si>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</si>
  <si>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</si>
  <si>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</si>
  <si>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</si>
  <si>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</si>
  <si>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</si>
  <si>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</si>
  <si>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</si>
  <si>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</si>
  <si>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</si>
  <si>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</si>
  <si>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</si>
  <si>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</si>
  <si>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</si>
  <si>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</si>
  <si>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</si>
  <si>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</si>
  <si>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</si>
  <si>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</si>
  <si>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</si>
  <si>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</si>
  <si>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</si>
  <si>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</si>
  <si>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</si>
  <si>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</si>
  <si>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</si>
  <si>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</si>
  <si>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</si>
  <si>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</si>
  <si>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</si>
  <si>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</si>
  <si>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</si>
  <si>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</si>
  <si>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</si>
  <si>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</si>
  <si>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</si>
  <si>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</si>
  <si>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</si>
  <si>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</si>
  <si>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</si>
  <si>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</si>
  <si>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</si>
  <si>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</si>
  <si>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</si>
  <si>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</si>
  <si>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</si>
  <si>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</si>
  <si>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</si>
  <si>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</si>
  <si>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</si>
  <si>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</si>
  <si>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</si>
  <si>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</si>
  <si>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</si>
  <si>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</si>
  <si>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</si>
  <si>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</si>
  <si>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</si>
  <si>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</si>
  <si>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</si>
  <si>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</si>
  <si>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</si>
  <si>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</si>
  <si>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</si>
  <si>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</si>
  <si>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</si>
  <si>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</si>
  <si>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</si>
  <si>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</si>
  <si>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</si>
  <si>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</si>
  <si>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</si>
  <si>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</si>
  <si>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</si>
  <si>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</si>
  <si>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</si>
  <si>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</si>
  <si>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</si>
  <si>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</si>
  <si>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</si>
  <si>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</si>
  <si>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</si>
  <si>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</si>
  <si>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</si>
  <si>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</si>
  <si>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</si>
  <si>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</si>
  <si>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</si>
  <si>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</si>
  <si>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</si>
  <si>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</si>
  <si>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</si>
  <si>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PAN-020020</t>
  </si>
  <si>
    <t>Brookhouse Farm, Hanmer, SY13 3EQ</t>
  </si>
  <si>
    <t>TES</t>
  </si>
  <si>
    <t>KP3594VE</t>
  </si>
  <si>
    <t>02 02 04</t>
  </si>
  <si>
    <t>Secanim</t>
  </si>
  <si>
    <t>6 7</t>
  </si>
  <si>
    <t>8 9</t>
  </si>
  <si>
    <t>10 11</t>
  </si>
  <si>
    <t xml:space="preserve">Moderate </t>
  </si>
  <si>
    <t>Moderate</t>
  </si>
  <si>
    <t>Beechdean</t>
  </si>
  <si>
    <t>02 05 01</t>
  </si>
  <si>
    <t>07 07 12</t>
  </si>
  <si>
    <t>Croda Goole</t>
  </si>
  <si>
    <t>02 03 05</t>
  </si>
  <si>
    <t xml:space="preserve">Croda Widnes </t>
  </si>
  <si>
    <t xml:space="preserve">D wise </t>
  </si>
  <si>
    <t>02 07 05</t>
  </si>
  <si>
    <t>Encirc</t>
  </si>
  <si>
    <t>Kellogs</t>
  </si>
  <si>
    <t xml:space="preserve">unconfirmed </t>
  </si>
  <si>
    <t xml:space="preserve">Maelor </t>
  </si>
  <si>
    <t>Penderyn OUT OF DATE</t>
  </si>
  <si>
    <t>Rowan Food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</si>
</sst>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0">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xf numFmtId="16" fontId="5" fillId="3" borderId="3" xfId="0" applyNumberFormat="1" applyFont="1" applyFill="1" applyBorder="1" applyAlignment="1" applyProtection="1">
      <alignment horizontal="center" vertical="top"/>
      <protection locked="0"/>
    </xf>
  </cellXfs>
  <cellStyles count="3">
    <cellStyle name="Normal" xfId="0" builtinId="0"/>
    <cellStyle name="Normal 2" xfId="1" xr:uid="{00000000-0005-0000-0000-000001000000}"/>
    <cellStyle name="Percent" xfId="2" builtinId="5"/>
  </cellStyles>
  <dxfs count="44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11" dataDxfId="409" headerRowBorderDxfId="410" tableBorderDxfId="408" totalsRowBorderDxfId="407">
  <autoFilter ref="AI1:AN26" xr:uid="{F8B5EC87-3095-445A-A980-2CFAA0A7B9A2}"/>
  <sortState xmlns:xlrd2="http://schemas.microsoft.com/office/spreadsheetml/2017/richdata2" ref="AI2:AL25">
    <sortCondition ref="AL1:AL25"/>
  </sortState>
  <tableColumns count="6">
    <tableColumn id="1" xr3:uid="{360F44E4-7249-415F-8D5E-41D249F9A162}" name="Crop" dataDxfId="406"/>
    <tableColumn id="2" xr3:uid="{55E07717-B4EC-4E8A-B9A9-34F3CF85E32D}" name="P Offtake" dataDxfId="405"/>
    <tableColumn id="3" xr3:uid="{7B25FA52-8104-4FE3-AED4-B53CBFDF89B2}" name="K Offtake" dataDxfId="404"/>
    <tableColumn id="4" xr3:uid="{0DBAE461-2D09-43C8-9342-3980D552AE4D}" name="Order" dataDxfId="403"/>
    <tableColumn id="5" xr3:uid="{52CACE7B-0CBA-46FC-9F24-02CBD6100239}" name="Lime pH requirement" dataDxfId="402"/>
    <tableColumn id="6" xr3:uid="{F1432630-9B16-4266-8147-CE754A715307}" name="Column1" dataDxfId="40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69" dataDxfId="367" headerRowBorderDxfId="368" tableBorderDxfId="366" totalsRowBorderDxfId="365">
  <autoFilter ref="AI1:AN26" xr:uid="{F8B5EC87-3095-445A-A980-2CFAA0A7B9A2}"/>
  <sortState xmlns:xlrd2="http://schemas.microsoft.com/office/spreadsheetml/2017/richdata2" ref="AI2:AL25">
    <sortCondition ref="AL1:AL25"/>
  </sortState>
  <tableColumns count="6">
    <tableColumn id="1" xr3:uid="{7E96A84B-948F-445F-BD6E-30CC8E6E6DD1}" name="Crop" dataDxfId="364"/>
    <tableColumn id="2" xr3:uid="{12657DDB-F680-47DE-ABB1-8675D5F91E41}" name="P Offtake" dataDxfId="363"/>
    <tableColumn id="3" xr3:uid="{DEB99109-D325-4F98-8A71-E70C03433437}" name="K Offtake" dataDxfId="362"/>
    <tableColumn id="4" xr3:uid="{E96A561F-7E7F-4FB3-97AA-0B35D8C8E93A}" name="Order" dataDxfId="361"/>
    <tableColumn id="5" xr3:uid="{181DD475-0A71-4C52-AF1A-8BFF46F5A827}" name="Lime pH requirement" dataDxfId="360"/>
    <tableColumn id="6" xr3:uid="{AC3FA7E8-D76B-43A3-B715-04446DFF63C6}" name="Column1" dataDxfId="35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27" dataDxfId="325" headerRowBorderDxfId="326" tableBorderDxfId="324" totalsRowBorderDxfId="323">
  <autoFilter ref="AI1:AN26" xr:uid="{F8B5EC87-3095-445A-A980-2CFAA0A7B9A2}"/>
  <sortState xmlns:xlrd2="http://schemas.microsoft.com/office/spreadsheetml/2017/richdata2" ref="AI2:AL25">
    <sortCondition ref="AL1:AL25"/>
  </sortState>
  <tableColumns count="6">
    <tableColumn id="1" xr3:uid="{06008BA1-A1E9-4286-B67A-352533C06A26}" name="Crop" dataDxfId="322"/>
    <tableColumn id="2" xr3:uid="{2AEB5EEB-C9D1-41DC-913E-953A33D1A4AF}" name="P Offtake" dataDxfId="321"/>
    <tableColumn id="3" xr3:uid="{8FA16A0B-1017-4CEE-862E-0A8CBD8EB3D3}" name="K Offtake" dataDxfId="320"/>
    <tableColumn id="4" xr3:uid="{E7A3B8CD-4036-47F4-B818-C3F22E80C749}" name="Order" dataDxfId="319"/>
    <tableColumn id="5" xr3:uid="{8F3EBD84-7904-4559-9B5C-63088B792C98}" name="Lime pH requirement" dataDxfId="318"/>
    <tableColumn id="6" xr3:uid="{A21DD95A-C955-4510-9114-E3F1CB645370}" name="Column1" dataDxfId="31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85" dataDxfId="283" headerRowBorderDxfId="284" tableBorderDxfId="282" totalsRowBorderDxfId="281">
  <autoFilter ref="AI1:AN26" xr:uid="{F8B5EC87-3095-445A-A980-2CFAA0A7B9A2}"/>
  <sortState xmlns:xlrd2="http://schemas.microsoft.com/office/spreadsheetml/2017/richdata2" ref="AI2:AL25">
    <sortCondition ref="AL1:AL25"/>
  </sortState>
  <tableColumns count="6">
    <tableColumn id="1" xr3:uid="{11579FCC-3D9F-49AD-888D-5D79B801F6AE}" name="Crop" dataDxfId="280"/>
    <tableColumn id="2" xr3:uid="{05C08116-56D5-4CC6-A649-B06AF891B931}" name="P Offtake" dataDxfId="279"/>
    <tableColumn id="3" xr3:uid="{59CDE959-192B-4757-9203-A0F691CF0F96}" name="K Offtake" dataDxfId="278"/>
    <tableColumn id="4" xr3:uid="{9FB8E4F7-B91F-4CE0-AF39-D4895D0ECF2F}" name="Order" dataDxfId="277"/>
    <tableColumn id="5" xr3:uid="{688FF2A4-D7C6-4425-A915-A9ADD700A9EE}" name="Lime pH requirement" dataDxfId="276"/>
    <tableColumn id="6" xr3:uid="{05FC5CFF-3D81-4B5F-87C7-2364076F2714}" name="Column1" dataDxfId="2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43" dataDxfId="241" headerRowBorderDxfId="242" tableBorderDxfId="240" totalsRowBorderDxfId="239">
  <autoFilter ref="AI1:AN26" xr:uid="{F8B5EC87-3095-445A-A980-2CFAA0A7B9A2}"/>
  <sortState xmlns:xlrd2="http://schemas.microsoft.com/office/spreadsheetml/2017/richdata2" ref="AI2:AL25">
    <sortCondition ref="AL1:AL25"/>
  </sortState>
  <tableColumns count="6">
    <tableColumn id="1" xr3:uid="{973D7FFB-D248-4199-9B2E-B3C6CC09D382}" name="Crop" dataDxfId="238"/>
    <tableColumn id="2" xr3:uid="{7F2A3986-EC86-4CF9-BD10-791170BA6682}" name="P Offtake" dataDxfId="237"/>
    <tableColumn id="3" xr3:uid="{D6129C35-9DC6-42E5-AE3F-EA3A083168E6}" name="K Offtake" dataDxfId="236"/>
    <tableColumn id="4" xr3:uid="{C1CC42B5-564A-4DE7-B817-B7D686FE9A11}" name="Order" dataDxfId="235"/>
    <tableColumn id="5" xr3:uid="{620F3ABD-564C-411A-8DEA-CE1A34F9FC36}" name="Lime pH requirement" dataDxfId="234"/>
    <tableColumn id="6" xr3:uid="{76C9BC4F-4FF3-4AFB-8E7B-16DC0CC3E97C}" name="Column1" dataDxfId="23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201" dataDxfId="199" headerRowBorderDxfId="200" tableBorderDxfId="198" totalsRowBorderDxfId="197">
  <autoFilter ref="AI1:AN26" xr:uid="{F8B5EC87-3095-445A-A980-2CFAA0A7B9A2}"/>
  <sortState xmlns:xlrd2="http://schemas.microsoft.com/office/spreadsheetml/2017/richdata2" ref="AI2:AL25">
    <sortCondition ref="AL1:AL25"/>
  </sortState>
  <tableColumns count="6">
    <tableColumn id="1" xr3:uid="{D13A12FC-EAE6-4280-A219-C2622262E5F4}" name="Crop" dataDxfId="196"/>
    <tableColumn id="2" xr3:uid="{FD06C4A3-4B75-490D-88CF-232C7DC3EFC6}" name="P Offtake" dataDxfId="195"/>
    <tableColumn id="3" xr3:uid="{B043BEFF-10D4-4840-989B-BB13A502ECDF}" name="K Offtake" dataDxfId="194"/>
    <tableColumn id="4" xr3:uid="{48481FDC-5D20-466C-B554-D45886EA366A}" name="Order" dataDxfId="193"/>
    <tableColumn id="5" xr3:uid="{9E0852D2-9D0D-44AB-98B7-FBA51F331ACF}" name="Lime pH requirement" dataDxfId="192"/>
    <tableColumn id="6" xr3:uid="{29F9C4A5-6854-4F37-8BD1-0DD9B6024A55}" name="Column1" dataDxfId="19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59" dataDxfId="157" headerRowBorderDxfId="158" tableBorderDxfId="156" totalsRowBorderDxfId="155">
  <autoFilter ref="AI1:AN26" xr:uid="{F8B5EC87-3095-445A-A980-2CFAA0A7B9A2}"/>
  <sortState xmlns:xlrd2="http://schemas.microsoft.com/office/spreadsheetml/2017/richdata2" ref="AI2:AL25">
    <sortCondition ref="AL1:AL25"/>
  </sortState>
  <tableColumns count="6">
    <tableColumn id="1" xr3:uid="{1B554ED3-7AAF-4192-827C-B071945474B8}" name="Crop" dataDxfId="154"/>
    <tableColumn id="2" xr3:uid="{35F435E0-8D8E-44D1-84BD-C2FF51C3F944}" name="P Offtake" dataDxfId="153"/>
    <tableColumn id="3" xr3:uid="{38465C9D-AA8F-443A-80F5-96D1F6258317}" name="K Offtake" dataDxfId="152"/>
    <tableColumn id="4" xr3:uid="{E0C0E6AF-5628-4BC3-9625-81A87B93D279}" name="Order" dataDxfId="151"/>
    <tableColumn id="5" xr3:uid="{ACDE1D9A-7F94-4404-BDDC-1235C32C758F}" name="Lime pH requirement" dataDxfId="150"/>
    <tableColumn id="6" xr3:uid="{B093C9DF-C4CF-4906-9658-89F446EB9C12}" name="Column1" dataDxfId="149"/>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117" dataDxfId="115" headerRowBorderDxfId="116" tableBorderDxfId="114" totalsRowBorderDxfId="113">
  <autoFilter ref="AI1:AN26" xr:uid="{F8B5EC87-3095-445A-A980-2CFAA0A7B9A2}"/>
  <sortState xmlns:xlrd2="http://schemas.microsoft.com/office/spreadsheetml/2017/richdata2" ref="AI2:AL25">
    <sortCondition ref="AL1:AL25"/>
  </sortState>
  <tableColumns count="6">
    <tableColumn id="1" xr3:uid="{C4B2E6E9-5990-417D-9E04-7933BDF1FC69}" name="Crop" dataDxfId="112"/>
    <tableColumn id="2" xr3:uid="{E74EF8D0-6C68-49B8-AE52-40C276CA5FC9}" name="P Offtake" dataDxfId="111"/>
    <tableColumn id="3" xr3:uid="{9E0A7857-36E3-482D-B4B2-65B90760417F}" name="K Offtake" dataDxfId="110"/>
    <tableColumn id="4" xr3:uid="{A78867D2-7566-4070-AF99-15EE4CEB1699}" name="Order" dataDxfId="109"/>
    <tableColumn id="5" xr3:uid="{240FD5FA-5659-468E-8544-C93086800EC9}" name="Lime pH requirement" dataDxfId="108"/>
    <tableColumn id="6" xr3:uid="{D5C8E9C3-9076-473B-AE62-DA32692BAABC}" name="Column1" dataDxfId="10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75" dataDxfId="73" headerRowBorderDxfId="74" tableBorderDxfId="72" totalsRowBorderDxfId="71">
  <autoFilter ref="AI1:AN26" xr:uid="{F8B5EC87-3095-445A-A980-2CFAA0A7B9A2}"/>
  <sortState xmlns:xlrd2="http://schemas.microsoft.com/office/spreadsheetml/2017/richdata2" ref="AI2:AL25">
    <sortCondition ref="AL1:AL25"/>
  </sortState>
  <tableColumns count="6">
    <tableColumn id="1" xr3:uid="{82F1A1D2-F5AA-4D76-98E8-3C18592FB8CF}" name="Crop" dataDxfId="70"/>
    <tableColumn id="2" xr3:uid="{17F60BEE-3BBA-4198-AA21-518EC4696EB6}" name="P Offtake" dataDxfId="69"/>
    <tableColumn id="3" xr3:uid="{95D820EB-2583-433A-A070-6E8356E186E7}" name="K Offtake" dataDxfId="68"/>
    <tableColumn id="4" xr3:uid="{F3AE1839-F59F-4A70-B11A-A32E3FDD1A00}" name="Order" dataDxfId="67"/>
    <tableColumn id="5" xr3:uid="{C52880C5-B266-4CF0-9A11-778ABC47F9F0}" name="Lime pH requirement" dataDxfId="66"/>
    <tableColumn id="6" xr3:uid="{233F7657-9414-44B1-9E43-A91A69CB97ED}" name="Column1" dataDxfId="6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3" dataDxfId="31" headerRowBorderDxfId="32" tableBorderDxfId="30" totalsRowBorderDxfId="29">
  <autoFilter ref="AI1:AN26" xr:uid="{F8B5EC87-3095-445A-A980-2CFAA0A7B9A2}"/>
  <sortState xmlns:xlrd2="http://schemas.microsoft.com/office/spreadsheetml/2017/richdata2" ref="AI2:AL25">
    <sortCondition ref="AL1:AL25"/>
  </sortState>
  <tableColumns count="6">
    <tableColumn id="1" xr3:uid="{34C99CE0-FFE9-4282-9A7F-89014FFD2010}" name="Crop" dataDxfId="28"/>
    <tableColumn id="2" xr3:uid="{D81725A7-3522-491F-9BAF-35ADAADB5C49}" name="P Offtake" dataDxfId="27"/>
    <tableColumn id="3" xr3:uid="{E1F3CA70-D73E-4B9D-9A9F-F209536EAEFF}" name="K Offtake" dataDxfId="26"/>
    <tableColumn id="4" xr3:uid="{41F03B60-DF58-4AA1-9642-EF87A44AF9EC}" name="Order" dataDxfId="25"/>
    <tableColumn id="5" xr3:uid="{F3D9EC0E-6F67-4466-B24D-F47864B8CBA4}" name="Lime pH requirement" dataDxfId="24"/>
    <tableColumn id="6" xr3:uid="{D49CA6DF-7C49-4445-A0D2-0F2C2FDFB7ED}" name="Column1" dataDxfId="23"/>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J14" sqref="J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1" t="s">
        <v>41</v>
      </c>
      <c r="B1" s="121"/>
      <c r="C1" s="137" t="s">
        <v>160</v>
      </c>
      <c r="D1" s="138"/>
      <c r="E1" s="93" t="s">
        <v>45</v>
      </c>
      <c r="F1" s="96">
        <v>50</v>
      </c>
      <c r="G1" s="122" t="s">
        <v>43</v>
      </c>
      <c r="H1" s="123"/>
      <c r="I1" s="120">
        <v>5.82</v>
      </c>
      <c r="J1" s="121" t="s">
        <v>153</v>
      </c>
      <c r="K1" s="121"/>
      <c r="L1" s="120">
        <v>1490</v>
      </c>
      <c r="AB1" s="18"/>
      <c r="AC1" s="18"/>
      <c r="AD1" s="30" t="s">
        <v>126</v>
      </c>
      <c r="AE1" s="17"/>
      <c r="AF1" s="17"/>
      <c r="AG1" s="18"/>
      <c r="AH1" s="18"/>
      <c r="AI1" s="40" t="s">
        <v>79</v>
      </c>
      <c r="AJ1" s="41" t="s">
        <v>94</v>
      </c>
      <c r="AK1" s="42" t="s">
        <v>95</v>
      </c>
      <c r="AL1" s="43" t="s">
        <v>125</v>
      </c>
      <c r="AM1" s="43" t="s">
        <v>131</v>
      </c>
      <c r="AN1" s="43" t="s">
        <v>111</v>
      </c>
    </row>
    <row r="2" spans="1:40" ht="13" x14ac:dyDescent="0.3">
      <c r="A2" s="121" t="s">
        <v>87</v>
      </c>
      <c r="B2" s="121"/>
      <c r="C2" s="135" t="s">
        <v>163</v>
      </c>
      <c r="D2" s="136"/>
      <c r="E2" s="93" t="s">
        <v>109</v>
      </c>
      <c r="F2" s="120" t="s">
        <v>164</v>
      </c>
      <c r="G2" s="140" t="s">
        <v>110</v>
      </c>
      <c r="H2" s="141"/>
      <c r="I2" s="120">
        <v>2191</v>
      </c>
      <c r="J2" s="121" t="s">
        <v>158</v>
      </c>
      <c r="K2" s="121"/>
      <c r="L2" s="120">
        <v>0.36</v>
      </c>
      <c r="AB2" s="30" t="s">
        <v>56</v>
      </c>
      <c r="AC2" s="17"/>
      <c r="AD2" s="30" t="s">
        <v>70</v>
      </c>
      <c r="AE2" s="17"/>
      <c r="AF2" s="17"/>
      <c r="AG2" s="44" t="s">
        <v>76</v>
      </c>
      <c r="AH2" s="18"/>
      <c r="AI2" s="45" t="s">
        <v>126</v>
      </c>
      <c r="AJ2" s="46">
        <v>0</v>
      </c>
      <c r="AK2" s="47">
        <v>0</v>
      </c>
      <c r="AL2" s="10">
        <v>0</v>
      </c>
      <c r="AM2" s="11">
        <v>0</v>
      </c>
      <c r="AN2" s="11">
        <v>0</v>
      </c>
    </row>
    <row r="3" spans="1:40" ht="13" x14ac:dyDescent="0.25">
      <c r="A3" s="122" t="s">
        <v>42</v>
      </c>
      <c r="B3" s="123"/>
      <c r="C3" s="135" t="s">
        <v>162</v>
      </c>
      <c r="D3" s="136"/>
      <c r="E3" s="93" t="s">
        <v>108</v>
      </c>
      <c r="F3" s="31" t="s">
        <v>78</v>
      </c>
      <c r="G3" s="121" t="s">
        <v>159</v>
      </c>
      <c r="H3" s="121"/>
      <c r="I3" s="120">
        <v>41020</v>
      </c>
      <c r="J3" s="122" t="s">
        <v>154</v>
      </c>
      <c r="K3" s="123"/>
      <c r="L3" s="96">
        <f>(L1/(L2*10000))*100</f>
        <v>41.388888888888886</v>
      </c>
      <c r="AB3" s="30" t="s">
        <v>57</v>
      </c>
      <c r="AC3" s="17"/>
      <c r="AD3" s="30" t="s">
        <v>71</v>
      </c>
      <c r="AE3" s="17"/>
      <c r="AF3" s="17"/>
      <c r="AG3" s="44" t="s">
        <v>77</v>
      </c>
      <c r="AH3" s="18"/>
      <c r="AI3" s="48" t="s">
        <v>113</v>
      </c>
      <c r="AJ3" s="49">
        <v>1.7</v>
      </c>
      <c r="AK3" s="50">
        <v>6</v>
      </c>
      <c r="AL3" s="51">
        <v>1</v>
      </c>
      <c r="AM3" s="11">
        <v>6.2</v>
      </c>
      <c r="AN3" s="11" t="s">
        <v>112</v>
      </c>
    </row>
    <row r="4" spans="1:40" ht="13" x14ac:dyDescent="0.25">
      <c r="A4" s="121" t="s">
        <v>0</v>
      </c>
      <c r="B4" s="121"/>
      <c r="C4" s="137" t="s">
        <v>161</v>
      </c>
      <c r="D4" s="138"/>
      <c r="E4" s="94" t="s">
        <v>1</v>
      </c>
      <c r="F4" s="120" t="s">
        <v>165</v>
      </c>
      <c r="G4" s="121"/>
      <c r="H4" s="121"/>
      <c r="I4" s="96"/>
      <c r="J4" s="122"/>
      <c r="K4" s="123"/>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1" t="s">
        <v>47</v>
      </c>
      <c r="B5" s="121"/>
      <c r="C5" s="139"/>
      <c r="D5" s="139"/>
      <c r="E5" s="94"/>
      <c r="F5" s="95"/>
      <c r="G5" s="121"/>
      <c r="H5" s="121"/>
      <c r="I5" s="96"/>
      <c r="J5" s="122"/>
      <c r="K5" s="123"/>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1" t="s">
        <v>2</v>
      </c>
      <c r="B8" s="121"/>
      <c r="C8" s="15">
        <v>5</v>
      </c>
      <c r="D8" s="149" t="s">
        <v>166</v>
      </c>
      <c r="E8" s="149" t="s">
        <v>167</v>
      </c>
      <c r="F8" s="15" t="s">
        <v>168</v>
      </c>
      <c r="G8" s="15">
        <v>14</v>
      </c>
      <c r="H8" s="15">
        <v>20</v>
      </c>
      <c r="I8" s="15">
        <v>21</v>
      </c>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1" t="s">
        <v>3</v>
      </c>
      <c r="B9" s="121"/>
      <c r="C9" s="15">
        <v>1</v>
      </c>
      <c r="D9" s="15">
        <v>1</v>
      </c>
      <c r="E9" s="15">
        <v>1</v>
      </c>
      <c r="F9" s="15">
        <v>1</v>
      </c>
      <c r="G9" s="15">
        <v>1</v>
      </c>
      <c r="H9" s="15" t="s">
        <v>169</v>
      </c>
      <c r="I9" s="15" t="s">
        <v>170</v>
      </c>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1" t="s">
        <v>4</v>
      </c>
      <c r="B10" s="121"/>
      <c r="C10" s="15">
        <v>6.1</v>
      </c>
      <c r="D10" s="15">
        <v>6.5</v>
      </c>
      <c r="E10" s="15">
        <v>6.6</v>
      </c>
      <c r="F10" s="15">
        <v>6</v>
      </c>
      <c r="G10" s="15">
        <v>6.9</v>
      </c>
      <c r="H10" s="15">
        <v>5.9</v>
      </c>
      <c r="I10" s="15">
        <v>6.3</v>
      </c>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1" t="s">
        <v>5</v>
      </c>
      <c r="B11" s="121"/>
      <c r="C11" s="15">
        <v>4</v>
      </c>
      <c r="D11" s="15">
        <v>4</v>
      </c>
      <c r="E11" s="15">
        <v>3</v>
      </c>
      <c r="F11" s="15">
        <v>4</v>
      </c>
      <c r="G11" s="15">
        <v>3</v>
      </c>
      <c r="H11" s="15">
        <v>4</v>
      </c>
      <c r="I11" s="15">
        <v>3</v>
      </c>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1" t="s">
        <v>6</v>
      </c>
      <c r="B12" s="121"/>
      <c r="C12" s="15">
        <v>1</v>
      </c>
      <c r="D12" s="15">
        <v>0</v>
      </c>
      <c r="E12" s="15">
        <v>0</v>
      </c>
      <c r="F12" s="15">
        <v>3</v>
      </c>
      <c r="G12" s="15">
        <v>1</v>
      </c>
      <c r="H12" s="15">
        <v>2</v>
      </c>
      <c r="I12" s="15">
        <v>1</v>
      </c>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1" t="s">
        <v>7</v>
      </c>
      <c r="B13" s="121"/>
      <c r="C13" s="15">
        <v>2</v>
      </c>
      <c r="D13" s="15">
        <v>1</v>
      </c>
      <c r="E13" s="15">
        <v>2</v>
      </c>
      <c r="F13" s="15">
        <v>2</v>
      </c>
      <c r="G13" s="15">
        <v>3</v>
      </c>
      <c r="H13" s="15">
        <v>3</v>
      </c>
      <c r="I13" s="15">
        <v>3</v>
      </c>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3" t="s">
        <v>8</v>
      </c>
      <c r="B14" s="133"/>
      <c r="C14" s="100" t="s">
        <v>105</v>
      </c>
      <c r="D14" s="100" t="s">
        <v>68</v>
      </c>
      <c r="E14" s="100" t="s">
        <v>105</v>
      </c>
      <c r="F14" s="100" t="s">
        <v>68</v>
      </c>
      <c r="G14" s="100" t="s">
        <v>123</v>
      </c>
      <c r="H14" s="100" t="s">
        <v>113</v>
      </c>
      <c r="I14" s="100" t="s">
        <v>113</v>
      </c>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2" t="s">
        <v>9</v>
      </c>
      <c r="B15" s="132"/>
      <c r="C15" s="15">
        <v>40</v>
      </c>
      <c r="D15" s="15">
        <v>5.5</v>
      </c>
      <c r="E15" s="15">
        <v>40</v>
      </c>
      <c r="F15" s="15">
        <v>5.5</v>
      </c>
      <c r="G15" s="15">
        <v>8</v>
      </c>
      <c r="H15" s="15">
        <v>38</v>
      </c>
      <c r="I15" s="15">
        <v>38</v>
      </c>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4" t="s">
        <v>44</v>
      </c>
      <c r="B16" s="134"/>
      <c r="C16" s="101" t="s">
        <v>72</v>
      </c>
      <c r="D16" s="101" t="s">
        <v>72</v>
      </c>
      <c r="E16" s="101" t="s">
        <v>72</v>
      </c>
      <c r="F16" s="101" t="s">
        <v>72</v>
      </c>
      <c r="G16" s="101" t="s">
        <v>72</v>
      </c>
      <c r="H16" s="101" t="s">
        <v>72</v>
      </c>
      <c r="I16" s="101" t="s">
        <v>72</v>
      </c>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56</v>
      </c>
      <c r="D17" s="28">
        <f t="shared" ref="D17:V17" si="0">(VLOOKUP(D$14,$AI2:$AK26,2,FALSE))*D$15</f>
        <v>46.75</v>
      </c>
      <c r="E17" s="28">
        <f t="shared" si="0"/>
        <v>56</v>
      </c>
      <c r="F17" s="28">
        <f t="shared" si="0"/>
        <v>46.75</v>
      </c>
      <c r="G17" s="28">
        <f t="shared" si="0"/>
        <v>52</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45.529043000000001</v>
      </c>
      <c r="D18" s="16">
        <f>$D32</f>
        <v>45.529043000000001</v>
      </c>
      <c r="E18" s="16">
        <f>$D33</f>
        <v>45.529043000000001</v>
      </c>
      <c r="F18" s="16">
        <f>$D34</f>
        <v>45.529043000000001</v>
      </c>
      <c r="G18" s="16">
        <f>$D35</f>
        <v>45.529043000000001</v>
      </c>
      <c r="H18" s="16">
        <f>$D36</f>
        <v>45.529043000000001</v>
      </c>
      <c r="I18" s="16">
        <f>$D37</f>
        <v>45.529043000000001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-10.470956999999999</v>
      </c>
      <c r="D19" s="16">
        <f t="shared" ref="D19:V19" si="1">D18-D17</f>
        <v>-1.2209569999999985</v>
      </c>
      <c r="E19" s="16">
        <f t="shared" si="1"/>
        <v>-10.470956999999999</v>
      </c>
      <c r="F19" s="16">
        <f t="shared" si="1"/>
        <v>-1.2209569999999985</v>
      </c>
      <c r="G19" s="16">
        <f t="shared" si="1"/>
        <v>-6.4709569999999985</v>
      </c>
      <c r="H19" s="16">
        <f t="shared" si="1"/>
        <v>-19.070956999999993</v>
      </c>
      <c r="I19" s="16">
        <f t="shared" si="1"/>
        <v>-19.070956999999993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176</v>
      </c>
      <c r="D21" s="28">
        <f t="shared" ref="D21:V21" si="2">(VLOOKUP(D$14,$AI2:$AK26,3,FALSE))*D$15</f>
        <v>66</v>
      </c>
      <c r="E21" s="28">
        <f t="shared" si="2"/>
        <v>176</v>
      </c>
      <c r="F21" s="28">
        <f t="shared" si="2"/>
        <v>66</v>
      </c>
      <c r="G21" s="28">
        <f t="shared" si="2"/>
        <v>44</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4.015060000000001</v>
      </c>
      <c r="D22" s="16">
        <f>$E32</f>
        <v>4.015060000000001</v>
      </c>
      <c r="E22" s="16">
        <f>$E33</f>
        <v>4.015060000000001</v>
      </c>
      <c r="F22" s="16">
        <f>$E34</f>
        <v>4.015060000000001</v>
      </c>
      <c r="G22" s="16">
        <f>$E35</f>
        <v>4.015060000000001</v>
      </c>
      <c r="H22" s="16">
        <f>$E36</f>
        <v>4.015060000000001</v>
      </c>
      <c r="I22" s="16">
        <f>$E37</f>
        <v>4.015060000000001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-171.98493999999999</v>
      </c>
      <c r="D23" s="16">
        <f t="shared" ref="D23:V23" si="3">D22-D21</f>
        <v>-61.984940000000002</v>
      </c>
      <c r="E23" s="16">
        <f t="shared" si="3"/>
        <v>-171.98493999999999</v>
      </c>
      <c r="F23" s="16">
        <f t="shared" si="3"/>
        <v>-61.984940000000002</v>
      </c>
      <c r="G23" s="16">
        <f t="shared" si="3"/>
        <v>-39.984940000000002</v>
      </c>
      <c r="H23" s="16">
        <f t="shared" si="3"/>
        <v>-223.98493999999999</v>
      </c>
      <c r="I23" s="16">
        <f t="shared" si="3"/>
        <v>-223.98493999999999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10.8</v>
      </c>
      <c r="C28" s="15">
        <v>0.36</v>
      </c>
      <c r="D28" s="15">
        <v>1169</v>
      </c>
      <c r="E28" s="15">
        <v>196</v>
      </c>
      <c r="F28" s="15">
        <v>44.9</v>
      </c>
      <c r="G28" s="15">
        <v>3.32</v>
      </c>
      <c r="H28" s="15">
        <v>21.5</v>
      </c>
      <c r="I28" s="15">
        <v>1.52</v>
      </c>
      <c r="J28" s="15">
        <v>7.0000000000000007E-2</v>
      </c>
      <c r="K28" s="23">
        <v>0.05</v>
      </c>
      <c r="L28" s="15">
        <v>0.73</v>
      </c>
      <c r="M28" s="15">
        <v>1.42</v>
      </c>
      <c r="N28" s="15"/>
      <c r="O28" s="15"/>
      <c r="P28" s="15">
        <v>778</v>
      </c>
      <c r="Q28" s="15">
        <v>595</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v>
      </c>
      <c r="B31" s="15">
        <v>17</v>
      </c>
      <c r="C31" s="77">
        <f>IF(C$27="%w/w SAR",((C$28*10)*$B31),IF(C$27="%w/w DM",(((C$28*10)*($B$28/100))*$B31),IF(C$27="kg/t SAR",(C$28*$B31),IF(C$27="kg/t DM",((C$28*($B$28/100))*$B31),IF(C$27="mg/kg SAR",((C$28*0.001)*$B31),IF(C$27="mg/kg DM",(((C$28*0.001)*($B$28/100))*$B31),0))))))</f>
        <v>61.199999999999996</v>
      </c>
      <c r="D31" s="77">
        <f>(IF(D$27="%w/w SAR",((D$28*10)*$B31),IF(D$27="%w/w DM",(((D$28*10)*($B$28/100))*$B31),IF(D$27="kg/t SAR",(D$28*$B31),IF(D$27="kg/t DM",((D$28*($B$28/100))*$B31),IF(D$27="mg/kg SAR",((D$28*0.001)*$B31),IF(D$27="mg/kg DM",(((D$28*0.001)*($B$28/100))*$B31),"0")))))))*2.291</f>
        <v>45.529043000000001</v>
      </c>
      <c r="E31" s="77">
        <f>(IF(E$27="%w/w SAR",((E$28*10)*$B31),IF(E$27="%w/w DM",(((E$28*10)*($B$28/100))*$B31),IF(E$27="kg/t SAR",(E$28*$B31),IF(E$27="kg/t DM",((E$28*($B$28/100))*$B31),IF(E$27="mg/kg SAR",((E$28*0.001)*$B31),IF(E$27="mg/kg DM",(((E$28*0.001)*($B$28/100))*$B31),"0")))))))*1.205</f>
        <v>4.015060000000001</v>
      </c>
      <c r="F31" s="77">
        <f>(IF(F$27="%w/w SAR",((F$28*10)*$B31),IF(F$27="%w/w DM",(((F$28*10)*($B$28/100))*$B31),IF(F$27="kg/t SAR",(F$28*$B31),IF(F$27="kg/t DM",((F$28*($B$28/100))*$B31),IF(F$27="mg/kg SAR",((F$28*0.001)*$B31),IF(F$27="mg/kg DM",(((F$28*0.001)*($B$28/100))*$B31),"0")))))))*1.658</f>
        <v>1.2655514000000001</v>
      </c>
      <c r="G31" s="77">
        <f t="shared" ref="G31:P31" si="5">IF(G$27="%w/w SAR",((G$28*10)*$B31),IF(G$27="%w/w DM",(((G$28*10)*($B$28/100))*$B31),IF(G$27="kg/t SAR",(G$28*$B31),IF(G$27="kg/t DM",((G$28*($B$28/100))*$B31),IF(G$27="mg/kg SAR",((G$28*0.001)*$B31),IF(G$27="mg/kg DM",(((G$28*0.001)*($B$28/100))*$B31),0))))))</f>
        <v>5.6440000000000004E-2</v>
      </c>
      <c r="H31" s="77">
        <f t="shared" si="5"/>
        <v>0.36550000000000005</v>
      </c>
      <c r="I31" s="77">
        <f t="shared" si="5"/>
        <v>2.5840000000000002E-2</v>
      </c>
      <c r="J31" s="77">
        <f t="shared" si="5"/>
        <v>1.1900000000000001E-3</v>
      </c>
      <c r="K31" s="77">
        <f t="shared" si="5"/>
        <v>8.5000000000000006E-4</v>
      </c>
      <c r="L31" s="77">
        <f t="shared" si="5"/>
        <v>1.2409999999999999E-2</v>
      </c>
      <c r="M31" s="77">
        <f t="shared" si="5"/>
        <v>2.4140000000000002E-2</v>
      </c>
      <c r="N31" s="77">
        <f t="shared" si="5"/>
        <v>0</v>
      </c>
      <c r="O31" s="77">
        <f t="shared" si="5"/>
        <v>0</v>
      </c>
      <c r="P31" s="77">
        <f t="shared" si="5"/>
        <v>13.226000000000001</v>
      </c>
      <c r="Q31" s="77">
        <f>(IF(Q$27="%w/w SAR",((Q$28*10)*$B31),IF(Q$27="%w/w DM",(((Q$28*10)*($B$28/100))*$B31),IF(Q$27="kg/t SAR",(Q$28*$B31),IF(Q$27="kg/t DM",((Q$28*($B$28/100))*$B31),IF(Q$27="mg/kg SAR",((Q$28*0.001)*$B31),IF(Q$27="mg/kg DM",(((Q$28*0.001)*($B$28/100))*$B31),0)))))))*2.5</f>
        <v>25.287500000000001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6 7</v>
      </c>
      <c r="B32" s="15">
        <v>17</v>
      </c>
      <c r="C32" s="77">
        <f t="shared" ref="C32:C50" si="6">IF(C$27="%w/w SAR",((C$28*10)*$B32),IF(C$27="%w/w DM",(((C$28*10)*($B$28/100))*$B32),IF(C$27="kg/t SAR",(C$28*$B32),IF(C$27="kg/t DM",((C$28*($B$28/100))*$B32),IF(C$27="mg/kg SAR",((C$28*0.001)*$B32),IF(C$27="mg/kg DM",(((C$28*0.001)*($B$28/100))*$B32),0))))))</f>
        <v>61.199999999999996</v>
      </c>
      <c r="D32" s="77">
        <f t="shared" ref="D32:D50" si="7">(IF(D$27="%w/w SAR",((D$28*10)*$B32),IF(D$27="%w/w DM",(((D$28*10)*($B$28/100))*$B32),IF(D$27="kg/t SAR",(D$28*$B32),IF(D$27="kg/t DM",((D$28*($B$28/100))*$B32),IF(D$27="mg/kg SAR",((D$28*0.001)*$B32),IF(D$27="mg/kg DM",(((D$28*0.001)*($B$28/100))*$B32),"0")))))))*2.291</f>
        <v>45.529043000000001</v>
      </c>
      <c r="E32" s="77">
        <f t="shared" ref="E32:E50" si="8">(IF(E$27="%w/w SAR",((E$28*10)*$B32),IF(E$27="%w/w DM",(((E$28*10)*($B$28/100))*$B32),IF(E$27="kg/t SAR",(E$28*$B32),IF(E$27="kg/t DM",((E$28*($B$28/100))*$B32),IF(E$27="mg/kg SAR",((E$28*0.001)*$B32),IF(E$27="mg/kg DM",(((E$28*0.001)*($B$28/100))*$B32),"0")))))))*1.205</f>
        <v>4.015060000000001</v>
      </c>
      <c r="F32" s="77">
        <f t="shared" ref="F32:F50" si="9">(IF(F$27="%w/w SAR",((F$28*10)*$B32),IF(F$27="%w/w DM",(((F$28*10)*($B$28/100))*$B32),IF(F$27="kg/t SAR",(F$28*$B32),IF(F$27="kg/t DM",((F$28*($B$28/100))*$B32),IF(F$27="mg/kg SAR",((F$28*0.001)*$B32),IF(F$27="mg/kg DM",(((F$28*0.001)*($B$28/100))*$B32),"0")))))))*1.658</f>
        <v>1.2655514000000001</v>
      </c>
      <c r="G32" s="77">
        <f t="shared" ref="G32:P50" si="10">IF(G$27="%w/w SAR",((G$28*10)*$B32),IF(G$27="%w/w DM",(((G$28*10)*($B$28/100))*$B32),IF(G$27="kg/t SAR",(G$28*$B32),IF(G$27="kg/t DM",((G$28*($B$28/100))*$B32),IF(G$27="mg/kg SAR",((G$28*0.001)*$B32),IF(G$27="mg/kg DM",(((G$28*0.001)*($B$28/100))*$B32),0))))))</f>
        <v>5.6440000000000004E-2</v>
      </c>
      <c r="H32" s="77">
        <f t="shared" si="10"/>
        <v>0.36550000000000005</v>
      </c>
      <c r="I32" s="77">
        <f t="shared" si="10"/>
        <v>2.5840000000000002E-2</v>
      </c>
      <c r="J32" s="77">
        <f t="shared" si="10"/>
        <v>1.1900000000000001E-3</v>
      </c>
      <c r="K32" s="77">
        <f t="shared" si="10"/>
        <v>8.5000000000000006E-4</v>
      </c>
      <c r="L32" s="77">
        <f t="shared" si="10"/>
        <v>1.2409999999999999E-2</v>
      </c>
      <c r="M32" s="77">
        <f t="shared" si="10"/>
        <v>2.4140000000000002E-2</v>
      </c>
      <c r="N32" s="77">
        <f t="shared" si="10"/>
        <v>0</v>
      </c>
      <c r="O32" s="77">
        <f t="shared" si="10"/>
        <v>0</v>
      </c>
      <c r="P32" s="77">
        <f t="shared" si="10"/>
        <v>13.226000000000001</v>
      </c>
      <c r="Q32" s="77">
        <f t="shared" ref="Q32:Q50" si="11">(IF(Q$27="%w/w SAR",((Q$28*10)*$B32),IF(Q$27="%w/w DM",(((Q$28*10)*($B$28/100))*$B32),IF(Q$27="kg/t SAR",(Q$28*$B32),IF(Q$27="kg/t DM",((Q$28*($B$28/100))*$B32),IF(Q$27="mg/kg SAR",((Q$28*0.001)*$B32),IF(Q$27="mg/kg DM",(((Q$28*0.001)*($B$28/100))*$B32),0)))))))*2.5</f>
        <v>25.287500000000001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8 9</v>
      </c>
      <c r="B33" s="15">
        <v>17</v>
      </c>
      <c r="C33" s="77">
        <f t="shared" si="6"/>
        <v>61.199999999999996</v>
      </c>
      <c r="D33" s="77">
        <f t="shared" si="7"/>
        <v>45.529043000000001</v>
      </c>
      <c r="E33" s="77">
        <f t="shared" si="8"/>
        <v>4.015060000000001</v>
      </c>
      <c r="F33" s="77">
        <f t="shared" si="9"/>
        <v>1.2655514000000001</v>
      </c>
      <c r="G33" s="77">
        <f t="shared" si="10"/>
        <v>5.6440000000000004E-2</v>
      </c>
      <c r="H33" s="77">
        <f t="shared" si="10"/>
        <v>0.36550000000000005</v>
      </c>
      <c r="I33" s="77">
        <f t="shared" si="10"/>
        <v>2.5840000000000002E-2</v>
      </c>
      <c r="J33" s="77">
        <f t="shared" si="10"/>
        <v>1.1900000000000001E-3</v>
      </c>
      <c r="K33" s="77">
        <f t="shared" si="10"/>
        <v>8.5000000000000006E-4</v>
      </c>
      <c r="L33" s="77">
        <f t="shared" si="10"/>
        <v>1.2409999999999999E-2</v>
      </c>
      <c r="M33" s="77">
        <f t="shared" si="10"/>
        <v>2.4140000000000002E-2</v>
      </c>
      <c r="N33" s="77">
        <f t="shared" si="10"/>
        <v>0</v>
      </c>
      <c r="O33" s="77">
        <f t="shared" si="10"/>
        <v>0</v>
      </c>
      <c r="P33" s="77">
        <f t="shared" si="10"/>
        <v>13.226000000000001</v>
      </c>
      <c r="Q33" s="77">
        <f t="shared" si="11"/>
        <v>25.287500000000001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10 11</v>
      </c>
      <c r="B34" s="15">
        <v>17</v>
      </c>
      <c r="C34" s="77">
        <f t="shared" si="6"/>
        <v>61.199999999999996</v>
      </c>
      <c r="D34" s="77">
        <f t="shared" si="7"/>
        <v>45.529043000000001</v>
      </c>
      <c r="E34" s="77">
        <f t="shared" si="8"/>
        <v>4.015060000000001</v>
      </c>
      <c r="F34" s="77">
        <f t="shared" si="9"/>
        <v>1.2655514000000001</v>
      </c>
      <c r="G34" s="77">
        <f t="shared" si="10"/>
        <v>5.6440000000000004E-2</v>
      </c>
      <c r="H34" s="77">
        <f t="shared" si="10"/>
        <v>0.36550000000000005</v>
      </c>
      <c r="I34" s="77">
        <f t="shared" si="10"/>
        <v>2.5840000000000002E-2</v>
      </c>
      <c r="J34" s="77">
        <f t="shared" si="10"/>
        <v>1.1900000000000001E-3</v>
      </c>
      <c r="K34" s="77">
        <f t="shared" si="10"/>
        <v>8.5000000000000006E-4</v>
      </c>
      <c r="L34" s="77">
        <f t="shared" si="10"/>
        <v>1.2409999999999999E-2</v>
      </c>
      <c r="M34" s="77">
        <f t="shared" si="10"/>
        <v>2.4140000000000002E-2</v>
      </c>
      <c r="N34" s="77">
        <f t="shared" si="10"/>
        <v>0</v>
      </c>
      <c r="O34" s="77">
        <f t="shared" si="10"/>
        <v>0</v>
      </c>
      <c r="P34" s="77">
        <f t="shared" si="10"/>
        <v>13.226000000000001</v>
      </c>
      <c r="Q34" s="77">
        <f t="shared" si="11"/>
        <v>25.287500000000001</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14</v>
      </c>
      <c r="B35" s="15">
        <v>17</v>
      </c>
      <c r="C35" s="77">
        <f t="shared" si="6"/>
        <v>61.199999999999996</v>
      </c>
      <c r="D35" s="77">
        <f t="shared" si="7"/>
        <v>45.529043000000001</v>
      </c>
      <c r="E35" s="77">
        <f t="shared" si="8"/>
        <v>4.015060000000001</v>
      </c>
      <c r="F35" s="77">
        <f t="shared" si="9"/>
        <v>1.2655514000000001</v>
      </c>
      <c r="G35" s="77">
        <f t="shared" si="10"/>
        <v>5.6440000000000004E-2</v>
      </c>
      <c r="H35" s="77">
        <f t="shared" si="10"/>
        <v>0.36550000000000005</v>
      </c>
      <c r="I35" s="77">
        <f t="shared" si="10"/>
        <v>2.5840000000000002E-2</v>
      </c>
      <c r="J35" s="77">
        <f t="shared" si="10"/>
        <v>1.1900000000000001E-3</v>
      </c>
      <c r="K35" s="77">
        <f t="shared" si="10"/>
        <v>8.5000000000000006E-4</v>
      </c>
      <c r="L35" s="77">
        <f t="shared" si="10"/>
        <v>1.2409999999999999E-2</v>
      </c>
      <c r="M35" s="77">
        <f t="shared" si="10"/>
        <v>2.4140000000000002E-2</v>
      </c>
      <c r="N35" s="77">
        <f t="shared" si="10"/>
        <v>0</v>
      </c>
      <c r="O35" s="77">
        <f t="shared" si="10"/>
        <v>0</v>
      </c>
      <c r="P35" s="77">
        <f t="shared" si="10"/>
        <v>13.226000000000001</v>
      </c>
      <c r="Q35" s="77">
        <f t="shared" si="11"/>
        <v>25.287500000000001</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20</v>
      </c>
      <c r="B36" s="15">
        <v>17</v>
      </c>
      <c r="C36" s="77">
        <f t="shared" si="6"/>
        <v>61.199999999999996</v>
      </c>
      <c r="D36" s="77">
        <f t="shared" si="7"/>
        <v>45.529043000000001</v>
      </c>
      <c r="E36" s="77">
        <f t="shared" si="8"/>
        <v>4.015060000000001</v>
      </c>
      <c r="F36" s="77">
        <f t="shared" si="9"/>
        <v>1.2655514000000001</v>
      </c>
      <c r="G36" s="77">
        <f t="shared" si="10"/>
        <v>5.6440000000000004E-2</v>
      </c>
      <c r="H36" s="77">
        <f t="shared" si="10"/>
        <v>0.36550000000000005</v>
      </c>
      <c r="I36" s="77">
        <f t="shared" si="10"/>
        <v>2.5840000000000002E-2</v>
      </c>
      <c r="J36" s="77">
        <f t="shared" si="10"/>
        <v>1.1900000000000001E-3</v>
      </c>
      <c r="K36" s="77">
        <f t="shared" si="10"/>
        <v>8.5000000000000006E-4</v>
      </c>
      <c r="L36" s="77">
        <f t="shared" si="10"/>
        <v>1.2409999999999999E-2</v>
      </c>
      <c r="M36" s="77">
        <f t="shared" si="10"/>
        <v>2.4140000000000002E-2</v>
      </c>
      <c r="N36" s="77">
        <f t="shared" si="10"/>
        <v>0</v>
      </c>
      <c r="O36" s="77">
        <f t="shared" si="10"/>
        <v>0</v>
      </c>
      <c r="P36" s="77">
        <f t="shared" si="10"/>
        <v>13.226000000000001</v>
      </c>
      <c r="Q36" s="77">
        <f t="shared" si="11"/>
        <v>25.287500000000001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21</v>
      </c>
      <c r="B37" s="15">
        <v>17</v>
      </c>
      <c r="C37" s="77">
        <f t="shared" si="6"/>
        <v>61.199999999999996</v>
      </c>
      <c r="D37" s="77">
        <f t="shared" si="7"/>
        <v>45.529043000000001</v>
      </c>
      <c r="E37" s="77">
        <f t="shared" si="8"/>
        <v>4.015060000000001</v>
      </c>
      <c r="F37" s="77">
        <f t="shared" si="9"/>
        <v>1.2655514000000001</v>
      </c>
      <c r="G37" s="77">
        <f t="shared" si="10"/>
        <v>5.6440000000000004E-2</v>
      </c>
      <c r="H37" s="77">
        <f t="shared" si="10"/>
        <v>0.36550000000000005</v>
      </c>
      <c r="I37" s="77">
        <f t="shared" si="10"/>
        <v>2.5840000000000002E-2</v>
      </c>
      <c r="J37" s="77">
        <f t="shared" si="10"/>
        <v>1.1900000000000001E-3</v>
      </c>
      <c r="K37" s="77">
        <f t="shared" si="10"/>
        <v>8.5000000000000006E-4</v>
      </c>
      <c r="L37" s="77">
        <f t="shared" si="10"/>
        <v>1.2409999999999999E-2</v>
      </c>
      <c r="M37" s="77">
        <f t="shared" si="10"/>
        <v>2.4140000000000002E-2</v>
      </c>
      <c r="N37" s="77">
        <f t="shared" si="10"/>
        <v>0</v>
      </c>
      <c r="O37" s="77">
        <f t="shared" si="10"/>
        <v>0</v>
      </c>
      <c r="P37" s="77">
        <f t="shared" si="10"/>
        <v>13.226000000000001</v>
      </c>
      <c r="Q37" s="77">
        <f t="shared" si="11"/>
        <v>25.287500000000001</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v>
      </c>
      <c r="C57" s="8" t="str">
        <f t="shared" ref="C57:U57" si="13">D8</f>
        <v>6 7</v>
      </c>
      <c r="D57" s="8" t="str">
        <f t="shared" si="13"/>
        <v>8 9</v>
      </c>
      <c r="E57" s="8" t="str">
        <f t="shared" si="13"/>
        <v>10 11</v>
      </c>
      <c r="F57" s="8">
        <f t="shared" si="13"/>
        <v>14</v>
      </c>
      <c r="G57" s="8">
        <f t="shared" si="13"/>
        <v>20</v>
      </c>
      <c r="H57" s="8">
        <f t="shared" si="13"/>
        <v>21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6.7</v>
      </c>
      <c r="E59" s="76">
        <f>VLOOKUP(F$14,Table24[],5,FALSE)</f>
        <v>6.7</v>
      </c>
      <c r="F59" s="76">
        <f>VLOOKUP(G$14,Table24[],5,FALSE)</f>
        <v>6.7</v>
      </c>
      <c r="G59" s="76">
        <f>VLOOKUP(H$14,Table24[],5,FALSE)</f>
        <v>6.2</v>
      </c>
      <c r="H59" s="76">
        <f>VLOOKUP(I$14,Table24[],5,FALSE)</f>
        <v>6.2</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6.1</v>
      </c>
      <c r="C60" s="76">
        <f t="shared" ref="C60:U60" si="14">D10</f>
        <v>6.5</v>
      </c>
      <c r="D60" s="76">
        <f t="shared" si="14"/>
        <v>6.6</v>
      </c>
      <c r="E60" s="76">
        <f t="shared" si="14"/>
        <v>6</v>
      </c>
      <c r="F60" s="76">
        <f t="shared" si="14"/>
        <v>6.9</v>
      </c>
      <c r="G60" s="76">
        <f t="shared" si="14"/>
        <v>5.9</v>
      </c>
      <c r="H60" s="76">
        <f t="shared" si="14"/>
        <v>6.3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17</v>
      </c>
      <c r="C62" s="77">
        <f>B32</f>
        <v>17</v>
      </c>
      <c r="D62" s="77">
        <f>B33</f>
        <v>17</v>
      </c>
      <c r="E62" s="77">
        <f>B34</f>
        <v>17</v>
      </c>
      <c r="F62" s="77">
        <f>B35</f>
        <v>17</v>
      </c>
      <c r="G62" s="77">
        <f>B36</f>
        <v>17</v>
      </c>
      <c r="H62" s="77">
        <f>B37</f>
        <v>17</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1.6000000000000014</v>
      </c>
      <c r="D64" s="77">
        <f t="shared" si="17"/>
        <v>0.80000000000000426</v>
      </c>
      <c r="E64" s="77">
        <f t="shared" si="17"/>
        <v>5.6000000000000014</v>
      </c>
      <c r="F64" s="77">
        <f t="shared" si="17"/>
        <v>-1.6000000000000014</v>
      </c>
      <c r="G64" s="77">
        <f t="shared" si="17"/>
        <v>1.7999999999999989</v>
      </c>
      <c r="H64" s="77">
        <f t="shared" si="17"/>
        <v>-0.59999999999999787</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-1.6000000000000014</v>
      </c>
      <c r="D65" s="77">
        <f t="shared" si="18"/>
        <v>-0.80000000000000426</v>
      </c>
      <c r="E65" s="77">
        <f t="shared" si="18"/>
        <v>-5.6000000000000014</v>
      </c>
      <c r="F65" s="77">
        <f t="shared" si="18"/>
        <v>1.6000000000000014</v>
      </c>
      <c r="G65" s="77">
        <f t="shared" si="18"/>
        <v>-1.7999999999999989</v>
      </c>
      <c r="H65" s="77">
        <f t="shared" si="18"/>
        <v>0.59999999999999787</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42" priority="46" operator="equal">
      <formula>"DECREASE"</formula>
    </cfRule>
    <cfRule type="cellIs" dxfId="441" priority="47" operator="equal">
      <formula>"INCREASE"</formula>
    </cfRule>
  </conditionalFormatting>
  <conditionalFormatting sqref="B62:U66 B31:B50">
    <cfRule type="cellIs" dxfId="440" priority="45" operator="greaterThan">
      <formula>$B$51</formula>
    </cfRule>
  </conditionalFormatting>
  <conditionalFormatting sqref="C31:C50">
    <cfRule type="cellIs" dxfId="439" priority="44" operator="greaterThan">
      <formula>$C$51</formula>
    </cfRule>
  </conditionalFormatting>
  <conditionalFormatting sqref="C18:V18">
    <cfRule type="cellIs" dxfId="438" priority="40" operator="equal">
      <formula>0</formula>
    </cfRule>
  </conditionalFormatting>
  <conditionalFormatting sqref="C17:V17">
    <cfRule type="cellIs" dxfId="437" priority="38" operator="equal">
      <formula>0</formula>
    </cfRule>
  </conditionalFormatting>
  <conditionalFormatting sqref="C19:V19">
    <cfRule type="cellIs" dxfId="436" priority="37" operator="equal">
      <formula>0</formula>
    </cfRule>
  </conditionalFormatting>
  <conditionalFormatting sqref="G31:G50">
    <cfRule type="cellIs" dxfId="435" priority="34" operator="greaterThan">
      <formula>$G$51</formula>
    </cfRule>
  </conditionalFormatting>
  <conditionalFormatting sqref="H31:H50">
    <cfRule type="cellIs" dxfId="434" priority="33" operator="greaterThan">
      <formula>$H$51</formula>
    </cfRule>
  </conditionalFormatting>
  <conditionalFormatting sqref="I31:I50">
    <cfRule type="cellIs" dxfId="433" priority="32" operator="greaterThan">
      <formula>$I$51</formula>
    </cfRule>
  </conditionalFormatting>
  <conditionalFormatting sqref="K31:K50">
    <cfRule type="cellIs" dxfId="432" priority="30" operator="greaterThan">
      <formula>$K$51</formula>
    </cfRule>
  </conditionalFormatting>
  <conditionalFormatting sqref="L31:L50">
    <cfRule type="cellIs" dxfId="431" priority="29" operator="greaterThan">
      <formula>$L$51</formula>
    </cfRule>
  </conditionalFormatting>
  <conditionalFormatting sqref="M31:M50">
    <cfRule type="cellIs" dxfId="430" priority="28" operator="greaterThan">
      <formula>$M$51</formula>
    </cfRule>
  </conditionalFormatting>
  <conditionalFormatting sqref="P31:P50">
    <cfRule type="cellIs" dxfId="429" priority="27" operator="greaterThan">
      <formula>$P$51</formula>
    </cfRule>
  </conditionalFormatting>
  <conditionalFormatting sqref="R31:R50">
    <cfRule type="cellIs" dxfId="428" priority="26" operator="greaterThan">
      <formula>$R$51</formula>
    </cfRule>
  </conditionalFormatting>
  <conditionalFormatting sqref="S31:S50">
    <cfRule type="cellIs" dxfId="427" priority="25" operator="greaterThan">
      <formula>$S$51</formula>
    </cfRule>
  </conditionalFormatting>
  <conditionalFormatting sqref="T31:T50">
    <cfRule type="cellIs" dxfId="426" priority="24" operator="greaterThan">
      <formula>$T$51</formula>
    </cfRule>
  </conditionalFormatting>
  <conditionalFormatting sqref="U31:U50">
    <cfRule type="cellIs" dxfId="425" priority="23" operator="greaterThan">
      <formula>$U$51</formula>
    </cfRule>
  </conditionalFormatting>
  <conditionalFormatting sqref="C22:V22">
    <cfRule type="cellIs" dxfId="424" priority="21" operator="equal">
      <formula>0</formula>
    </cfRule>
  </conditionalFormatting>
  <conditionalFormatting sqref="C24:V24">
    <cfRule type="cellIs" dxfId="423" priority="19" operator="equal">
      <formula>"DECREASE"</formula>
    </cfRule>
    <cfRule type="cellIs" dxfId="422" priority="20" operator="equal">
      <formula>"INCREASE"</formula>
    </cfRule>
  </conditionalFormatting>
  <conditionalFormatting sqref="C23:V23">
    <cfRule type="cellIs" dxfId="421" priority="18" operator="equal">
      <formula>0</formula>
    </cfRule>
  </conditionalFormatting>
  <conditionalFormatting sqref="C21:V21">
    <cfRule type="cellIs" dxfId="417" priority="11" operator="equal">
      <formula>0</formula>
    </cfRule>
  </conditionalFormatting>
  <conditionalFormatting sqref="B66:U66">
    <cfRule type="cellIs" dxfId="416" priority="7" operator="equal">
      <formula>"UNDER"</formula>
    </cfRule>
    <cfRule type="cellIs" dxfId="415" priority="8" operator="equal">
      <formula>"OVER"</formula>
    </cfRule>
  </conditionalFormatting>
  <conditionalFormatting sqref="J31:J50">
    <cfRule type="cellIs" dxfId="414" priority="6" operator="greaterThan">
      <formula>$J$51</formula>
    </cfRule>
  </conditionalFormatting>
  <conditionalFormatting sqref="L3">
    <cfRule type="cellIs" dxfId="413" priority="4" operator="lessThan">
      <formula>30</formula>
    </cfRule>
    <cfRule type="cellIs" dxfId="412" priority="5" operator="greaterThanOrEqual">
      <formula>30</formula>
    </cfRule>
  </conditionalFormatting>
  <conditionalFormatting sqref="I1">
    <cfRule type="cellIs" dxfId="22" priority="3" operator="between">
      <formula>0.1</formula>
      <formula>5</formula>
    </cfRule>
  </conditionalFormatting>
  <conditionalFormatting sqref="I2">
    <cfRule type="cellIs" dxfId="21" priority="2" operator="greaterThan">
      <formula>5000.1</formula>
    </cfRule>
  </conditionalFormatting>
  <conditionalFormatting sqref="I3">
    <cfRule type="cellIs" dxfId="20" priority="1" operator="greaterThan">
      <formula>40000.01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42" sqref="B4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Waste 1'!C1:D1</f>
        <v>PAN-020020</v>
      </c>
      <c r="D1" s="143"/>
      <c r="E1" s="93" t="s">
        <v>45</v>
      </c>
      <c r="F1" s="39">
        <f>'Field data and Waste 1'!F1</f>
        <v>50</v>
      </c>
      <c r="G1" s="122" t="s">
        <v>43</v>
      </c>
      <c r="H1" s="123"/>
      <c r="I1" s="120">
        <v>3.76</v>
      </c>
      <c r="J1" s="121" t="s">
        <v>153</v>
      </c>
      <c r="K1" s="121"/>
      <c r="L1" s="120">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Waste 1'!C2:D2</f>
        <v>KP3594VE</v>
      </c>
      <c r="D2" s="145"/>
      <c r="E2" s="93" t="s">
        <v>109</v>
      </c>
      <c r="F2" s="120" t="s">
        <v>171</v>
      </c>
      <c r="G2" s="140" t="s">
        <v>110</v>
      </c>
      <c r="H2" s="141"/>
      <c r="I2" s="120">
        <v>516</v>
      </c>
      <c r="J2" s="121" t="s">
        <v>158</v>
      </c>
      <c r="K2" s="121"/>
      <c r="L2" s="120">
        <v>0.06</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Waste 1'!C3:D3</f>
        <v>TES</v>
      </c>
      <c r="D3" s="145"/>
      <c r="E3" s="93" t="s">
        <v>108</v>
      </c>
      <c r="F3" s="31" t="s">
        <v>78</v>
      </c>
      <c r="G3" s="121" t="s">
        <v>159</v>
      </c>
      <c r="H3" s="121"/>
      <c r="I3" s="118"/>
      <c r="J3" s="122" t="s">
        <v>154</v>
      </c>
      <c r="K3" s="123"/>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Waste 1'!C4:D4</f>
        <v>Brookhouse Farm, Hanmer, SY13 3EQ</v>
      </c>
      <c r="D4" s="143"/>
      <c r="E4" s="94" t="s">
        <v>1</v>
      </c>
      <c r="F4" s="119" t="s">
        <v>172</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f>'Field data and Waste 1'!C5:D5</f>
        <v>0</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Waste 1'!C8</f>
        <v>5</v>
      </c>
      <c r="D8" s="60" t="str">
        <f>'Field data and Waste 1'!D8</f>
        <v>6 7</v>
      </c>
      <c r="E8" s="60" t="str">
        <f>'Field data and Waste 1'!E8</f>
        <v>8 9</v>
      </c>
      <c r="F8" s="60" t="str">
        <f>'Field data and Waste 1'!F8</f>
        <v>10 11</v>
      </c>
      <c r="G8" s="60">
        <f>'Field data and Waste 1'!G8</f>
        <v>14</v>
      </c>
      <c r="H8" s="60">
        <f>'Field data and Waste 1'!H8</f>
        <v>20</v>
      </c>
      <c r="I8" s="60">
        <f>'Field data and Waste 1'!I8</f>
        <v>21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f>'Field data and Waste 1'!C9</f>
        <v>1</v>
      </c>
      <c r="D9" s="60">
        <f>'Field data and Waste 1'!D9</f>
        <v>1</v>
      </c>
      <c r="E9" s="60">
        <f>'Field data and Waste 1'!E9</f>
        <v>1</v>
      </c>
      <c r="F9" s="60">
        <f>'Field data and Waste 1'!F9</f>
        <v>1</v>
      </c>
      <c r="G9" s="60">
        <f>'Field data and Waste 1'!G9</f>
        <v>1</v>
      </c>
      <c r="H9" s="60" t="str">
        <f>'Field data and Waste 1'!H9</f>
        <v xml:space="preserve">Moderate </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Waste 1'!C10</f>
        <v>6.1</v>
      </c>
      <c r="D10" s="60">
        <f>'Field data and Waste 1'!D10</f>
        <v>6.5</v>
      </c>
      <c r="E10" s="60">
        <f>'Field data and Waste 1'!E10</f>
        <v>6.6</v>
      </c>
      <c r="F10" s="60">
        <f>'Field data and Waste 1'!F10</f>
        <v>6</v>
      </c>
      <c r="G10" s="60">
        <f>'Field data and Waste 1'!G10</f>
        <v>6.9</v>
      </c>
      <c r="H10" s="60">
        <f>'Field data and Waste 1'!H10</f>
        <v>5.9</v>
      </c>
      <c r="I10" s="60">
        <f>'Field data and Waste 1'!I10</f>
        <v>6.3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Waste 1'!C11</f>
        <v>4</v>
      </c>
      <c r="D11" s="60">
        <f>'Field data and Waste 1'!D11</f>
        <v>4</v>
      </c>
      <c r="E11" s="60">
        <f>'Field data and Waste 1'!E11</f>
        <v>3</v>
      </c>
      <c r="F11" s="60">
        <f>'Field data and Waste 1'!F11</f>
        <v>4</v>
      </c>
      <c r="G11" s="60">
        <f>'Field data and Waste 1'!G11</f>
        <v>3</v>
      </c>
      <c r="H11" s="60">
        <f>'Field data and Waste 1'!H11</f>
        <v>4</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Waste 1'!C12</f>
        <v>1</v>
      </c>
      <c r="D12" s="60">
        <f>'Field data and Waste 1'!D12</f>
        <v>0</v>
      </c>
      <c r="E12" s="60">
        <f>'Field data and Waste 1'!E12</f>
        <v>0</v>
      </c>
      <c r="F12" s="60">
        <f>'Field data and Waste 1'!F12</f>
        <v>3</v>
      </c>
      <c r="G12" s="60">
        <f>'Field data and Waste 1'!G12</f>
        <v>1</v>
      </c>
      <c r="H12" s="60">
        <f>'Field data and Waste 1'!H12</f>
        <v>2</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Waste 1'!C13</f>
        <v>2</v>
      </c>
      <c r="D13" s="60">
        <f>'Field data and Waste 1'!D13</f>
        <v>1</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Waste 1'!C14</f>
        <v>Maize- Silage (30% DM)</v>
      </c>
      <c r="D14" s="102" t="str">
        <f>'Field data and Waste 1'!D14</f>
        <v>Spring wheat/barley</v>
      </c>
      <c r="E14" s="102" t="str">
        <f>'Field data and Waste 1'!E14</f>
        <v>Maize- Silage (30% DM)</v>
      </c>
      <c r="F14" s="102" t="str">
        <f>'Field data and Waste 1'!F14</f>
        <v>Spring wheat/barley</v>
      </c>
      <c r="G14" s="102" t="str">
        <f>'Field data and Waste 1'!G14</f>
        <v xml:space="preserve">Winter wheat- grain only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2" t="s">
        <v>9</v>
      </c>
      <c r="B15" s="132"/>
      <c r="C15" s="60">
        <f>'Field data and Waste 1'!C15</f>
        <v>40</v>
      </c>
      <c r="D15" s="60">
        <f>'Field data and Waste 1'!D15</f>
        <v>5.5</v>
      </c>
      <c r="E15" s="60">
        <f>'Field data and Waste 1'!E15</f>
        <v>40</v>
      </c>
      <c r="F15" s="60">
        <f>'Field data and Waste 1'!F15</f>
        <v>5.5</v>
      </c>
      <c r="G15" s="60">
        <f>'Field data and Waste 1'!G15</f>
        <v>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56</v>
      </c>
      <c r="D17" s="28">
        <f t="shared" ref="D17:V17" si="0">(VLOOKUP(D$14,$AI2:$AK26,2,FALSE))*D$15</f>
        <v>46.75</v>
      </c>
      <c r="E17" s="28">
        <f t="shared" si="0"/>
        <v>56</v>
      </c>
      <c r="F17" s="28">
        <f t="shared" si="0"/>
        <v>46.75</v>
      </c>
      <c r="G17" s="28">
        <f t="shared" si="0"/>
        <v>52</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45.270159999999997</v>
      </c>
      <c r="D18" s="16">
        <f>$D32</f>
        <v>45.270159999999997</v>
      </c>
      <c r="E18" s="16">
        <f>$D33</f>
        <v>45.270159999999997</v>
      </c>
      <c r="F18" s="16">
        <f>$D34</f>
        <v>45.270159999999997</v>
      </c>
      <c r="G18" s="16">
        <f>$D35</f>
        <v>45.270159999999997</v>
      </c>
      <c r="H18" s="16">
        <f>$D36</f>
        <v>45.270159999999997</v>
      </c>
      <c r="I18" s="16">
        <f>$D37</f>
        <v>45.270159999999997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-10.729840000000003</v>
      </c>
      <c r="D19" s="16">
        <f t="shared" ref="D19:V19" si="1">D18-D17</f>
        <v>-1.4798400000000029</v>
      </c>
      <c r="E19" s="16">
        <f t="shared" si="1"/>
        <v>-10.729840000000003</v>
      </c>
      <c r="F19" s="16">
        <f t="shared" si="1"/>
        <v>-1.4798400000000029</v>
      </c>
      <c r="G19" s="16">
        <f t="shared" si="1"/>
        <v>-6.7298400000000029</v>
      </c>
      <c r="H19" s="16">
        <f t="shared" si="1"/>
        <v>-19.329839999999997</v>
      </c>
      <c r="I19" s="16">
        <f t="shared" si="1"/>
        <v>-19.329839999999997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176</v>
      </c>
      <c r="D21" s="28">
        <f t="shared" ref="D21:V21" si="2">(VLOOKUP(D$14,$AI2:$AK26,3,FALSE))*D$15</f>
        <v>66</v>
      </c>
      <c r="E21" s="28">
        <f t="shared" si="2"/>
        <v>176</v>
      </c>
      <c r="F21" s="28">
        <f t="shared" si="2"/>
        <v>66</v>
      </c>
      <c r="G21" s="28">
        <f t="shared" si="2"/>
        <v>44</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40.729000000000006</v>
      </c>
      <c r="D22" s="16">
        <f>$E32</f>
        <v>40.729000000000006</v>
      </c>
      <c r="E22" s="16">
        <f>$E33</f>
        <v>40.729000000000006</v>
      </c>
      <c r="F22" s="16">
        <f>$E34</f>
        <v>40.729000000000006</v>
      </c>
      <c r="G22" s="16">
        <f>$E35</f>
        <v>40.729000000000006</v>
      </c>
      <c r="H22" s="16">
        <f>$E36</f>
        <v>40.729000000000006</v>
      </c>
      <c r="I22" s="16">
        <f>$E37</f>
        <v>40.729000000000006</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-135.27099999999999</v>
      </c>
      <c r="D23" s="16">
        <f t="shared" ref="D23:V23" si="3">D22-D21</f>
        <v>-25.270999999999994</v>
      </c>
      <c r="E23" s="16">
        <f t="shared" si="3"/>
        <v>-135.27099999999999</v>
      </c>
      <c r="F23" s="16">
        <f t="shared" si="3"/>
        <v>-25.270999999999994</v>
      </c>
      <c r="G23" s="16">
        <f t="shared" si="3"/>
        <v>-3.2709999999999937</v>
      </c>
      <c r="H23" s="16">
        <f t="shared" si="3"/>
        <v>-187.27099999999999</v>
      </c>
      <c r="I23" s="16">
        <f t="shared" si="3"/>
        <v>-187.27099999999999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1.85</v>
      </c>
      <c r="C28" s="15">
        <v>0.06</v>
      </c>
      <c r="D28" s="15">
        <v>98.8</v>
      </c>
      <c r="E28" s="15">
        <v>169</v>
      </c>
      <c r="F28" s="15">
        <v>25.6</v>
      </c>
      <c r="G28" s="15">
        <v>0.221</v>
      </c>
      <c r="H28" s="15">
        <v>1</v>
      </c>
      <c r="I28" s="15">
        <v>0.5</v>
      </c>
      <c r="J28" s="15">
        <v>0.01</v>
      </c>
      <c r="K28" s="23">
        <v>0.05</v>
      </c>
      <c r="L28" s="15">
        <v>0.2</v>
      </c>
      <c r="M28" s="15">
        <v>0.2</v>
      </c>
      <c r="N28" s="15"/>
      <c r="O28" s="15"/>
      <c r="P28" s="15">
        <v>337</v>
      </c>
      <c r="Q28" s="15">
        <v>77.900000000000006</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v>
      </c>
      <c r="B31" s="15">
        <v>200</v>
      </c>
      <c r="C31" s="77">
        <f>IF(C$27="%w/w SAR",((C$28*10)*$B31),IF(C$27="%w/w DM",(((C$28*10)*($B$28/100))*$B31),IF(C$27="kg/t SAR",(C$28*$B31),IF(C$27="kg/t DM",((C$28*($B$28/100))*$B31),IF(C$27="mg/kg SAR",((C$28*0.001)*$B31),IF(C$27="mg/kg DM",(((C$28*0.001)*($B$28/100))*$B31),0))))))</f>
        <v>120</v>
      </c>
      <c r="D31" s="77">
        <f>(IF(D$27="%w/w SAR",((D$28*10)*$B31),IF(D$27="%w/w DM",(((D$28*10)*($B$28/100))*$B31),IF(D$27="kg/t SAR",(D$28*$B31),IF(D$27="kg/t DM",((D$28*($B$28/100))*$B31),IF(D$27="mg/kg SAR",((D$28*0.001)*$B31),IF(D$27="mg/kg DM",(((D$28*0.001)*($B$28/100))*$B31),"0")))))))*2.291</f>
        <v>45.270159999999997</v>
      </c>
      <c r="E31" s="77">
        <f>(IF(E$27="%w/w SAR",((E$28*10)*$B31),IF(E$27="%w/w DM",(((E$28*10)*($B$28/100))*$B31),IF(E$27="kg/t SAR",(E$28*$B31),IF(E$27="kg/t DM",((E$28*($B$28/100))*$B31),IF(E$27="mg/kg SAR",((E$28*0.001)*$B31),IF(E$27="mg/kg DM",(((E$28*0.001)*($B$28/100))*$B31),"0")))))))*1.205</f>
        <v>40.729000000000006</v>
      </c>
      <c r="F31" s="77">
        <f>(IF(F$27="%w/w SAR",((F$28*10)*$B31),IF(F$27="%w/w DM",(((F$28*10)*($B$28/100))*$B31),IF(F$27="kg/t SAR",(F$28*$B31),IF(F$27="kg/t DM",((F$28*($B$28/100))*$B31),IF(F$27="mg/kg SAR",((F$28*0.001)*$B31),IF(F$27="mg/kg DM",(((F$28*0.001)*($B$28/100))*$B31),"0")))))))*1.658</f>
        <v>8.4889600000000005</v>
      </c>
      <c r="G31" s="77">
        <f t="shared" ref="G31:P46" si="5">IF(G$27="%w/w SAR",((G$28*10)*$B31),IF(G$27="%w/w DM",(((G$28*10)*($B$28/100))*$B31),IF(G$27="kg/t SAR",(G$28*$B31),IF(G$27="kg/t DM",((G$28*($B$28/100))*$B31),IF(G$27="mg/kg SAR",((G$28*0.001)*$B31),IF(G$27="mg/kg DM",(((G$28*0.001)*($B$28/100))*$B31),0))))))</f>
        <v>4.4200000000000003E-2</v>
      </c>
      <c r="H31" s="77">
        <f t="shared" si="5"/>
        <v>0.2</v>
      </c>
      <c r="I31" s="77">
        <f t="shared" si="5"/>
        <v>0.1</v>
      </c>
      <c r="J31" s="77">
        <f t="shared" si="5"/>
        <v>2E-3</v>
      </c>
      <c r="K31" s="77">
        <f t="shared" si="5"/>
        <v>0.01</v>
      </c>
      <c r="L31" s="77">
        <f t="shared" si="5"/>
        <v>0.04</v>
      </c>
      <c r="M31" s="77">
        <f t="shared" si="5"/>
        <v>0.04</v>
      </c>
      <c r="N31" s="77">
        <f t="shared" si="5"/>
        <v>0</v>
      </c>
      <c r="O31" s="77">
        <f t="shared" si="5"/>
        <v>0</v>
      </c>
      <c r="P31" s="77">
        <f t="shared" si="5"/>
        <v>67.400000000000006</v>
      </c>
      <c r="Q31" s="77">
        <f>(IF(Q$27="%w/w SAR",((Q$28*10)*$B31),IF(Q$27="%w/w DM",(((Q$28*10)*($B$28/100))*$B31),IF(Q$27="kg/t SAR",(Q$28*$B31),IF(Q$27="kg/t DM",((Q$28*($B$28/100))*$B31),IF(Q$27="mg/kg SAR",((Q$28*0.001)*$B31),IF(Q$27="mg/kg DM",(((Q$28*0.001)*($B$28/100))*$B31),0)))))))*2.5</f>
        <v>38.950000000000003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6 7</v>
      </c>
      <c r="B32" s="15">
        <v>200</v>
      </c>
      <c r="C32" s="77">
        <f t="shared" ref="C32:C50" si="6">IF(C$27="%w/w SAR",((C$28*10)*$B32),IF(C$27="%w/w DM",(((C$28*10)*($B$28/100))*$B32),IF(C$27="kg/t SAR",(C$28*$B32),IF(C$27="kg/t DM",((C$28*($B$28/100))*$B32),IF(C$27="mg/kg SAR",((C$28*0.001)*$B32),IF(C$27="mg/kg DM",(((C$28*0.001)*($B$28/100))*$B32),0))))))</f>
        <v>120</v>
      </c>
      <c r="D32" s="77">
        <f t="shared" ref="D32:D50" si="7">(IF(D$27="%w/w SAR",((D$28*10)*$B32),IF(D$27="%w/w DM",(((D$28*10)*($B$28/100))*$B32),IF(D$27="kg/t SAR",(D$28*$B32),IF(D$27="kg/t DM",((D$28*($B$28/100))*$B32),IF(D$27="mg/kg SAR",((D$28*0.001)*$B32),IF(D$27="mg/kg DM",(((D$28*0.001)*($B$28/100))*$B32),"0")))))))*2.291</f>
        <v>45.270159999999997</v>
      </c>
      <c r="E32" s="77">
        <f t="shared" ref="E32:E50" si="8">(IF(E$27="%w/w SAR",((E$28*10)*$B32),IF(E$27="%w/w DM",(((E$28*10)*($B$28/100))*$B32),IF(E$27="kg/t SAR",(E$28*$B32),IF(E$27="kg/t DM",((E$28*($B$28/100))*$B32),IF(E$27="mg/kg SAR",((E$28*0.001)*$B32),IF(E$27="mg/kg DM",(((E$28*0.001)*($B$28/100))*$B32),"0")))))))*1.205</f>
        <v>40.729000000000006</v>
      </c>
      <c r="F32" s="77">
        <f t="shared" ref="F32:F50" si="9">(IF(F$27="%w/w SAR",((F$28*10)*$B32),IF(F$27="%w/w DM",(((F$28*10)*($B$28/100))*$B32),IF(F$27="kg/t SAR",(F$28*$B32),IF(F$27="kg/t DM",((F$28*($B$28/100))*$B32),IF(F$27="mg/kg SAR",((F$28*0.001)*$B32),IF(F$27="mg/kg DM",(((F$28*0.001)*($B$28/100))*$B32),"0")))))))*1.658</f>
        <v>8.4889600000000005</v>
      </c>
      <c r="G32" s="77">
        <f t="shared" si="5"/>
        <v>4.4200000000000003E-2</v>
      </c>
      <c r="H32" s="77">
        <f t="shared" si="5"/>
        <v>0.2</v>
      </c>
      <c r="I32" s="77">
        <f t="shared" si="5"/>
        <v>0.1</v>
      </c>
      <c r="J32" s="77">
        <f t="shared" si="5"/>
        <v>2E-3</v>
      </c>
      <c r="K32" s="77">
        <f t="shared" si="5"/>
        <v>0.01</v>
      </c>
      <c r="L32" s="77">
        <f t="shared" si="5"/>
        <v>0.04</v>
      </c>
      <c r="M32" s="77">
        <f t="shared" si="5"/>
        <v>0.04</v>
      </c>
      <c r="N32" s="77">
        <f t="shared" si="5"/>
        <v>0</v>
      </c>
      <c r="O32" s="77">
        <f t="shared" si="5"/>
        <v>0</v>
      </c>
      <c r="P32" s="77">
        <f t="shared" si="5"/>
        <v>67.400000000000006</v>
      </c>
      <c r="Q32" s="77">
        <f t="shared" ref="Q32:Q50" si="10">(IF(Q$27="%w/w SAR",((Q$28*10)*$B32),IF(Q$27="%w/w DM",(((Q$28*10)*($B$28/100))*$B32),IF(Q$27="kg/t SAR",(Q$28*$B32),IF(Q$27="kg/t DM",((Q$28*($B$28/100))*$B32),IF(Q$27="mg/kg SAR",((Q$28*0.001)*$B32),IF(Q$27="mg/kg DM",(((Q$28*0.001)*($B$28/100))*$B32),0)))))))*2.5</f>
        <v>38.950000000000003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8 9</v>
      </c>
      <c r="B33" s="15">
        <v>200</v>
      </c>
      <c r="C33" s="77">
        <f t="shared" si="6"/>
        <v>120</v>
      </c>
      <c r="D33" s="77">
        <f t="shared" si="7"/>
        <v>45.270159999999997</v>
      </c>
      <c r="E33" s="77">
        <f t="shared" si="8"/>
        <v>40.729000000000006</v>
      </c>
      <c r="F33" s="77">
        <f t="shared" si="9"/>
        <v>8.4889600000000005</v>
      </c>
      <c r="G33" s="77">
        <f t="shared" si="5"/>
        <v>4.4200000000000003E-2</v>
      </c>
      <c r="H33" s="77">
        <f t="shared" si="5"/>
        <v>0.2</v>
      </c>
      <c r="I33" s="77">
        <f t="shared" si="5"/>
        <v>0.1</v>
      </c>
      <c r="J33" s="77">
        <f t="shared" si="5"/>
        <v>2E-3</v>
      </c>
      <c r="K33" s="77">
        <f t="shared" si="5"/>
        <v>0.01</v>
      </c>
      <c r="L33" s="77">
        <f t="shared" si="5"/>
        <v>0.04</v>
      </c>
      <c r="M33" s="77">
        <f t="shared" si="5"/>
        <v>0.04</v>
      </c>
      <c r="N33" s="77">
        <f t="shared" si="5"/>
        <v>0</v>
      </c>
      <c r="O33" s="77">
        <f t="shared" si="5"/>
        <v>0</v>
      </c>
      <c r="P33" s="77">
        <f t="shared" si="5"/>
        <v>67.400000000000006</v>
      </c>
      <c r="Q33" s="77">
        <f t="shared" si="10"/>
        <v>38.950000000000003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10 11</v>
      </c>
      <c r="B34" s="15">
        <v>200</v>
      </c>
      <c r="C34" s="77">
        <f t="shared" si="6"/>
        <v>120</v>
      </c>
      <c r="D34" s="77">
        <f t="shared" si="7"/>
        <v>45.270159999999997</v>
      </c>
      <c r="E34" s="77">
        <f t="shared" si="8"/>
        <v>40.729000000000006</v>
      </c>
      <c r="F34" s="77">
        <f t="shared" si="9"/>
        <v>8.4889600000000005</v>
      </c>
      <c r="G34" s="77">
        <f t="shared" si="5"/>
        <v>4.4200000000000003E-2</v>
      </c>
      <c r="H34" s="77">
        <f t="shared" si="5"/>
        <v>0.2</v>
      </c>
      <c r="I34" s="77">
        <f t="shared" si="5"/>
        <v>0.1</v>
      </c>
      <c r="J34" s="77">
        <f t="shared" si="5"/>
        <v>2E-3</v>
      </c>
      <c r="K34" s="77">
        <f t="shared" si="5"/>
        <v>0.01</v>
      </c>
      <c r="L34" s="77">
        <f t="shared" si="5"/>
        <v>0.04</v>
      </c>
      <c r="M34" s="77">
        <f t="shared" si="5"/>
        <v>0.04</v>
      </c>
      <c r="N34" s="77">
        <f t="shared" si="5"/>
        <v>0</v>
      </c>
      <c r="O34" s="77">
        <f t="shared" si="5"/>
        <v>0</v>
      </c>
      <c r="P34" s="77">
        <f t="shared" si="5"/>
        <v>67.400000000000006</v>
      </c>
      <c r="Q34" s="77">
        <f t="shared" si="10"/>
        <v>38.950000000000003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14</v>
      </c>
      <c r="B35" s="15">
        <v>200</v>
      </c>
      <c r="C35" s="77">
        <f t="shared" si="6"/>
        <v>120</v>
      </c>
      <c r="D35" s="77">
        <f t="shared" si="7"/>
        <v>45.270159999999997</v>
      </c>
      <c r="E35" s="77">
        <f t="shared" si="8"/>
        <v>40.729000000000006</v>
      </c>
      <c r="F35" s="77">
        <f t="shared" si="9"/>
        <v>8.4889600000000005</v>
      </c>
      <c r="G35" s="77">
        <f t="shared" si="5"/>
        <v>4.4200000000000003E-2</v>
      </c>
      <c r="H35" s="77">
        <f t="shared" si="5"/>
        <v>0.2</v>
      </c>
      <c r="I35" s="77">
        <f t="shared" si="5"/>
        <v>0.1</v>
      </c>
      <c r="J35" s="77">
        <f t="shared" si="5"/>
        <v>2E-3</v>
      </c>
      <c r="K35" s="77">
        <f t="shared" si="5"/>
        <v>0.01</v>
      </c>
      <c r="L35" s="77">
        <f t="shared" si="5"/>
        <v>0.04</v>
      </c>
      <c r="M35" s="77">
        <f t="shared" si="5"/>
        <v>0.04</v>
      </c>
      <c r="N35" s="77">
        <f t="shared" si="5"/>
        <v>0</v>
      </c>
      <c r="O35" s="77">
        <f t="shared" si="5"/>
        <v>0</v>
      </c>
      <c r="P35" s="77">
        <f t="shared" si="5"/>
        <v>67.400000000000006</v>
      </c>
      <c r="Q35" s="77">
        <f t="shared" si="10"/>
        <v>38.950000000000003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20</v>
      </c>
      <c r="B36" s="15">
        <v>200</v>
      </c>
      <c r="C36" s="77">
        <f t="shared" si="6"/>
        <v>120</v>
      </c>
      <c r="D36" s="77">
        <f t="shared" si="7"/>
        <v>45.270159999999997</v>
      </c>
      <c r="E36" s="77">
        <f t="shared" si="8"/>
        <v>40.729000000000006</v>
      </c>
      <c r="F36" s="77">
        <f t="shared" si="9"/>
        <v>8.4889600000000005</v>
      </c>
      <c r="G36" s="77">
        <f t="shared" si="5"/>
        <v>4.4200000000000003E-2</v>
      </c>
      <c r="H36" s="77">
        <f t="shared" si="5"/>
        <v>0.2</v>
      </c>
      <c r="I36" s="77">
        <f t="shared" si="5"/>
        <v>0.1</v>
      </c>
      <c r="J36" s="77">
        <f t="shared" si="5"/>
        <v>2E-3</v>
      </c>
      <c r="K36" s="77">
        <f t="shared" si="5"/>
        <v>0.01</v>
      </c>
      <c r="L36" s="77">
        <f t="shared" si="5"/>
        <v>0.04</v>
      </c>
      <c r="M36" s="77">
        <f t="shared" si="5"/>
        <v>0.04</v>
      </c>
      <c r="N36" s="77">
        <f t="shared" si="5"/>
        <v>0</v>
      </c>
      <c r="O36" s="77">
        <f t="shared" si="5"/>
        <v>0</v>
      </c>
      <c r="P36" s="77">
        <f t="shared" si="5"/>
        <v>67.400000000000006</v>
      </c>
      <c r="Q36" s="77">
        <f t="shared" si="10"/>
        <v>38.950000000000003</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21</v>
      </c>
      <c r="B37" s="15">
        <v>200</v>
      </c>
      <c r="C37" s="77">
        <f t="shared" si="6"/>
        <v>120</v>
      </c>
      <c r="D37" s="77">
        <f t="shared" si="7"/>
        <v>45.270159999999997</v>
      </c>
      <c r="E37" s="77">
        <f t="shared" si="8"/>
        <v>40.729000000000006</v>
      </c>
      <c r="F37" s="77">
        <f t="shared" si="9"/>
        <v>8.4889600000000005</v>
      </c>
      <c r="G37" s="77">
        <f t="shared" si="5"/>
        <v>4.4200000000000003E-2</v>
      </c>
      <c r="H37" s="77">
        <f t="shared" si="5"/>
        <v>0.2</v>
      </c>
      <c r="I37" s="77">
        <f t="shared" si="5"/>
        <v>0.1</v>
      </c>
      <c r="J37" s="77">
        <f t="shared" si="5"/>
        <v>2E-3</v>
      </c>
      <c r="K37" s="77">
        <f t="shared" si="5"/>
        <v>0.01</v>
      </c>
      <c r="L37" s="77">
        <f t="shared" si="5"/>
        <v>0.04</v>
      </c>
      <c r="M37" s="77">
        <f t="shared" si="5"/>
        <v>0.04</v>
      </c>
      <c r="N37" s="77">
        <f t="shared" si="5"/>
        <v>0</v>
      </c>
      <c r="O37" s="77">
        <f t="shared" si="5"/>
        <v>0</v>
      </c>
      <c r="P37" s="77">
        <f t="shared" si="5"/>
        <v>67.400000000000006</v>
      </c>
      <c r="Q37" s="77">
        <f t="shared" si="10"/>
        <v>38.950000000000003</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v>
      </c>
      <c r="C57" s="8" t="str">
        <f t="shared" ref="C57:U57" si="13">D8</f>
        <v>6 7</v>
      </c>
      <c r="D57" s="8" t="str">
        <f t="shared" si="13"/>
        <v>8 9</v>
      </c>
      <c r="E57" s="8" t="str">
        <f t="shared" si="13"/>
        <v>10 11</v>
      </c>
      <c r="F57" s="8">
        <f t="shared" si="13"/>
        <v>14</v>
      </c>
      <c r="G57" s="8">
        <f t="shared" si="13"/>
        <v>20</v>
      </c>
      <c r="H57" s="8">
        <f t="shared" si="13"/>
        <v>21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6.7</v>
      </c>
      <c r="E59" s="76">
        <f>VLOOKUP(F$14,Table245[],5,FALSE)</f>
        <v>6.7</v>
      </c>
      <c r="F59" s="76">
        <f>VLOOKUP(G$14,Table245[],5,FALSE)</f>
        <v>6.7</v>
      </c>
      <c r="G59" s="76">
        <f>VLOOKUP(H$14,Table245[],5,FALSE)</f>
        <v>6.2</v>
      </c>
      <c r="H59" s="76">
        <f>VLOOKUP(I$14,Table245[],5,FALSE)</f>
        <v>6.2</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6.1</v>
      </c>
      <c r="C60" s="76">
        <f t="shared" ref="C60:U60" si="14">D10</f>
        <v>6.5</v>
      </c>
      <c r="D60" s="76">
        <f t="shared" si="14"/>
        <v>6.6</v>
      </c>
      <c r="E60" s="76">
        <f t="shared" si="14"/>
        <v>6</v>
      </c>
      <c r="F60" s="76">
        <f t="shared" si="14"/>
        <v>6.9</v>
      </c>
      <c r="G60" s="76">
        <f t="shared" si="14"/>
        <v>5.9</v>
      </c>
      <c r="H60" s="76">
        <f t="shared" si="14"/>
        <v>6.3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200</v>
      </c>
      <c r="C62" s="77">
        <f>B32</f>
        <v>200</v>
      </c>
      <c r="D62" s="77">
        <f>B33</f>
        <v>200</v>
      </c>
      <c r="E62" s="77">
        <f>B34</f>
        <v>200</v>
      </c>
      <c r="F62" s="77">
        <f>B35</f>
        <v>200</v>
      </c>
      <c r="G62" s="77">
        <f>B36</f>
        <v>200</v>
      </c>
      <c r="H62" s="77">
        <f>B37</f>
        <v>200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1.6000000000000014</v>
      </c>
      <c r="D64" s="77">
        <f t="shared" si="17"/>
        <v>0.80000000000000426</v>
      </c>
      <c r="E64" s="77">
        <f t="shared" si="17"/>
        <v>5.6000000000000014</v>
      </c>
      <c r="F64" s="77">
        <f t="shared" si="17"/>
        <v>-1.6000000000000014</v>
      </c>
      <c r="G64" s="77">
        <f t="shared" si="17"/>
        <v>1.7999999999999989</v>
      </c>
      <c r="H64" s="77">
        <f t="shared" si="17"/>
        <v>-0.59999999999999787</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-1.6000000000000014</v>
      </c>
      <c r="D65" s="77">
        <f t="shared" si="18"/>
        <v>-0.80000000000000426</v>
      </c>
      <c r="E65" s="77">
        <f t="shared" si="18"/>
        <v>-5.6000000000000014</v>
      </c>
      <c r="F65" s="77">
        <f t="shared" si="18"/>
        <v>1.6000000000000014</v>
      </c>
      <c r="G65" s="77">
        <f t="shared" si="18"/>
        <v>-1.7999999999999989</v>
      </c>
      <c r="H65" s="77">
        <f t="shared" si="18"/>
        <v>0.59999999999999787</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00" priority="39" operator="equal">
      <formula>"DECREASE"</formula>
    </cfRule>
    <cfRule type="cellIs" dxfId="399" priority="40" operator="equal">
      <formula>"INCREASE"</formula>
    </cfRule>
  </conditionalFormatting>
  <conditionalFormatting sqref="B62:U66 B31:B50">
    <cfRule type="cellIs" dxfId="398" priority="38" operator="greaterThan">
      <formula>$B$51</formula>
    </cfRule>
  </conditionalFormatting>
  <conditionalFormatting sqref="C31:C50">
    <cfRule type="cellIs" dxfId="397" priority="37" operator="greaterThan">
      <formula>$C$51</formula>
    </cfRule>
  </conditionalFormatting>
  <conditionalFormatting sqref="C18:V18">
    <cfRule type="cellIs" dxfId="396" priority="36" operator="equal">
      <formula>0</formula>
    </cfRule>
  </conditionalFormatting>
  <conditionalFormatting sqref="C17:V17">
    <cfRule type="cellIs" dxfId="395" priority="35" operator="equal">
      <formula>0</formula>
    </cfRule>
  </conditionalFormatting>
  <conditionalFormatting sqref="C19:V19">
    <cfRule type="cellIs" dxfId="394" priority="34" operator="equal">
      <formula>0</formula>
    </cfRule>
  </conditionalFormatting>
  <conditionalFormatting sqref="G31:G50">
    <cfRule type="cellIs" dxfId="393" priority="33" operator="greaterThan">
      <formula>$G$51</formula>
    </cfRule>
  </conditionalFormatting>
  <conditionalFormatting sqref="H31:H50">
    <cfRule type="cellIs" dxfId="392" priority="32" operator="greaterThan">
      <formula>$H$51</formula>
    </cfRule>
  </conditionalFormatting>
  <conditionalFormatting sqref="I31:I50">
    <cfRule type="cellIs" dxfId="391" priority="31" operator="greaterThan">
      <formula>$I$51</formula>
    </cfRule>
  </conditionalFormatting>
  <conditionalFormatting sqref="K31:K50">
    <cfRule type="cellIs" dxfId="390" priority="30" operator="greaterThan">
      <formula>$K$51</formula>
    </cfRule>
  </conditionalFormatting>
  <conditionalFormatting sqref="L31:L50">
    <cfRule type="cellIs" dxfId="389" priority="29" operator="greaterThan">
      <formula>$L$51</formula>
    </cfRule>
  </conditionalFormatting>
  <conditionalFormatting sqref="M31:M50">
    <cfRule type="cellIs" dxfId="388" priority="28" operator="greaterThan">
      <formula>$M$51</formula>
    </cfRule>
  </conditionalFormatting>
  <conditionalFormatting sqref="P31:P50">
    <cfRule type="cellIs" dxfId="387" priority="27" operator="greaterThan">
      <formula>$P$51</formula>
    </cfRule>
  </conditionalFormatting>
  <conditionalFormatting sqref="R31:R50">
    <cfRule type="cellIs" dxfId="386" priority="26" operator="greaterThan">
      <formula>$R$51</formula>
    </cfRule>
  </conditionalFormatting>
  <conditionalFormatting sqref="S31:S50">
    <cfRule type="cellIs" dxfId="385" priority="25" operator="greaterThan">
      <formula>$S$51</formula>
    </cfRule>
  </conditionalFormatting>
  <conditionalFormatting sqref="T31:T50">
    <cfRule type="cellIs" dxfId="384" priority="24" operator="greaterThan">
      <formula>$T$51</formula>
    </cfRule>
  </conditionalFormatting>
  <conditionalFormatting sqref="U31:U50">
    <cfRule type="cellIs" dxfId="383" priority="23" operator="greaterThan">
      <formula>$U$51</formula>
    </cfRule>
  </conditionalFormatting>
  <conditionalFormatting sqref="C22:V22">
    <cfRule type="cellIs" dxfId="382" priority="22" operator="equal">
      <formula>0</formula>
    </cfRule>
  </conditionalFormatting>
  <conditionalFormatting sqref="C24:V24">
    <cfRule type="cellIs" dxfId="381" priority="20" operator="equal">
      <formula>"DECREASE"</formula>
    </cfRule>
    <cfRule type="cellIs" dxfId="380" priority="21" operator="equal">
      <formula>"INCREASE"</formula>
    </cfRule>
  </conditionalFormatting>
  <conditionalFormatting sqref="C23:V23">
    <cfRule type="cellIs" dxfId="379" priority="19" operator="equal">
      <formula>0</formula>
    </cfRule>
  </conditionalFormatting>
  <conditionalFormatting sqref="C21:V21">
    <cfRule type="cellIs" dxfId="378" priority="15" operator="equal">
      <formula>0</formula>
    </cfRule>
  </conditionalFormatting>
  <conditionalFormatting sqref="B66:U66">
    <cfRule type="cellIs" dxfId="377" priority="13" operator="equal">
      <formula>"UNDER"</formula>
    </cfRule>
    <cfRule type="cellIs" dxfId="376" priority="14" operator="equal">
      <formula>"OVER"</formula>
    </cfRule>
  </conditionalFormatting>
  <conditionalFormatting sqref="J31:J50">
    <cfRule type="cellIs" dxfId="375" priority="10" operator="greaterThan">
      <formula>$J$51</formula>
    </cfRule>
  </conditionalFormatting>
  <conditionalFormatting sqref="L3">
    <cfRule type="cellIs" dxfId="374" priority="6" operator="lessThan">
      <formula>30</formula>
    </cfRule>
    <cfRule type="cellIs" dxfId="373" priority="7" operator="greaterThanOrEqual">
      <formula>30</formula>
    </cfRule>
  </conditionalFormatting>
  <conditionalFormatting sqref="I3">
    <cfRule type="cellIs" dxfId="370" priority="3" operator="greaterThan">
      <formula>40000.01</formula>
    </cfRule>
  </conditionalFormatting>
  <conditionalFormatting sqref="I1">
    <cfRule type="cellIs" dxfId="19" priority="2" operator="between">
      <formula>0.1</formula>
      <formula>5</formula>
    </cfRule>
  </conditionalFormatting>
  <conditionalFormatting sqref="I2">
    <cfRule type="cellIs" dxfId="18" priority="1" operator="greaterThan">
      <formula>5000.1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32" sqref="B32: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Waste 1'!C1:D1</f>
        <v>PAN-020020</v>
      </c>
      <c r="D1" s="143"/>
      <c r="E1" s="93" t="s">
        <v>45</v>
      </c>
      <c r="F1" s="39">
        <f>'Field data and Waste 1'!F1</f>
        <v>50</v>
      </c>
      <c r="G1" s="122" t="s">
        <v>43</v>
      </c>
      <c r="H1" s="123"/>
      <c r="I1" s="120">
        <v>7.01</v>
      </c>
      <c r="J1" s="121" t="s">
        <v>153</v>
      </c>
      <c r="K1" s="121"/>
      <c r="L1" s="120">
        <v>57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Waste 1'!C2:D2</f>
        <v>KP3594VE</v>
      </c>
      <c r="D2" s="145"/>
      <c r="E2" s="93" t="s">
        <v>109</v>
      </c>
      <c r="F2" s="120" t="s">
        <v>173</v>
      </c>
      <c r="G2" s="140" t="s">
        <v>110</v>
      </c>
      <c r="H2" s="141"/>
      <c r="I2" s="120">
        <v>3261</v>
      </c>
      <c r="J2" s="121" t="s">
        <v>158</v>
      </c>
      <c r="K2" s="121"/>
      <c r="L2" s="120">
        <v>0.22</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Waste 1'!C3:D3</f>
        <v>TES</v>
      </c>
      <c r="D3" s="145"/>
      <c r="E3" s="93" t="s">
        <v>108</v>
      </c>
      <c r="F3" s="31" t="s">
        <v>78</v>
      </c>
      <c r="G3" s="121" t="s">
        <v>159</v>
      </c>
      <c r="H3" s="121"/>
      <c r="I3" s="118"/>
      <c r="J3" s="122" t="s">
        <v>154</v>
      </c>
      <c r="K3" s="123"/>
      <c r="L3" s="97">
        <f>(L1/(L2*10000))*100</f>
        <v>2.5909090909090908</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Waste 1'!C4:D4</f>
        <v>Brookhouse Farm, Hanmer, SY13 3EQ</v>
      </c>
      <c r="D4" s="143"/>
      <c r="E4" s="94" t="s">
        <v>1</v>
      </c>
      <c r="F4" s="120" t="s">
        <v>174</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f>'Field data and Waste 1'!C5:D5</f>
        <v>0</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Waste 1'!C8</f>
        <v>5</v>
      </c>
      <c r="D8" s="60" t="str">
        <f>'Field data and Waste 1'!D8</f>
        <v>6 7</v>
      </c>
      <c r="E8" s="60" t="str">
        <f>'Field data and Waste 1'!E8</f>
        <v>8 9</v>
      </c>
      <c r="F8" s="60" t="str">
        <f>'Field data and Waste 1'!F8</f>
        <v>10 11</v>
      </c>
      <c r="G8" s="60">
        <f>'Field data and Waste 1'!G8</f>
        <v>14</v>
      </c>
      <c r="H8" s="60">
        <f>'Field data and Waste 1'!H8</f>
        <v>20</v>
      </c>
      <c r="I8" s="60">
        <f>'Field data and Waste 1'!I8</f>
        <v>21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f>'Field data and Waste 1'!C9</f>
        <v>1</v>
      </c>
      <c r="D9" s="60">
        <f>'Field data and Waste 1'!D9</f>
        <v>1</v>
      </c>
      <c r="E9" s="60">
        <f>'Field data and Waste 1'!E9</f>
        <v>1</v>
      </c>
      <c r="F9" s="60">
        <f>'Field data and Waste 1'!F9</f>
        <v>1</v>
      </c>
      <c r="G9" s="60">
        <f>'Field data and Waste 1'!G9</f>
        <v>1</v>
      </c>
      <c r="H9" s="60" t="str">
        <f>'Field data and Waste 1'!H9</f>
        <v xml:space="preserve">Moderate </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Waste 1'!C10</f>
        <v>6.1</v>
      </c>
      <c r="D10" s="60">
        <f>'Field data and Waste 1'!D10</f>
        <v>6.5</v>
      </c>
      <c r="E10" s="60">
        <f>'Field data and Waste 1'!E10</f>
        <v>6.6</v>
      </c>
      <c r="F10" s="60">
        <f>'Field data and Waste 1'!F10</f>
        <v>6</v>
      </c>
      <c r="G10" s="60">
        <f>'Field data and Waste 1'!G10</f>
        <v>6.9</v>
      </c>
      <c r="H10" s="60">
        <f>'Field data and Waste 1'!H10</f>
        <v>5.9</v>
      </c>
      <c r="I10" s="60">
        <f>'Field data and Waste 1'!I10</f>
        <v>6.3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Waste 1'!C11</f>
        <v>4</v>
      </c>
      <c r="D11" s="60">
        <f>'Field data and Waste 1'!D11</f>
        <v>4</v>
      </c>
      <c r="E11" s="60">
        <f>'Field data and Waste 1'!E11</f>
        <v>3</v>
      </c>
      <c r="F11" s="60">
        <f>'Field data and Waste 1'!F11</f>
        <v>4</v>
      </c>
      <c r="G11" s="60">
        <f>'Field data and Waste 1'!G11</f>
        <v>3</v>
      </c>
      <c r="H11" s="60">
        <f>'Field data and Waste 1'!H11</f>
        <v>4</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Waste 1'!C12</f>
        <v>1</v>
      </c>
      <c r="D12" s="60">
        <f>'Field data and Waste 1'!D12</f>
        <v>0</v>
      </c>
      <c r="E12" s="60">
        <f>'Field data and Waste 1'!E12</f>
        <v>0</v>
      </c>
      <c r="F12" s="60">
        <f>'Field data and Waste 1'!F12</f>
        <v>3</v>
      </c>
      <c r="G12" s="60">
        <f>'Field data and Waste 1'!G12</f>
        <v>1</v>
      </c>
      <c r="H12" s="60">
        <f>'Field data and Waste 1'!H12</f>
        <v>2</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Waste 1'!C13</f>
        <v>2</v>
      </c>
      <c r="D13" s="60">
        <f>'Field data and Waste 1'!D13</f>
        <v>1</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Waste 1'!C14</f>
        <v>Maize- Silage (30% DM)</v>
      </c>
      <c r="D14" s="102" t="str">
        <f>'Field data and Waste 1'!D14</f>
        <v>Spring wheat/barley</v>
      </c>
      <c r="E14" s="102" t="str">
        <f>'Field data and Waste 1'!E14</f>
        <v>Maize- Silage (30% DM)</v>
      </c>
      <c r="F14" s="102" t="str">
        <f>'Field data and Waste 1'!F14</f>
        <v>Spring wheat/barley</v>
      </c>
      <c r="G14" s="102" t="str">
        <f>'Field data and Waste 1'!G14</f>
        <v xml:space="preserve">Winter wheat- grain only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2" t="s">
        <v>9</v>
      </c>
      <c r="B15" s="132"/>
      <c r="C15" s="60">
        <f>'Field data and Waste 1'!C15</f>
        <v>40</v>
      </c>
      <c r="D15" s="60">
        <f>'Field data and Waste 1'!D15</f>
        <v>5.5</v>
      </c>
      <c r="E15" s="60">
        <f>'Field data and Waste 1'!E15</f>
        <v>40</v>
      </c>
      <c r="F15" s="60">
        <f>'Field data and Waste 1'!F15</f>
        <v>5.5</v>
      </c>
      <c r="G15" s="60">
        <f>'Field data and Waste 1'!G15</f>
        <v>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56</v>
      </c>
      <c r="D17" s="28">
        <f t="shared" ref="D17:V17" si="0">(VLOOKUP(D$14,$AI2:$AK26,2,FALSE))*D$15</f>
        <v>46.75</v>
      </c>
      <c r="E17" s="28">
        <f t="shared" si="0"/>
        <v>56</v>
      </c>
      <c r="F17" s="28">
        <f t="shared" si="0"/>
        <v>46.75</v>
      </c>
      <c r="G17" s="28">
        <f t="shared" si="0"/>
        <v>52</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45.792507999999998</v>
      </c>
      <c r="D18" s="16">
        <f>$D32</f>
        <v>45.792507999999998</v>
      </c>
      <c r="E18" s="16">
        <f>$D33</f>
        <v>45.792507999999998</v>
      </c>
      <c r="F18" s="16">
        <f>$D34</f>
        <v>45.792507999999998</v>
      </c>
      <c r="G18" s="16">
        <f>$D35</f>
        <v>45.792507999999998</v>
      </c>
      <c r="H18" s="16">
        <f>$D36</f>
        <v>45.792507999999998</v>
      </c>
      <c r="I18" s="16">
        <f>$D37</f>
        <v>45.792507999999998</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-10.207492000000002</v>
      </c>
      <c r="D19" s="16">
        <f t="shared" ref="D19:V19" si="1">D18-D17</f>
        <v>-0.95749200000000201</v>
      </c>
      <c r="E19" s="16">
        <f t="shared" si="1"/>
        <v>-10.207492000000002</v>
      </c>
      <c r="F19" s="16">
        <f t="shared" si="1"/>
        <v>-0.95749200000000201</v>
      </c>
      <c r="G19" s="16">
        <f t="shared" si="1"/>
        <v>-6.207492000000002</v>
      </c>
      <c r="H19" s="16">
        <f t="shared" si="1"/>
        <v>-18.807491999999996</v>
      </c>
      <c r="I19" s="16">
        <f t="shared" si="1"/>
        <v>-18.807491999999996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176</v>
      </c>
      <c r="D21" s="28">
        <f t="shared" ref="D21:V21" si="2">(VLOOKUP(D$14,$AI2:$AK24,3,FALSE))*D$15</f>
        <v>66</v>
      </c>
      <c r="E21" s="28">
        <f t="shared" si="2"/>
        <v>176</v>
      </c>
      <c r="F21" s="28">
        <f t="shared" si="2"/>
        <v>66</v>
      </c>
      <c r="G21" s="28">
        <f t="shared" si="2"/>
        <v>44</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9.7990600000000008</v>
      </c>
      <c r="D22" s="16">
        <f>$E32</f>
        <v>9.7990600000000008</v>
      </c>
      <c r="E22" s="16">
        <f>$E33</f>
        <v>9.7990600000000008</v>
      </c>
      <c r="F22" s="16">
        <f>$E34</f>
        <v>9.7990600000000008</v>
      </c>
      <c r="G22" s="16">
        <f>$E35</f>
        <v>9.7990600000000008</v>
      </c>
      <c r="H22" s="16">
        <f>$E36</f>
        <v>9.7990600000000008</v>
      </c>
      <c r="I22" s="16">
        <f>$E37</f>
        <v>9.7990600000000008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-166.20094</v>
      </c>
      <c r="D23" s="16">
        <f t="shared" ref="D23:V23" si="3">D22-D21</f>
        <v>-56.200940000000003</v>
      </c>
      <c r="E23" s="16">
        <f t="shared" si="3"/>
        <v>-166.20094</v>
      </c>
      <c r="F23" s="16">
        <f t="shared" si="3"/>
        <v>-56.200940000000003</v>
      </c>
      <c r="G23" s="16">
        <f t="shared" si="3"/>
        <v>-34.200940000000003</v>
      </c>
      <c r="H23" s="16">
        <f t="shared" si="3"/>
        <v>-218.20094</v>
      </c>
      <c r="I23" s="16">
        <f t="shared" si="3"/>
        <v>-218.20094</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0.22</v>
      </c>
      <c r="C28" s="15">
        <v>0.22</v>
      </c>
      <c r="D28" s="15">
        <v>526</v>
      </c>
      <c r="E28" s="15">
        <v>214</v>
      </c>
      <c r="F28" s="15">
        <v>92</v>
      </c>
      <c r="G28" s="15">
        <v>0.98</v>
      </c>
      <c r="H28" s="15">
        <v>11.1</v>
      </c>
      <c r="I28" s="15">
        <v>0.5</v>
      </c>
      <c r="J28" s="15">
        <v>0.01</v>
      </c>
      <c r="K28" s="23">
        <v>0.05</v>
      </c>
      <c r="L28" s="15">
        <v>0.65300000000000002</v>
      </c>
      <c r="M28" s="15">
        <v>5.1100000000000003</v>
      </c>
      <c r="N28" s="15"/>
      <c r="O28" s="15"/>
      <c r="P28" s="15">
        <v>4373</v>
      </c>
      <c r="Q28" s="15">
        <v>2095</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v>
      </c>
      <c r="B31" s="15">
        <v>38</v>
      </c>
      <c r="C31" s="77">
        <f>IF(C$27="%w/w SAR",((C$28*10)*$B31),IF(C$27="%w/w DM",(((C$28*10)*($B$28/100))*$B31),IF(C$27="kg/t SAR",(C$28*$B31),IF(C$27="kg/t DM",((C$28*($B$28/100))*$B31),IF(C$27="mg/kg SAR",((C$28*0.001)*$B31),IF(C$27="mg/kg DM",(((C$28*0.001)*($B$28/100))*$B31),0))))))</f>
        <v>83.600000000000009</v>
      </c>
      <c r="D31" s="77">
        <f>(IF(D$27="%w/w SAR",((D$28*10)*$B31),IF(D$27="%w/w DM",(((D$28*10)*($B$28/100))*$B31),IF(D$27="kg/t SAR",(D$28*$B31),IF(D$27="kg/t DM",((D$28*($B$28/100))*$B31),IF(D$27="mg/kg SAR",((D$28*0.001)*$B31),IF(D$27="mg/kg DM",(((D$28*0.001)*($B$28/100))*$B31),"0")))))))*2.291</f>
        <v>45.792507999999998</v>
      </c>
      <c r="E31" s="77">
        <f>(IF(E$27="%w/w SAR",((E$28*10)*$B31),IF(E$27="%w/w DM",(((E$28*10)*($B$28/100))*$B31),IF(E$27="kg/t SAR",(E$28*$B31),IF(E$27="kg/t DM",((E$28*($B$28/100))*$B31),IF(E$27="mg/kg SAR",((E$28*0.001)*$B31),IF(E$27="mg/kg DM",(((E$28*0.001)*($B$28/100))*$B31),"0")))))))*1.205</f>
        <v>9.7990600000000008</v>
      </c>
      <c r="F31" s="77">
        <f>(IF(F$27="%w/w SAR",((F$28*10)*$B31),IF(F$27="%w/w DM",(((F$28*10)*($B$28/100))*$B31),IF(F$27="kg/t SAR",(F$28*$B31),IF(F$27="kg/t DM",((F$28*($B$28/100))*$B31),IF(F$27="mg/kg SAR",((F$28*0.001)*$B31),IF(F$27="mg/kg DM",(((F$28*0.001)*($B$28/100))*$B31),"0")))))))*1.658</f>
        <v>5.7963679999999993</v>
      </c>
      <c r="G31" s="77">
        <f t="shared" ref="G31:P46" si="5">IF(G$27="%w/w SAR",((G$28*10)*$B31),IF(G$27="%w/w DM",(((G$28*10)*($B$28/100))*$B31),IF(G$27="kg/t SAR",(G$28*$B31),IF(G$27="kg/t DM",((G$28*($B$28/100))*$B31),IF(G$27="mg/kg SAR",((G$28*0.001)*$B31),IF(G$27="mg/kg DM",(((G$28*0.001)*($B$28/100))*$B31),0))))))</f>
        <v>3.7239999999999995E-2</v>
      </c>
      <c r="H31" s="77">
        <f t="shared" si="5"/>
        <v>0.42180000000000001</v>
      </c>
      <c r="I31" s="77">
        <f t="shared" si="5"/>
        <v>1.9E-2</v>
      </c>
      <c r="J31" s="77">
        <f t="shared" si="5"/>
        <v>3.8000000000000002E-4</v>
      </c>
      <c r="K31" s="77">
        <f t="shared" si="5"/>
        <v>1.9E-3</v>
      </c>
      <c r="L31" s="77">
        <f t="shared" si="5"/>
        <v>2.4814000000000003E-2</v>
      </c>
      <c r="M31" s="77">
        <f t="shared" si="5"/>
        <v>0.19418000000000002</v>
      </c>
      <c r="N31" s="77">
        <f t="shared" si="5"/>
        <v>0</v>
      </c>
      <c r="O31" s="77">
        <f t="shared" si="5"/>
        <v>0</v>
      </c>
      <c r="P31" s="77">
        <f t="shared" si="5"/>
        <v>166.17400000000001</v>
      </c>
      <c r="Q31" s="77">
        <f>(IF(Q$27="%w/w SAR",((Q$28*10)*$B31),IF(Q$27="%w/w DM",(((Q$28*10)*($B$28/100))*$B31),IF(Q$27="kg/t SAR",(Q$28*$B31),IF(Q$27="kg/t DM",((Q$28*($B$28/100))*$B31),IF(Q$27="mg/kg SAR",((Q$28*0.001)*$B31),IF(Q$27="mg/kg DM",(((Q$28*0.001)*($B$28/100))*$B31),0)))))))*2.5</f>
        <v>199.02500000000003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6 7</v>
      </c>
      <c r="B32" s="15">
        <v>38</v>
      </c>
      <c r="C32" s="77">
        <f t="shared" ref="C32:C50" si="6">IF(C$27="%w/w SAR",((C$28*10)*$B32),IF(C$27="%w/w DM",(((C$28*10)*($B$28/100))*$B32),IF(C$27="kg/t SAR",(C$28*$B32),IF(C$27="kg/t DM",((C$28*($B$28/100))*$B32),IF(C$27="mg/kg SAR",((C$28*0.001)*$B32),IF(C$27="mg/kg DM",(((C$28*0.001)*($B$28/100))*$B32),0))))))</f>
        <v>83.600000000000009</v>
      </c>
      <c r="D32" s="77">
        <f t="shared" ref="D32:D50" si="7">(IF(D$27="%w/w SAR",((D$28*10)*$B32),IF(D$27="%w/w DM",(((D$28*10)*($B$28/100))*$B32),IF(D$27="kg/t SAR",(D$28*$B32),IF(D$27="kg/t DM",((D$28*($B$28/100))*$B32),IF(D$27="mg/kg SAR",((D$28*0.001)*$B32),IF(D$27="mg/kg DM",(((D$28*0.001)*($B$28/100))*$B32),"0")))))))*2.291</f>
        <v>45.792507999999998</v>
      </c>
      <c r="E32" s="77">
        <f t="shared" ref="E32:E50" si="8">(IF(E$27="%w/w SAR",((E$28*10)*$B32),IF(E$27="%w/w DM",(((E$28*10)*($B$28/100))*$B32),IF(E$27="kg/t SAR",(E$28*$B32),IF(E$27="kg/t DM",((E$28*($B$28/100))*$B32),IF(E$27="mg/kg SAR",((E$28*0.001)*$B32),IF(E$27="mg/kg DM",(((E$28*0.001)*($B$28/100))*$B32),"0")))))))*1.205</f>
        <v>9.7990600000000008</v>
      </c>
      <c r="F32" s="77">
        <f t="shared" ref="F32:F50" si="9">(IF(F$27="%w/w SAR",((F$28*10)*$B32),IF(F$27="%w/w DM",(((F$28*10)*($B$28/100))*$B32),IF(F$27="kg/t SAR",(F$28*$B32),IF(F$27="kg/t DM",((F$28*($B$28/100))*$B32),IF(F$27="mg/kg SAR",((F$28*0.001)*$B32),IF(F$27="mg/kg DM",(((F$28*0.001)*($B$28/100))*$B32),"0")))))))*1.658</f>
        <v>5.7963679999999993</v>
      </c>
      <c r="G32" s="77">
        <f t="shared" si="5"/>
        <v>3.7239999999999995E-2</v>
      </c>
      <c r="H32" s="77">
        <f t="shared" si="5"/>
        <v>0.42180000000000001</v>
      </c>
      <c r="I32" s="77">
        <f t="shared" si="5"/>
        <v>1.9E-2</v>
      </c>
      <c r="J32" s="77">
        <f t="shared" si="5"/>
        <v>3.8000000000000002E-4</v>
      </c>
      <c r="K32" s="77">
        <f t="shared" si="5"/>
        <v>1.9E-3</v>
      </c>
      <c r="L32" s="77">
        <f t="shared" si="5"/>
        <v>2.4814000000000003E-2</v>
      </c>
      <c r="M32" s="77">
        <f t="shared" si="5"/>
        <v>0.19418000000000002</v>
      </c>
      <c r="N32" s="77">
        <f t="shared" si="5"/>
        <v>0</v>
      </c>
      <c r="O32" s="77">
        <f t="shared" si="5"/>
        <v>0</v>
      </c>
      <c r="P32" s="77">
        <f t="shared" si="5"/>
        <v>166.17400000000001</v>
      </c>
      <c r="Q32" s="77">
        <f t="shared" ref="Q32:Q50" si="10">(IF(Q$27="%w/w SAR",((Q$28*10)*$B32),IF(Q$27="%w/w DM",(((Q$28*10)*($B$28/100))*$B32),IF(Q$27="kg/t SAR",(Q$28*$B32),IF(Q$27="kg/t DM",((Q$28*($B$28/100))*$B32),IF(Q$27="mg/kg SAR",((Q$28*0.001)*$B32),IF(Q$27="mg/kg DM",(((Q$28*0.001)*($B$28/100))*$B32),0)))))))*2.5</f>
        <v>199.02500000000003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8 9</v>
      </c>
      <c r="B33" s="15">
        <v>38</v>
      </c>
      <c r="C33" s="77">
        <f t="shared" si="6"/>
        <v>83.600000000000009</v>
      </c>
      <c r="D33" s="77">
        <f t="shared" si="7"/>
        <v>45.792507999999998</v>
      </c>
      <c r="E33" s="77">
        <f t="shared" si="8"/>
        <v>9.7990600000000008</v>
      </c>
      <c r="F33" s="77">
        <f t="shared" si="9"/>
        <v>5.7963679999999993</v>
      </c>
      <c r="G33" s="77">
        <f t="shared" si="5"/>
        <v>3.7239999999999995E-2</v>
      </c>
      <c r="H33" s="77">
        <f t="shared" si="5"/>
        <v>0.42180000000000001</v>
      </c>
      <c r="I33" s="77">
        <f t="shared" si="5"/>
        <v>1.9E-2</v>
      </c>
      <c r="J33" s="77">
        <f t="shared" si="5"/>
        <v>3.8000000000000002E-4</v>
      </c>
      <c r="K33" s="77">
        <f t="shared" si="5"/>
        <v>1.9E-3</v>
      </c>
      <c r="L33" s="77">
        <f t="shared" si="5"/>
        <v>2.4814000000000003E-2</v>
      </c>
      <c r="M33" s="77">
        <f t="shared" si="5"/>
        <v>0.19418000000000002</v>
      </c>
      <c r="N33" s="77">
        <f t="shared" si="5"/>
        <v>0</v>
      </c>
      <c r="O33" s="77">
        <f t="shared" si="5"/>
        <v>0</v>
      </c>
      <c r="P33" s="77">
        <f t="shared" si="5"/>
        <v>166.17400000000001</v>
      </c>
      <c r="Q33" s="77">
        <f t="shared" si="10"/>
        <v>199.02500000000003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10 11</v>
      </c>
      <c r="B34" s="15">
        <v>38</v>
      </c>
      <c r="C34" s="77">
        <f t="shared" si="6"/>
        <v>83.600000000000009</v>
      </c>
      <c r="D34" s="77">
        <f t="shared" si="7"/>
        <v>45.792507999999998</v>
      </c>
      <c r="E34" s="77">
        <f t="shared" si="8"/>
        <v>9.7990600000000008</v>
      </c>
      <c r="F34" s="77">
        <f t="shared" si="9"/>
        <v>5.7963679999999993</v>
      </c>
      <c r="G34" s="77">
        <f t="shared" si="5"/>
        <v>3.7239999999999995E-2</v>
      </c>
      <c r="H34" s="77">
        <f t="shared" si="5"/>
        <v>0.42180000000000001</v>
      </c>
      <c r="I34" s="77">
        <f t="shared" si="5"/>
        <v>1.9E-2</v>
      </c>
      <c r="J34" s="77">
        <f t="shared" si="5"/>
        <v>3.8000000000000002E-4</v>
      </c>
      <c r="K34" s="77">
        <f t="shared" si="5"/>
        <v>1.9E-3</v>
      </c>
      <c r="L34" s="77">
        <f t="shared" si="5"/>
        <v>2.4814000000000003E-2</v>
      </c>
      <c r="M34" s="77">
        <f t="shared" si="5"/>
        <v>0.19418000000000002</v>
      </c>
      <c r="N34" s="77">
        <f t="shared" si="5"/>
        <v>0</v>
      </c>
      <c r="O34" s="77">
        <f t="shared" si="5"/>
        <v>0</v>
      </c>
      <c r="P34" s="77">
        <f t="shared" si="5"/>
        <v>166.17400000000001</v>
      </c>
      <c r="Q34" s="77">
        <f t="shared" si="10"/>
        <v>199.02500000000003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14</v>
      </c>
      <c r="B35" s="15">
        <v>38</v>
      </c>
      <c r="C35" s="77">
        <f t="shared" si="6"/>
        <v>83.600000000000009</v>
      </c>
      <c r="D35" s="77">
        <f t="shared" si="7"/>
        <v>45.792507999999998</v>
      </c>
      <c r="E35" s="77">
        <f t="shared" si="8"/>
        <v>9.7990600000000008</v>
      </c>
      <c r="F35" s="77">
        <f t="shared" si="9"/>
        <v>5.7963679999999993</v>
      </c>
      <c r="G35" s="77">
        <f t="shared" si="5"/>
        <v>3.7239999999999995E-2</v>
      </c>
      <c r="H35" s="77">
        <f t="shared" si="5"/>
        <v>0.42180000000000001</v>
      </c>
      <c r="I35" s="77">
        <f t="shared" si="5"/>
        <v>1.9E-2</v>
      </c>
      <c r="J35" s="77">
        <f t="shared" si="5"/>
        <v>3.8000000000000002E-4</v>
      </c>
      <c r="K35" s="77">
        <f t="shared" si="5"/>
        <v>1.9E-3</v>
      </c>
      <c r="L35" s="77">
        <f t="shared" si="5"/>
        <v>2.4814000000000003E-2</v>
      </c>
      <c r="M35" s="77">
        <f t="shared" si="5"/>
        <v>0.19418000000000002</v>
      </c>
      <c r="N35" s="77">
        <f t="shared" si="5"/>
        <v>0</v>
      </c>
      <c r="O35" s="77">
        <f t="shared" si="5"/>
        <v>0</v>
      </c>
      <c r="P35" s="77">
        <f t="shared" si="5"/>
        <v>166.17400000000001</v>
      </c>
      <c r="Q35" s="77">
        <f t="shared" si="10"/>
        <v>199.02500000000003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20</v>
      </c>
      <c r="B36" s="15">
        <v>38</v>
      </c>
      <c r="C36" s="77">
        <f t="shared" si="6"/>
        <v>83.600000000000009</v>
      </c>
      <c r="D36" s="77">
        <f t="shared" si="7"/>
        <v>45.792507999999998</v>
      </c>
      <c r="E36" s="77">
        <f t="shared" si="8"/>
        <v>9.7990600000000008</v>
      </c>
      <c r="F36" s="77">
        <f t="shared" si="9"/>
        <v>5.7963679999999993</v>
      </c>
      <c r="G36" s="77">
        <f t="shared" si="5"/>
        <v>3.7239999999999995E-2</v>
      </c>
      <c r="H36" s="77">
        <f t="shared" si="5"/>
        <v>0.42180000000000001</v>
      </c>
      <c r="I36" s="77">
        <f t="shared" si="5"/>
        <v>1.9E-2</v>
      </c>
      <c r="J36" s="77">
        <f t="shared" si="5"/>
        <v>3.8000000000000002E-4</v>
      </c>
      <c r="K36" s="77">
        <f t="shared" si="5"/>
        <v>1.9E-3</v>
      </c>
      <c r="L36" s="77">
        <f t="shared" si="5"/>
        <v>2.4814000000000003E-2</v>
      </c>
      <c r="M36" s="77">
        <f t="shared" si="5"/>
        <v>0.19418000000000002</v>
      </c>
      <c r="N36" s="77">
        <f t="shared" si="5"/>
        <v>0</v>
      </c>
      <c r="O36" s="77">
        <f t="shared" si="5"/>
        <v>0</v>
      </c>
      <c r="P36" s="77">
        <f t="shared" si="5"/>
        <v>166.17400000000001</v>
      </c>
      <c r="Q36" s="77">
        <f t="shared" si="10"/>
        <v>199.02500000000003</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21</v>
      </c>
      <c r="B37" s="15">
        <v>38</v>
      </c>
      <c r="C37" s="77">
        <f t="shared" si="6"/>
        <v>83.600000000000009</v>
      </c>
      <c r="D37" s="77">
        <f t="shared" si="7"/>
        <v>45.792507999999998</v>
      </c>
      <c r="E37" s="77">
        <f t="shared" si="8"/>
        <v>9.7990600000000008</v>
      </c>
      <c r="F37" s="77">
        <f t="shared" si="9"/>
        <v>5.7963679999999993</v>
      </c>
      <c r="G37" s="77">
        <f t="shared" si="5"/>
        <v>3.7239999999999995E-2</v>
      </c>
      <c r="H37" s="77">
        <f t="shared" si="5"/>
        <v>0.42180000000000001</v>
      </c>
      <c r="I37" s="77">
        <f t="shared" si="5"/>
        <v>1.9E-2</v>
      </c>
      <c r="J37" s="77">
        <f t="shared" si="5"/>
        <v>3.8000000000000002E-4</v>
      </c>
      <c r="K37" s="77">
        <f t="shared" si="5"/>
        <v>1.9E-3</v>
      </c>
      <c r="L37" s="77">
        <f t="shared" si="5"/>
        <v>2.4814000000000003E-2</v>
      </c>
      <c r="M37" s="77">
        <f t="shared" si="5"/>
        <v>0.19418000000000002</v>
      </c>
      <c r="N37" s="77">
        <f t="shared" si="5"/>
        <v>0</v>
      </c>
      <c r="O37" s="77">
        <f t="shared" si="5"/>
        <v>0</v>
      </c>
      <c r="P37" s="77">
        <f t="shared" si="5"/>
        <v>166.17400000000001</v>
      </c>
      <c r="Q37" s="77">
        <f t="shared" si="10"/>
        <v>199.02500000000003</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v>
      </c>
      <c r="C57" s="8" t="str">
        <f t="shared" ref="C57:U57" si="13">D8</f>
        <v>6 7</v>
      </c>
      <c r="D57" s="8" t="str">
        <f t="shared" si="13"/>
        <v>8 9</v>
      </c>
      <c r="E57" s="8" t="str">
        <f t="shared" si="13"/>
        <v>10 11</v>
      </c>
      <c r="F57" s="8">
        <f t="shared" si="13"/>
        <v>14</v>
      </c>
      <c r="G57" s="8">
        <f t="shared" si="13"/>
        <v>20</v>
      </c>
      <c r="H57" s="8">
        <f t="shared" si="13"/>
        <v>21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6.2</v>
      </c>
      <c r="H59" s="76">
        <f>VLOOKUP(I$14,Table245811[],5,FALSE)</f>
        <v>6.2</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6.1</v>
      </c>
      <c r="C60" s="76">
        <f t="shared" ref="C60:U60" si="14">D10</f>
        <v>6.5</v>
      </c>
      <c r="D60" s="76">
        <f t="shared" si="14"/>
        <v>6.6</v>
      </c>
      <c r="E60" s="76">
        <f t="shared" si="14"/>
        <v>6</v>
      </c>
      <c r="F60" s="76">
        <f t="shared" si="14"/>
        <v>6.9</v>
      </c>
      <c r="G60" s="76">
        <f t="shared" si="14"/>
        <v>5.9</v>
      </c>
      <c r="H60" s="76">
        <f t="shared" si="14"/>
        <v>6.3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38</v>
      </c>
      <c r="C62" s="77">
        <f>B32</f>
        <v>38</v>
      </c>
      <c r="D62" s="77">
        <f>B33</f>
        <v>38</v>
      </c>
      <c r="E62" s="77">
        <f>B34</f>
        <v>38</v>
      </c>
      <c r="F62" s="77">
        <f>B35</f>
        <v>38</v>
      </c>
      <c r="G62" s="77">
        <f>B36</f>
        <v>38</v>
      </c>
      <c r="H62" s="77">
        <f>B37</f>
        <v>38</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1.6000000000000014</v>
      </c>
      <c r="D64" s="77">
        <f t="shared" si="17"/>
        <v>0.80000000000000426</v>
      </c>
      <c r="E64" s="77">
        <f t="shared" si="17"/>
        <v>5.6000000000000014</v>
      </c>
      <c r="F64" s="77">
        <f t="shared" si="17"/>
        <v>-1.6000000000000014</v>
      </c>
      <c r="G64" s="77">
        <f t="shared" si="17"/>
        <v>1.7999999999999989</v>
      </c>
      <c r="H64" s="77">
        <f t="shared" si="17"/>
        <v>-0.59999999999999787</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-1.6000000000000014</v>
      </c>
      <c r="D65" s="77">
        <f t="shared" si="18"/>
        <v>-0.80000000000000426</v>
      </c>
      <c r="E65" s="77">
        <f t="shared" si="18"/>
        <v>-5.6000000000000014</v>
      </c>
      <c r="F65" s="77">
        <f t="shared" si="18"/>
        <v>1.6000000000000014</v>
      </c>
      <c r="G65" s="77">
        <f t="shared" si="18"/>
        <v>-1.7999999999999989</v>
      </c>
      <c r="H65" s="77">
        <f t="shared" si="18"/>
        <v>0.59999999999999787</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58" priority="39" operator="equal">
      <formula>"DECREASE"</formula>
    </cfRule>
    <cfRule type="cellIs" dxfId="357" priority="40" operator="equal">
      <formula>"INCREASE"</formula>
    </cfRule>
  </conditionalFormatting>
  <conditionalFormatting sqref="B62:U66 B31:B50">
    <cfRule type="cellIs" dxfId="356" priority="38" operator="greaterThan">
      <formula>$B$51</formula>
    </cfRule>
  </conditionalFormatting>
  <conditionalFormatting sqref="C31:C50">
    <cfRule type="cellIs" dxfId="355" priority="37" operator="greaterThan">
      <formula>$C$51</formula>
    </cfRule>
  </conditionalFormatting>
  <conditionalFormatting sqref="C18:V18">
    <cfRule type="cellIs" dxfId="354" priority="36" operator="equal">
      <formula>0</formula>
    </cfRule>
  </conditionalFormatting>
  <conditionalFormatting sqref="C17:V17">
    <cfRule type="cellIs" dxfId="353" priority="35" operator="equal">
      <formula>0</formula>
    </cfRule>
  </conditionalFormatting>
  <conditionalFormatting sqref="C19:V19">
    <cfRule type="cellIs" dxfId="352" priority="34" operator="equal">
      <formula>0</formula>
    </cfRule>
  </conditionalFormatting>
  <conditionalFormatting sqref="G31:G50">
    <cfRule type="cellIs" dxfId="351" priority="33" operator="greaterThan">
      <formula>$G$51</formula>
    </cfRule>
  </conditionalFormatting>
  <conditionalFormatting sqref="H31:H50">
    <cfRule type="cellIs" dxfId="350" priority="32" operator="greaterThan">
      <formula>$H$51</formula>
    </cfRule>
  </conditionalFormatting>
  <conditionalFormatting sqref="I31:I50">
    <cfRule type="cellIs" dxfId="349" priority="31" operator="greaterThan">
      <formula>$I$51</formula>
    </cfRule>
  </conditionalFormatting>
  <conditionalFormatting sqref="K31:K50">
    <cfRule type="cellIs" dxfId="348" priority="30" operator="greaterThan">
      <formula>$K$51</formula>
    </cfRule>
  </conditionalFormatting>
  <conditionalFormatting sqref="L31:L50">
    <cfRule type="cellIs" dxfId="347" priority="29" operator="greaterThan">
      <formula>$L$51</formula>
    </cfRule>
  </conditionalFormatting>
  <conditionalFormatting sqref="M31:M50">
    <cfRule type="cellIs" dxfId="346" priority="28" operator="greaterThan">
      <formula>$M$51</formula>
    </cfRule>
  </conditionalFormatting>
  <conditionalFormatting sqref="P31:P50">
    <cfRule type="cellIs" dxfId="345" priority="27" operator="greaterThan">
      <formula>$P$51</formula>
    </cfRule>
  </conditionalFormatting>
  <conditionalFormatting sqref="R31:R50">
    <cfRule type="cellIs" dxfId="344" priority="26" operator="greaterThan">
      <formula>$R$51</formula>
    </cfRule>
  </conditionalFormatting>
  <conditionalFormatting sqref="S31:S50">
    <cfRule type="cellIs" dxfId="343" priority="25" operator="greaterThan">
      <formula>$S$51</formula>
    </cfRule>
  </conditionalFormatting>
  <conditionalFormatting sqref="T31:T50">
    <cfRule type="cellIs" dxfId="342" priority="24" operator="greaterThan">
      <formula>$T$51</formula>
    </cfRule>
  </conditionalFormatting>
  <conditionalFormatting sqref="U31:U50">
    <cfRule type="cellIs" dxfId="341" priority="23" operator="greaterThan">
      <formula>$U$51</formula>
    </cfRule>
  </conditionalFormatting>
  <conditionalFormatting sqref="C22:V22">
    <cfRule type="cellIs" dxfId="340" priority="22" operator="equal">
      <formula>0</formula>
    </cfRule>
  </conditionalFormatting>
  <conditionalFormatting sqref="C24:V24">
    <cfRule type="cellIs" dxfId="339" priority="20" operator="equal">
      <formula>"DECREASE"</formula>
    </cfRule>
    <cfRule type="cellIs" dxfId="338" priority="21" operator="equal">
      <formula>"INCREASE"</formula>
    </cfRule>
  </conditionalFormatting>
  <conditionalFormatting sqref="C23:V23">
    <cfRule type="cellIs" dxfId="337" priority="19" operator="equal">
      <formula>0</formula>
    </cfRule>
  </conditionalFormatting>
  <conditionalFormatting sqref="C21:V21">
    <cfRule type="cellIs" dxfId="336" priority="15" operator="equal">
      <formula>0</formula>
    </cfRule>
  </conditionalFormatting>
  <conditionalFormatting sqref="B66:U66">
    <cfRule type="cellIs" dxfId="335" priority="13" operator="equal">
      <formula>"UNDER"</formula>
    </cfRule>
    <cfRule type="cellIs" dxfId="334" priority="14" operator="equal">
      <formula>"OVER"</formula>
    </cfRule>
  </conditionalFormatting>
  <conditionalFormatting sqref="J31:J50">
    <cfRule type="cellIs" dxfId="333" priority="10" operator="greaterThan">
      <formula>$J$51</formula>
    </cfRule>
  </conditionalFormatting>
  <conditionalFormatting sqref="L3">
    <cfRule type="cellIs" dxfId="332" priority="6" operator="lessThan">
      <formula>30</formula>
    </cfRule>
    <cfRule type="cellIs" dxfId="331" priority="7" operator="greaterThanOrEqual">
      <formula>30</formula>
    </cfRule>
  </conditionalFormatting>
  <conditionalFormatting sqref="I3">
    <cfRule type="cellIs" dxfId="328" priority="3" operator="greaterThan">
      <formula>40000.01</formula>
    </cfRule>
  </conditionalFormatting>
  <conditionalFormatting sqref="I1">
    <cfRule type="cellIs" dxfId="17" priority="2" operator="between">
      <formula>0.1</formula>
      <formula>5</formula>
    </cfRule>
  </conditionalFormatting>
  <conditionalFormatting sqref="I2">
    <cfRule type="cellIs" dxfId="16" priority="1" operator="greaterThan">
      <formula>5000.1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32" sqref="B32: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Waste 1'!C1:D1</f>
        <v>PAN-020020</v>
      </c>
      <c r="D1" s="143"/>
      <c r="E1" s="93" t="s">
        <v>45</v>
      </c>
      <c r="F1" s="39">
        <f>'Field data and Waste 1'!F1</f>
        <v>50</v>
      </c>
      <c r="G1" s="122" t="s">
        <v>43</v>
      </c>
      <c r="H1" s="123"/>
      <c r="I1" s="120">
        <v>7.04</v>
      </c>
      <c r="J1" s="121" t="s">
        <v>153</v>
      </c>
      <c r="K1" s="121"/>
      <c r="L1" s="120">
        <v>57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Waste 1'!C2:D2</f>
        <v>KP3594VE</v>
      </c>
      <c r="D2" s="145"/>
      <c r="E2" s="93" t="s">
        <v>109</v>
      </c>
      <c r="F2" s="120" t="s">
        <v>175</v>
      </c>
      <c r="G2" s="140" t="s">
        <v>110</v>
      </c>
      <c r="H2" s="141"/>
      <c r="I2" s="120">
        <v>613</v>
      </c>
      <c r="J2" s="121" t="s">
        <v>158</v>
      </c>
      <c r="K2" s="121"/>
      <c r="L2" s="120">
        <v>0.22</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Waste 1'!C3:D3</f>
        <v>TES</v>
      </c>
      <c r="D3" s="145"/>
      <c r="E3" s="93" t="s">
        <v>108</v>
      </c>
      <c r="F3" s="31" t="s">
        <v>78</v>
      </c>
      <c r="G3" s="121" t="s">
        <v>159</v>
      </c>
      <c r="H3" s="121"/>
      <c r="I3" s="118"/>
      <c r="J3" s="122" t="s">
        <v>154</v>
      </c>
      <c r="K3" s="123"/>
      <c r="L3" s="97">
        <f>(L1/(L2*10000))*100</f>
        <v>2.5909090909090908</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Waste 1'!C4:D4</f>
        <v>Brookhouse Farm, Hanmer, SY13 3EQ</v>
      </c>
      <c r="D4" s="143"/>
      <c r="E4" s="94" t="s">
        <v>1</v>
      </c>
      <c r="F4" s="120" t="s">
        <v>176</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f>'Field data and Waste 1'!C5:D5</f>
        <v>0</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Waste 1'!C8</f>
        <v>5</v>
      </c>
      <c r="D8" s="60" t="str">
        <f>'Field data and Waste 1'!D8</f>
        <v>6 7</v>
      </c>
      <c r="E8" s="60" t="str">
        <f>'Field data and Waste 1'!E8</f>
        <v>8 9</v>
      </c>
      <c r="F8" s="60" t="str">
        <f>'Field data and Waste 1'!F8</f>
        <v>10 11</v>
      </c>
      <c r="G8" s="60">
        <f>'Field data and Waste 1'!G8</f>
        <v>14</v>
      </c>
      <c r="H8" s="60">
        <f>'Field data and Waste 1'!H8</f>
        <v>20</v>
      </c>
      <c r="I8" s="60">
        <f>'Field data and Waste 1'!I8</f>
        <v>21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f>'Field data and Waste 1'!C9</f>
        <v>1</v>
      </c>
      <c r="D9" s="60">
        <f>'Field data and Waste 1'!D9</f>
        <v>1</v>
      </c>
      <c r="E9" s="60">
        <f>'Field data and Waste 1'!E9</f>
        <v>1</v>
      </c>
      <c r="F9" s="60">
        <f>'Field data and Waste 1'!F9</f>
        <v>1</v>
      </c>
      <c r="G9" s="60">
        <f>'Field data and Waste 1'!G9</f>
        <v>1</v>
      </c>
      <c r="H9" s="60" t="str">
        <f>'Field data and Waste 1'!H9</f>
        <v xml:space="preserve">Moderate </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Waste 1'!C10</f>
        <v>6.1</v>
      </c>
      <c r="D10" s="60">
        <f>'Field data and Waste 1'!D10</f>
        <v>6.5</v>
      </c>
      <c r="E10" s="60">
        <f>'Field data and Waste 1'!E10</f>
        <v>6.6</v>
      </c>
      <c r="F10" s="60">
        <f>'Field data and Waste 1'!F10</f>
        <v>6</v>
      </c>
      <c r="G10" s="60">
        <f>'Field data and Waste 1'!G10</f>
        <v>6.9</v>
      </c>
      <c r="H10" s="60">
        <f>'Field data and Waste 1'!H10</f>
        <v>5.9</v>
      </c>
      <c r="I10" s="60">
        <f>'Field data and Waste 1'!I10</f>
        <v>6.3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Waste 1'!C11</f>
        <v>4</v>
      </c>
      <c r="D11" s="60">
        <f>'Field data and Waste 1'!D11</f>
        <v>4</v>
      </c>
      <c r="E11" s="60">
        <f>'Field data and Waste 1'!E11</f>
        <v>3</v>
      </c>
      <c r="F11" s="60">
        <f>'Field data and Waste 1'!F11</f>
        <v>4</v>
      </c>
      <c r="G11" s="60">
        <f>'Field data and Waste 1'!G11</f>
        <v>3</v>
      </c>
      <c r="H11" s="60">
        <f>'Field data and Waste 1'!H11</f>
        <v>4</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Waste 1'!C12</f>
        <v>1</v>
      </c>
      <c r="D12" s="60">
        <f>'Field data and Waste 1'!D12</f>
        <v>0</v>
      </c>
      <c r="E12" s="60">
        <f>'Field data and Waste 1'!E12</f>
        <v>0</v>
      </c>
      <c r="F12" s="60">
        <f>'Field data and Waste 1'!F12</f>
        <v>3</v>
      </c>
      <c r="G12" s="60">
        <f>'Field data and Waste 1'!G12</f>
        <v>1</v>
      </c>
      <c r="H12" s="60">
        <f>'Field data and Waste 1'!H12</f>
        <v>2</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Waste 1'!C13</f>
        <v>2</v>
      </c>
      <c r="D13" s="60">
        <f>'Field data and Waste 1'!D13</f>
        <v>1</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Waste 1'!C14</f>
        <v>Maize- Silage (30% DM)</v>
      </c>
      <c r="D14" s="102" t="str">
        <f>'Field data and Waste 1'!D14</f>
        <v>Spring wheat/barley</v>
      </c>
      <c r="E14" s="102" t="str">
        <f>'Field data and Waste 1'!E14</f>
        <v>Maize- Silage (30% DM)</v>
      </c>
      <c r="F14" s="102" t="str">
        <f>'Field data and Waste 1'!F14</f>
        <v>Spring wheat/barley</v>
      </c>
      <c r="G14" s="102" t="str">
        <f>'Field data and Waste 1'!G14</f>
        <v xml:space="preserve">Winter wheat- grain only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2" t="s">
        <v>9</v>
      </c>
      <c r="B15" s="132"/>
      <c r="C15" s="60">
        <f>'Field data and Waste 1'!C15</f>
        <v>40</v>
      </c>
      <c r="D15" s="60">
        <f>'Field data and Waste 1'!D15</f>
        <v>5.5</v>
      </c>
      <c r="E15" s="60">
        <f>'Field data and Waste 1'!E15</f>
        <v>40</v>
      </c>
      <c r="F15" s="60">
        <f>'Field data and Waste 1'!F15</f>
        <v>5.5</v>
      </c>
      <c r="G15" s="60">
        <f>'Field data and Waste 1'!G15</f>
        <v>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56</v>
      </c>
      <c r="D17" s="28">
        <f t="shared" ref="D17:V17" si="0">(VLOOKUP(D$14,$AI2:$AK26,2,FALSE))*D$15</f>
        <v>46.75</v>
      </c>
      <c r="E17" s="28">
        <f t="shared" si="0"/>
        <v>56</v>
      </c>
      <c r="F17" s="28">
        <f t="shared" si="0"/>
        <v>46.75</v>
      </c>
      <c r="G17" s="28">
        <f t="shared" si="0"/>
        <v>52</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45.244959000000001</v>
      </c>
      <c r="D18" s="16">
        <f>$D32</f>
        <v>45.244959000000001</v>
      </c>
      <c r="E18" s="16">
        <f>$D33</f>
        <v>45.244959000000001</v>
      </c>
      <c r="F18" s="16">
        <f>$D34</f>
        <v>45.244959000000001</v>
      </c>
      <c r="G18" s="16">
        <f>$D35</f>
        <v>45.244959000000001</v>
      </c>
      <c r="H18" s="16">
        <f>$D36</f>
        <v>45.244959000000001</v>
      </c>
      <c r="I18" s="16">
        <f>$D37</f>
        <v>45.244959000000001</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-10.755040999999999</v>
      </c>
      <c r="D19" s="16">
        <f t="shared" ref="D19:V19" si="1">D18-D17</f>
        <v>-1.5050409999999985</v>
      </c>
      <c r="E19" s="16">
        <f t="shared" si="1"/>
        <v>-10.755040999999999</v>
      </c>
      <c r="F19" s="16">
        <f t="shared" si="1"/>
        <v>-1.5050409999999985</v>
      </c>
      <c r="G19" s="16">
        <f t="shared" si="1"/>
        <v>-6.7550409999999985</v>
      </c>
      <c r="H19" s="16">
        <f t="shared" si="1"/>
        <v>-19.355040999999993</v>
      </c>
      <c r="I19" s="16">
        <f t="shared" si="1"/>
        <v>-19.355040999999993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176</v>
      </c>
      <c r="D21" s="28">
        <f t="shared" ref="D21:V21" si="2">(VLOOKUP(D$14,$AI2:$AK26,3,FALSE))*D$15</f>
        <v>66</v>
      </c>
      <c r="E21" s="28">
        <f t="shared" si="2"/>
        <v>176</v>
      </c>
      <c r="F21" s="28">
        <f t="shared" si="2"/>
        <v>66</v>
      </c>
      <c r="G21" s="28">
        <f t="shared" si="2"/>
        <v>44</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9.6098750000000006</v>
      </c>
      <c r="D22" s="16">
        <f>$E32</f>
        <v>9.6098750000000006</v>
      </c>
      <c r="E22" s="16">
        <f>$E33</f>
        <v>9.6098750000000006</v>
      </c>
      <c r="F22" s="16">
        <f>$E34</f>
        <v>9.6098750000000006</v>
      </c>
      <c r="G22" s="16">
        <f>$E35</f>
        <v>9.6098750000000006</v>
      </c>
      <c r="H22" s="16">
        <f>$E36</f>
        <v>9.6098750000000006</v>
      </c>
      <c r="I22" s="16">
        <f>$E37</f>
        <v>9.6098750000000006</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-166.39012500000001</v>
      </c>
      <c r="D23" s="16">
        <f t="shared" ref="D23:V23" si="3">D22-D21</f>
        <v>-56.390124999999998</v>
      </c>
      <c r="E23" s="16">
        <f t="shared" si="3"/>
        <v>-166.39012500000001</v>
      </c>
      <c r="F23" s="16">
        <f t="shared" si="3"/>
        <v>-56.390124999999998</v>
      </c>
      <c r="G23" s="16">
        <f t="shared" si="3"/>
        <v>-34.390124999999998</v>
      </c>
      <c r="H23" s="16">
        <f t="shared" si="3"/>
        <v>-218.39012500000001</v>
      </c>
      <c r="I23" s="16">
        <f t="shared" si="3"/>
        <v>-218.39012500000001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5.33</v>
      </c>
      <c r="C28" s="15">
        <v>0.36</v>
      </c>
      <c r="D28" s="15">
        <v>681</v>
      </c>
      <c r="E28" s="15">
        <v>275</v>
      </c>
      <c r="F28" s="15">
        <v>212</v>
      </c>
      <c r="G28" s="15">
        <v>1.48</v>
      </c>
      <c r="H28" s="15">
        <v>11.2</v>
      </c>
      <c r="I28" s="15">
        <v>0.5</v>
      </c>
      <c r="J28" s="15">
        <v>1.6E-2</v>
      </c>
      <c r="K28" s="23">
        <v>0.05</v>
      </c>
      <c r="L28" s="15">
        <v>0.318</v>
      </c>
      <c r="M28" s="15">
        <v>0.53300000000000003</v>
      </c>
      <c r="N28" s="15"/>
      <c r="O28" s="15"/>
      <c r="P28" s="15">
        <v>415</v>
      </c>
      <c r="Q28" s="15">
        <v>711</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v>
      </c>
      <c r="B31" s="15">
        <v>29</v>
      </c>
      <c r="C31" s="77">
        <f>IF(C$27="%w/w SAR",((C$28*10)*$B31),IF(C$27="%w/w DM",(((C$28*10)*($B$28/100))*$B31),IF(C$27="kg/t SAR",(C$28*$B31),IF(C$27="kg/t DM",((C$28*($B$28/100))*$B31),IF(C$27="mg/kg SAR",((C$28*0.001)*$B31),IF(C$27="mg/kg DM",(((C$28*0.001)*($B$28/100))*$B31),0))))))</f>
        <v>104.39999999999999</v>
      </c>
      <c r="D31" s="77">
        <f>(IF(D$27="%w/w SAR",((D$28*10)*$B31),IF(D$27="%w/w DM",(((D$28*10)*($B$28/100))*$B31),IF(D$27="kg/t SAR",(D$28*$B31),IF(D$27="kg/t DM",((D$28*($B$28/100))*$B31),IF(D$27="mg/kg SAR",((D$28*0.001)*$B31),IF(D$27="mg/kg DM",(((D$28*0.001)*($B$28/100))*$B31),"0")))))))*2.291</f>
        <v>45.244959000000001</v>
      </c>
      <c r="E31" s="77">
        <f>(IF(E$27="%w/w SAR",((E$28*10)*$B31),IF(E$27="%w/w DM",(((E$28*10)*($B$28/100))*$B31),IF(E$27="kg/t SAR",(E$28*$B31),IF(E$27="kg/t DM",((E$28*($B$28/100))*$B31),IF(E$27="mg/kg SAR",((E$28*0.001)*$B31),IF(E$27="mg/kg DM",(((E$28*0.001)*($B$28/100))*$B31),"0")))))))*1.205</f>
        <v>9.6098750000000006</v>
      </c>
      <c r="F31" s="77">
        <f>(IF(F$27="%w/w SAR",((F$28*10)*$B31),IF(F$27="%w/w DM",(((F$28*10)*($B$28/100))*$B31),IF(F$27="kg/t SAR",(F$28*$B31),IF(F$27="kg/t DM",((F$28*($B$28/100))*$B31),IF(F$27="mg/kg SAR",((F$28*0.001)*$B31),IF(F$27="mg/kg DM",(((F$28*0.001)*($B$28/100))*$B31),"0")))))))*1.658</f>
        <v>10.193383999999998</v>
      </c>
      <c r="G31" s="77">
        <f t="shared" ref="G31:P46" si="5">IF(G$27="%w/w SAR",((G$28*10)*$B31),IF(G$27="%w/w DM",(((G$28*10)*($B$28/100))*$B31),IF(G$27="kg/t SAR",(G$28*$B31),IF(G$27="kg/t DM",((G$28*($B$28/100))*$B31),IF(G$27="mg/kg SAR",((G$28*0.001)*$B31),IF(G$27="mg/kg DM",(((G$28*0.001)*($B$28/100))*$B31),0))))))</f>
        <v>4.292E-2</v>
      </c>
      <c r="H31" s="77">
        <f t="shared" si="5"/>
        <v>0.32479999999999998</v>
      </c>
      <c r="I31" s="77">
        <f t="shared" si="5"/>
        <v>1.4500000000000001E-2</v>
      </c>
      <c r="J31" s="77">
        <f t="shared" si="5"/>
        <v>4.64E-4</v>
      </c>
      <c r="K31" s="77">
        <f t="shared" si="5"/>
        <v>1.4500000000000001E-3</v>
      </c>
      <c r="L31" s="77">
        <f t="shared" si="5"/>
        <v>9.222000000000001E-3</v>
      </c>
      <c r="M31" s="77">
        <f t="shared" si="5"/>
        <v>1.5457000000000002E-2</v>
      </c>
      <c r="N31" s="77">
        <f t="shared" si="5"/>
        <v>0</v>
      </c>
      <c r="O31" s="77">
        <f t="shared" si="5"/>
        <v>0</v>
      </c>
      <c r="P31" s="77">
        <f t="shared" si="5"/>
        <v>12.035</v>
      </c>
      <c r="Q31" s="77">
        <f>(IF(Q$27="%w/w SAR",((Q$28*10)*$B31),IF(Q$27="%w/w DM",(((Q$28*10)*($B$28/100))*$B31),IF(Q$27="kg/t SAR",(Q$28*$B31),IF(Q$27="kg/t DM",((Q$28*($B$28/100))*$B31),IF(Q$27="mg/kg SAR",((Q$28*0.001)*$B31),IF(Q$27="mg/kg DM",(((Q$28*0.001)*($B$28/100))*$B31),0)))))))*2.5</f>
        <v>51.547499999999999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6 7</v>
      </c>
      <c r="B32" s="15">
        <v>29</v>
      </c>
      <c r="C32" s="77">
        <f t="shared" ref="C32:C50" si="6">IF(C$27="%w/w SAR",((C$28*10)*$B32),IF(C$27="%w/w DM",(((C$28*10)*($B$28/100))*$B32),IF(C$27="kg/t SAR",(C$28*$B32),IF(C$27="kg/t DM",((C$28*($B$28/100))*$B32),IF(C$27="mg/kg SAR",((C$28*0.001)*$B32),IF(C$27="mg/kg DM",(((C$28*0.001)*($B$28/100))*$B32),0))))))</f>
        <v>104.39999999999999</v>
      </c>
      <c r="D32" s="77">
        <f t="shared" ref="D32:D50" si="7">(IF(D$27="%w/w SAR",((D$28*10)*$B32),IF(D$27="%w/w DM",(((D$28*10)*($B$28/100))*$B32),IF(D$27="kg/t SAR",(D$28*$B32),IF(D$27="kg/t DM",((D$28*($B$28/100))*$B32),IF(D$27="mg/kg SAR",((D$28*0.001)*$B32),IF(D$27="mg/kg DM",(((D$28*0.001)*($B$28/100))*$B32),"0")))))))*2.291</f>
        <v>45.244959000000001</v>
      </c>
      <c r="E32" s="77">
        <f t="shared" ref="E32:E50" si="8">(IF(E$27="%w/w SAR",((E$28*10)*$B32),IF(E$27="%w/w DM",(((E$28*10)*($B$28/100))*$B32),IF(E$27="kg/t SAR",(E$28*$B32),IF(E$27="kg/t DM",((E$28*($B$28/100))*$B32),IF(E$27="mg/kg SAR",((E$28*0.001)*$B32),IF(E$27="mg/kg DM",(((E$28*0.001)*($B$28/100))*$B32),"0")))))))*1.205</f>
        <v>9.6098750000000006</v>
      </c>
      <c r="F32" s="77">
        <f t="shared" ref="F32:F50" si="9">(IF(F$27="%w/w SAR",((F$28*10)*$B32),IF(F$27="%w/w DM",(((F$28*10)*($B$28/100))*$B32),IF(F$27="kg/t SAR",(F$28*$B32),IF(F$27="kg/t DM",((F$28*($B$28/100))*$B32),IF(F$27="mg/kg SAR",((F$28*0.001)*$B32),IF(F$27="mg/kg DM",(((F$28*0.001)*($B$28/100))*$B32),"0")))))))*1.658</f>
        <v>10.193383999999998</v>
      </c>
      <c r="G32" s="77">
        <f t="shared" si="5"/>
        <v>4.292E-2</v>
      </c>
      <c r="H32" s="77">
        <f t="shared" si="5"/>
        <v>0.32479999999999998</v>
      </c>
      <c r="I32" s="77">
        <f t="shared" si="5"/>
        <v>1.4500000000000001E-2</v>
      </c>
      <c r="J32" s="77">
        <f t="shared" si="5"/>
        <v>4.64E-4</v>
      </c>
      <c r="K32" s="77">
        <f t="shared" si="5"/>
        <v>1.4500000000000001E-3</v>
      </c>
      <c r="L32" s="77">
        <f t="shared" si="5"/>
        <v>9.222000000000001E-3</v>
      </c>
      <c r="M32" s="77">
        <f t="shared" si="5"/>
        <v>1.5457000000000002E-2</v>
      </c>
      <c r="N32" s="77">
        <f t="shared" si="5"/>
        <v>0</v>
      </c>
      <c r="O32" s="77">
        <f t="shared" si="5"/>
        <v>0</v>
      </c>
      <c r="P32" s="77">
        <f t="shared" si="5"/>
        <v>12.035</v>
      </c>
      <c r="Q32" s="77">
        <f t="shared" ref="Q32:Q50" si="10">(IF(Q$27="%w/w SAR",((Q$28*10)*$B32),IF(Q$27="%w/w DM",(((Q$28*10)*($B$28/100))*$B32),IF(Q$27="kg/t SAR",(Q$28*$B32),IF(Q$27="kg/t DM",((Q$28*($B$28/100))*$B32),IF(Q$27="mg/kg SAR",((Q$28*0.001)*$B32),IF(Q$27="mg/kg DM",(((Q$28*0.001)*($B$28/100))*$B32),0)))))))*2.5</f>
        <v>51.547499999999999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8 9</v>
      </c>
      <c r="B33" s="15">
        <v>29</v>
      </c>
      <c r="C33" s="77">
        <f t="shared" si="6"/>
        <v>104.39999999999999</v>
      </c>
      <c r="D33" s="77">
        <f t="shared" si="7"/>
        <v>45.244959000000001</v>
      </c>
      <c r="E33" s="77">
        <f t="shared" si="8"/>
        <v>9.6098750000000006</v>
      </c>
      <c r="F33" s="77">
        <f t="shared" si="9"/>
        <v>10.193383999999998</v>
      </c>
      <c r="G33" s="77">
        <f t="shared" si="5"/>
        <v>4.292E-2</v>
      </c>
      <c r="H33" s="77">
        <f t="shared" si="5"/>
        <v>0.32479999999999998</v>
      </c>
      <c r="I33" s="77">
        <f t="shared" si="5"/>
        <v>1.4500000000000001E-2</v>
      </c>
      <c r="J33" s="77">
        <f t="shared" si="5"/>
        <v>4.64E-4</v>
      </c>
      <c r="K33" s="77">
        <f t="shared" si="5"/>
        <v>1.4500000000000001E-3</v>
      </c>
      <c r="L33" s="77">
        <f t="shared" si="5"/>
        <v>9.222000000000001E-3</v>
      </c>
      <c r="M33" s="77">
        <f t="shared" si="5"/>
        <v>1.5457000000000002E-2</v>
      </c>
      <c r="N33" s="77">
        <f t="shared" si="5"/>
        <v>0</v>
      </c>
      <c r="O33" s="77">
        <f t="shared" si="5"/>
        <v>0</v>
      </c>
      <c r="P33" s="77">
        <f t="shared" si="5"/>
        <v>12.035</v>
      </c>
      <c r="Q33" s="77">
        <f t="shared" si="10"/>
        <v>51.547499999999999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10 11</v>
      </c>
      <c r="B34" s="15">
        <v>29</v>
      </c>
      <c r="C34" s="77">
        <f t="shared" si="6"/>
        <v>104.39999999999999</v>
      </c>
      <c r="D34" s="77">
        <f t="shared" si="7"/>
        <v>45.244959000000001</v>
      </c>
      <c r="E34" s="77">
        <f t="shared" si="8"/>
        <v>9.6098750000000006</v>
      </c>
      <c r="F34" s="77">
        <f t="shared" si="9"/>
        <v>10.193383999999998</v>
      </c>
      <c r="G34" s="77">
        <f t="shared" si="5"/>
        <v>4.292E-2</v>
      </c>
      <c r="H34" s="77">
        <f t="shared" si="5"/>
        <v>0.32479999999999998</v>
      </c>
      <c r="I34" s="77">
        <f t="shared" si="5"/>
        <v>1.4500000000000001E-2</v>
      </c>
      <c r="J34" s="77">
        <f t="shared" si="5"/>
        <v>4.64E-4</v>
      </c>
      <c r="K34" s="77">
        <f t="shared" si="5"/>
        <v>1.4500000000000001E-3</v>
      </c>
      <c r="L34" s="77">
        <f t="shared" si="5"/>
        <v>9.222000000000001E-3</v>
      </c>
      <c r="M34" s="77">
        <f t="shared" si="5"/>
        <v>1.5457000000000002E-2</v>
      </c>
      <c r="N34" s="77">
        <f t="shared" si="5"/>
        <v>0</v>
      </c>
      <c r="O34" s="77">
        <f t="shared" si="5"/>
        <v>0</v>
      </c>
      <c r="P34" s="77">
        <f t="shared" si="5"/>
        <v>12.035</v>
      </c>
      <c r="Q34" s="77">
        <f t="shared" si="10"/>
        <v>51.547499999999999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14</v>
      </c>
      <c r="B35" s="15">
        <v>29</v>
      </c>
      <c r="C35" s="77">
        <f t="shared" si="6"/>
        <v>104.39999999999999</v>
      </c>
      <c r="D35" s="77">
        <f t="shared" si="7"/>
        <v>45.244959000000001</v>
      </c>
      <c r="E35" s="77">
        <f t="shared" si="8"/>
        <v>9.6098750000000006</v>
      </c>
      <c r="F35" s="77">
        <f t="shared" si="9"/>
        <v>10.193383999999998</v>
      </c>
      <c r="G35" s="77">
        <f t="shared" si="5"/>
        <v>4.292E-2</v>
      </c>
      <c r="H35" s="77">
        <f t="shared" si="5"/>
        <v>0.32479999999999998</v>
      </c>
      <c r="I35" s="77">
        <f t="shared" si="5"/>
        <v>1.4500000000000001E-2</v>
      </c>
      <c r="J35" s="77">
        <f t="shared" si="5"/>
        <v>4.64E-4</v>
      </c>
      <c r="K35" s="77">
        <f t="shared" si="5"/>
        <v>1.4500000000000001E-3</v>
      </c>
      <c r="L35" s="77">
        <f t="shared" si="5"/>
        <v>9.222000000000001E-3</v>
      </c>
      <c r="M35" s="77">
        <f t="shared" si="5"/>
        <v>1.5457000000000002E-2</v>
      </c>
      <c r="N35" s="77">
        <f t="shared" si="5"/>
        <v>0</v>
      </c>
      <c r="O35" s="77">
        <f t="shared" si="5"/>
        <v>0</v>
      </c>
      <c r="P35" s="77">
        <f t="shared" si="5"/>
        <v>12.035</v>
      </c>
      <c r="Q35" s="77">
        <f t="shared" si="10"/>
        <v>51.547499999999999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20</v>
      </c>
      <c r="B36" s="15">
        <v>29</v>
      </c>
      <c r="C36" s="77">
        <f t="shared" si="6"/>
        <v>104.39999999999999</v>
      </c>
      <c r="D36" s="77">
        <f t="shared" si="7"/>
        <v>45.244959000000001</v>
      </c>
      <c r="E36" s="77">
        <f t="shared" si="8"/>
        <v>9.6098750000000006</v>
      </c>
      <c r="F36" s="77">
        <f t="shared" si="9"/>
        <v>10.193383999999998</v>
      </c>
      <c r="G36" s="77">
        <f t="shared" si="5"/>
        <v>4.292E-2</v>
      </c>
      <c r="H36" s="77">
        <f t="shared" si="5"/>
        <v>0.32479999999999998</v>
      </c>
      <c r="I36" s="77">
        <f t="shared" si="5"/>
        <v>1.4500000000000001E-2</v>
      </c>
      <c r="J36" s="77">
        <f t="shared" si="5"/>
        <v>4.64E-4</v>
      </c>
      <c r="K36" s="77">
        <f t="shared" si="5"/>
        <v>1.4500000000000001E-3</v>
      </c>
      <c r="L36" s="77">
        <f t="shared" si="5"/>
        <v>9.222000000000001E-3</v>
      </c>
      <c r="M36" s="77">
        <f t="shared" si="5"/>
        <v>1.5457000000000002E-2</v>
      </c>
      <c r="N36" s="77">
        <f t="shared" si="5"/>
        <v>0</v>
      </c>
      <c r="O36" s="77">
        <f t="shared" si="5"/>
        <v>0</v>
      </c>
      <c r="P36" s="77">
        <f t="shared" si="5"/>
        <v>12.035</v>
      </c>
      <c r="Q36" s="77">
        <f t="shared" si="10"/>
        <v>51.547499999999999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21</v>
      </c>
      <c r="B37" s="15">
        <v>29</v>
      </c>
      <c r="C37" s="77">
        <f t="shared" si="6"/>
        <v>104.39999999999999</v>
      </c>
      <c r="D37" s="77">
        <f t="shared" si="7"/>
        <v>45.244959000000001</v>
      </c>
      <c r="E37" s="77">
        <f t="shared" si="8"/>
        <v>9.6098750000000006</v>
      </c>
      <c r="F37" s="77">
        <f t="shared" si="9"/>
        <v>10.193383999999998</v>
      </c>
      <c r="G37" s="77">
        <f t="shared" si="5"/>
        <v>4.292E-2</v>
      </c>
      <c r="H37" s="77">
        <f t="shared" si="5"/>
        <v>0.32479999999999998</v>
      </c>
      <c r="I37" s="77">
        <f t="shared" si="5"/>
        <v>1.4500000000000001E-2</v>
      </c>
      <c r="J37" s="77">
        <f t="shared" si="5"/>
        <v>4.64E-4</v>
      </c>
      <c r="K37" s="77">
        <f t="shared" si="5"/>
        <v>1.4500000000000001E-3</v>
      </c>
      <c r="L37" s="77">
        <f t="shared" si="5"/>
        <v>9.222000000000001E-3</v>
      </c>
      <c r="M37" s="77">
        <f t="shared" si="5"/>
        <v>1.5457000000000002E-2</v>
      </c>
      <c r="N37" s="77">
        <f t="shared" si="5"/>
        <v>0</v>
      </c>
      <c r="O37" s="77">
        <f t="shared" si="5"/>
        <v>0</v>
      </c>
      <c r="P37" s="77">
        <f t="shared" si="5"/>
        <v>12.035</v>
      </c>
      <c r="Q37" s="77">
        <f t="shared" si="10"/>
        <v>51.547499999999999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v>
      </c>
      <c r="C57" s="8" t="str">
        <f t="shared" ref="C57:U57" si="13">D8</f>
        <v>6 7</v>
      </c>
      <c r="D57" s="8" t="str">
        <f t="shared" si="13"/>
        <v>8 9</v>
      </c>
      <c r="E57" s="8" t="str">
        <f t="shared" si="13"/>
        <v>10 11</v>
      </c>
      <c r="F57" s="8">
        <f t="shared" si="13"/>
        <v>14</v>
      </c>
      <c r="G57" s="8">
        <f t="shared" si="13"/>
        <v>20</v>
      </c>
      <c r="H57" s="8">
        <f t="shared" si="13"/>
        <v>21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6.2</v>
      </c>
      <c r="H59" s="76">
        <f>VLOOKUP(I$14,Table24581112[],5,FALSE)</f>
        <v>6.2</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6.1</v>
      </c>
      <c r="C60" s="76">
        <f t="shared" ref="C60:U60" si="14">D10</f>
        <v>6.5</v>
      </c>
      <c r="D60" s="76">
        <f t="shared" si="14"/>
        <v>6.6</v>
      </c>
      <c r="E60" s="76">
        <f t="shared" si="14"/>
        <v>6</v>
      </c>
      <c r="F60" s="76">
        <f t="shared" si="14"/>
        <v>6.9</v>
      </c>
      <c r="G60" s="76">
        <f t="shared" si="14"/>
        <v>5.9</v>
      </c>
      <c r="H60" s="76">
        <f t="shared" si="14"/>
        <v>6.3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29</v>
      </c>
      <c r="C62" s="77">
        <f>B32</f>
        <v>29</v>
      </c>
      <c r="D62" s="77">
        <f>B33</f>
        <v>29</v>
      </c>
      <c r="E62" s="77">
        <f>B34</f>
        <v>29</v>
      </c>
      <c r="F62" s="77">
        <f>B35</f>
        <v>29</v>
      </c>
      <c r="G62" s="77">
        <f>B36</f>
        <v>29</v>
      </c>
      <c r="H62" s="77">
        <f>B37</f>
        <v>29</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1.6000000000000014</v>
      </c>
      <c r="D64" s="77">
        <f t="shared" si="17"/>
        <v>0.80000000000000426</v>
      </c>
      <c r="E64" s="77">
        <f t="shared" si="17"/>
        <v>5.6000000000000014</v>
      </c>
      <c r="F64" s="77">
        <f t="shared" si="17"/>
        <v>-1.6000000000000014</v>
      </c>
      <c r="G64" s="77">
        <f t="shared" si="17"/>
        <v>1.7999999999999989</v>
      </c>
      <c r="H64" s="77">
        <f t="shared" si="17"/>
        <v>-0.59999999999999787</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-1.6000000000000014</v>
      </c>
      <c r="D65" s="77">
        <f t="shared" si="18"/>
        <v>-0.80000000000000426</v>
      </c>
      <c r="E65" s="77">
        <f t="shared" si="18"/>
        <v>-5.6000000000000014</v>
      </c>
      <c r="F65" s="77">
        <f t="shared" si="18"/>
        <v>1.6000000000000014</v>
      </c>
      <c r="G65" s="77">
        <f t="shared" si="18"/>
        <v>-1.7999999999999989</v>
      </c>
      <c r="H65" s="77">
        <f t="shared" si="18"/>
        <v>0.59999999999999787</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16" priority="39" operator="equal">
      <formula>"DECREASE"</formula>
    </cfRule>
    <cfRule type="cellIs" dxfId="315" priority="40" operator="equal">
      <formula>"INCREASE"</formula>
    </cfRule>
  </conditionalFormatting>
  <conditionalFormatting sqref="B62:U66 B31:B50">
    <cfRule type="cellIs" dxfId="314" priority="38" operator="greaterThan">
      <formula>$B$51</formula>
    </cfRule>
  </conditionalFormatting>
  <conditionalFormatting sqref="C31:C50">
    <cfRule type="cellIs" dxfId="313" priority="37" operator="greaterThan">
      <formula>$C$51</formula>
    </cfRule>
  </conditionalFormatting>
  <conditionalFormatting sqref="C18:V18">
    <cfRule type="cellIs" dxfId="312" priority="36" operator="equal">
      <formula>0</formula>
    </cfRule>
  </conditionalFormatting>
  <conditionalFormatting sqref="C17:V17">
    <cfRule type="cellIs" dxfId="311" priority="35" operator="equal">
      <formula>0</formula>
    </cfRule>
  </conditionalFormatting>
  <conditionalFormatting sqref="C19:V19">
    <cfRule type="cellIs" dxfId="310" priority="34" operator="equal">
      <formula>0</formula>
    </cfRule>
  </conditionalFormatting>
  <conditionalFormatting sqref="G31:G50">
    <cfRule type="cellIs" dxfId="309" priority="33" operator="greaterThan">
      <formula>$G$51</formula>
    </cfRule>
  </conditionalFormatting>
  <conditionalFormatting sqref="H31:H50">
    <cfRule type="cellIs" dxfId="308" priority="32" operator="greaterThan">
      <formula>$H$51</formula>
    </cfRule>
  </conditionalFormatting>
  <conditionalFormatting sqref="I31:I50">
    <cfRule type="cellIs" dxfId="307" priority="31" operator="greaterThan">
      <formula>$I$51</formula>
    </cfRule>
  </conditionalFormatting>
  <conditionalFormatting sqref="K31:K50">
    <cfRule type="cellIs" dxfId="306" priority="30" operator="greaterThan">
      <formula>$K$51</formula>
    </cfRule>
  </conditionalFormatting>
  <conditionalFormatting sqref="L31:L50">
    <cfRule type="cellIs" dxfId="305" priority="29" operator="greaterThan">
      <formula>$L$51</formula>
    </cfRule>
  </conditionalFormatting>
  <conditionalFormatting sqref="M31:M50">
    <cfRule type="cellIs" dxfId="304" priority="28" operator="greaterThan">
      <formula>$M$51</formula>
    </cfRule>
  </conditionalFormatting>
  <conditionalFormatting sqref="P31:P50">
    <cfRule type="cellIs" dxfId="303" priority="27" operator="greaterThan">
      <formula>$P$51</formula>
    </cfRule>
  </conditionalFormatting>
  <conditionalFormatting sqref="R31:R50">
    <cfRule type="cellIs" dxfId="302" priority="26" operator="greaterThan">
      <formula>$R$51</formula>
    </cfRule>
  </conditionalFormatting>
  <conditionalFormatting sqref="S31:S50">
    <cfRule type="cellIs" dxfId="301" priority="25" operator="greaterThan">
      <formula>$S$51</formula>
    </cfRule>
  </conditionalFormatting>
  <conditionalFormatting sqref="T31:T50">
    <cfRule type="cellIs" dxfId="300" priority="24" operator="greaterThan">
      <formula>$T$51</formula>
    </cfRule>
  </conditionalFormatting>
  <conditionalFormatting sqref="U31:U50">
    <cfRule type="cellIs" dxfId="299" priority="23" operator="greaterThan">
      <formula>$U$51</formula>
    </cfRule>
  </conditionalFormatting>
  <conditionalFormatting sqref="C22:V22">
    <cfRule type="cellIs" dxfId="298" priority="22" operator="equal">
      <formula>0</formula>
    </cfRule>
  </conditionalFormatting>
  <conditionalFormatting sqref="C24:V24">
    <cfRule type="cellIs" dxfId="297" priority="20" operator="equal">
      <formula>"DECREASE"</formula>
    </cfRule>
    <cfRule type="cellIs" dxfId="296" priority="21" operator="equal">
      <formula>"INCREASE"</formula>
    </cfRule>
  </conditionalFormatting>
  <conditionalFormatting sqref="C23:V23">
    <cfRule type="cellIs" dxfId="295" priority="19" operator="equal">
      <formula>0</formula>
    </cfRule>
  </conditionalFormatting>
  <conditionalFormatting sqref="C21:V21">
    <cfRule type="cellIs" dxfId="294" priority="15" operator="equal">
      <formula>0</formula>
    </cfRule>
  </conditionalFormatting>
  <conditionalFormatting sqref="B66:U66">
    <cfRule type="cellIs" dxfId="293" priority="13" operator="equal">
      <formula>"UNDER"</formula>
    </cfRule>
    <cfRule type="cellIs" dxfId="292" priority="14" operator="equal">
      <formula>"OVER"</formula>
    </cfRule>
  </conditionalFormatting>
  <conditionalFormatting sqref="J31:J50">
    <cfRule type="cellIs" dxfId="291" priority="10" operator="greaterThan">
      <formula>$J$51</formula>
    </cfRule>
  </conditionalFormatting>
  <conditionalFormatting sqref="L3">
    <cfRule type="cellIs" dxfId="290" priority="6" operator="lessThan">
      <formula>30</formula>
    </cfRule>
    <cfRule type="cellIs" dxfId="289" priority="7" operator="greaterThanOrEqual">
      <formula>30</formula>
    </cfRule>
  </conditionalFormatting>
  <conditionalFormatting sqref="I3">
    <cfRule type="cellIs" dxfId="286" priority="3" operator="greaterThan">
      <formula>40000.01</formula>
    </cfRule>
  </conditionalFormatting>
  <conditionalFormatting sqref="I1">
    <cfRule type="cellIs" dxfId="15" priority="2" operator="between">
      <formula>0.1</formula>
      <formula>5</formula>
    </cfRule>
  </conditionalFormatting>
  <conditionalFormatting sqref="I2">
    <cfRule type="cellIs" dxfId="14" priority="1" operator="greaterThan">
      <formula>5000.1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25" zoomScale="90" zoomScaleNormal="90" workbookViewId="0">
      <selection activeCell="G55" sqref="G5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1" t="s">
        <v>41</v>
      </c>
      <c r="B1" s="121"/>
      <c r="C1" s="142" t="str">
        <f>'Field data and Waste 1'!C1:D1</f>
        <v>PAN-020020</v>
      </c>
      <c r="D1" s="143"/>
      <c r="E1" s="93" t="s">
        <v>45</v>
      </c>
      <c r="F1" s="39">
        <f>'Field data and Waste 1'!F1</f>
        <v>50</v>
      </c>
      <c r="G1" s="122" t="s">
        <v>43</v>
      </c>
      <c r="H1" s="123"/>
      <c r="I1" s="120">
        <v>7.66</v>
      </c>
      <c r="J1" s="121" t="s">
        <v>153</v>
      </c>
      <c r="K1" s="121"/>
      <c r="L1" s="120">
        <v>10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Waste 1'!C2:D2</f>
        <v>KP3594VE</v>
      </c>
      <c r="D2" s="145"/>
      <c r="E2" s="93" t="s">
        <v>109</v>
      </c>
      <c r="F2" s="120" t="s">
        <v>175</v>
      </c>
      <c r="G2" s="140" t="s">
        <v>110</v>
      </c>
      <c r="H2" s="141"/>
      <c r="I2" s="120">
        <v>633</v>
      </c>
      <c r="J2" s="121" t="s">
        <v>158</v>
      </c>
      <c r="K2" s="121"/>
      <c r="L2" s="120">
        <v>1.32</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Waste 1'!C3:D3</f>
        <v>TES</v>
      </c>
      <c r="D3" s="145"/>
      <c r="E3" s="93" t="s">
        <v>108</v>
      </c>
      <c r="F3" s="31" t="s">
        <v>78</v>
      </c>
      <c r="G3" s="121" t="s">
        <v>159</v>
      </c>
      <c r="H3" s="121"/>
      <c r="I3" s="118">
        <v>7562</v>
      </c>
      <c r="J3" s="122" t="s">
        <v>154</v>
      </c>
      <c r="K3" s="123"/>
      <c r="L3" s="97">
        <f>(L1/(L2*10000))*100</f>
        <v>7.575757575757576E-2</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Waste 1'!C4:D4</f>
        <v>Brookhouse Farm, Hanmer, SY13 3EQ</v>
      </c>
      <c r="D4" s="143"/>
      <c r="E4" s="94" t="s">
        <v>1</v>
      </c>
      <c r="F4" s="120" t="s">
        <v>177</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f>'Field data and Waste 1'!C5:D5</f>
        <v>0</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Waste 1'!C8</f>
        <v>5</v>
      </c>
      <c r="D8" s="60" t="str">
        <f>'Field data and Waste 1'!D8</f>
        <v>6 7</v>
      </c>
      <c r="E8" s="60" t="str">
        <f>'Field data and Waste 1'!E8</f>
        <v>8 9</v>
      </c>
      <c r="F8" s="60" t="str">
        <f>'Field data and Waste 1'!F8</f>
        <v>10 11</v>
      </c>
      <c r="G8" s="60">
        <f>'Field data and Waste 1'!G8</f>
        <v>14</v>
      </c>
      <c r="H8" s="60">
        <f>'Field data and Waste 1'!H8</f>
        <v>20</v>
      </c>
      <c r="I8" s="60">
        <f>'Field data and Waste 1'!I8</f>
        <v>21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f>'Field data and Waste 1'!C9</f>
        <v>1</v>
      </c>
      <c r="D9" s="60">
        <f>'Field data and Waste 1'!D9</f>
        <v>1</v>
      </c>
      <c r="E9" s="60">
        <f>'Field data and Waste 1'!E9</f>
        <v>1</v>
      </c>
      <c r="F9" s="60">
        <f>'Field data and Waste 1'!F9</f>
        <v>1</v>
      </c>
      <c r="G9" s="60">
        <f>'Field data and Waste 1'!G9</f>
        <v>1</v>
      </c>
      <c r="H9" s="60" t="str">
        <f>'Field data and Waste 1'!H9</f>
        <v xml:space="preserve">Moderate </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Waste 1'!C10</f>
        <v>6.1</v>
      </c>
      <c r="D10" s="60">
        <f>'Field data and Waste 1'!D10</f>
        <v>6.5</v>
      </c>
      <c r="E10" s="60">
        <f>'Field data and Waste 1'!E10</f>
        <v>6.6</v>
      </c>
      <c r="F10" s="60">
        <f>'Field data and Waste 1'!F10</f>
        <v>6</v>
      </c>
      <c r="G10" s="60">
        <f>'Field data and Waste 1'!G10</f>
        <v>6.9</v>
      </c>
      <c r="H10" s="60">
        <f>'Field data and Waste 1'!H10</f>
        <v>5.9</v>
      </c>
      <c r="I10" s="60">
        <f>'Field data and Waste 1'!I10</f>
        <v>6.3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Waste 1'!C11</f>
        <v>4</v>
      </c>
      <c r="D11" s="60">
        <f>'Field data and Waste 1'!D11</f>
        <v>4</v>
      </c>
      <c r="E11" s="60">
        <f>'Field data and Waste 1'!E11</f>
        <v>3</v>
      </c>
      <c r="F11" s="60">
        <f>'Field data and Waste 1'!F11</f>
        <v>4</v>
      </c>
      <c r="G11" s="60">
        <f>'Field data and Waste 1'!G11</f>
        <v>3</v>
      </c>
      <c r="H11" s="60">
        <f>'Field data and Waste 1'!H11</f>
        <v>4</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Waste 1'!C12</f>
        <v>1</v>
      </c>
      <c r="D12" s="60">
        <f>'Field data and Waste 1'!D12</f>
        <v>0</v>
      </c>
      <c r="E12" s="60">
        <f>'Field data and Waste 1'!E12</f>
        <v>0</v>
      </c>
      <c r="F12" s="60">
        <f>'Field data and Waste 1'!F12</f>
        <v>3</v>
      </c>
      <c r="G12" s="60">
        <f>'Field data and Waste 1'!G12</f>
        <v>1</v>
      </c>
      <c r="H12" s="60">
        <f>'Field data and Waste 1'!H12</f>
        <v>2</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Waste 1'!C13</f>
        <v>2</v>
      </c>
      <c r="D13" s="60">
        <f>'Field data and Waste 1'!D13</f>
        <v>1</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Waste 1'!C14</f>
        <v>Maize- Silage (30% DM)</v>
      </c>
      <c r="D14" s="102" t="str">
        <f>'Field data and Waste 1'!D14</f>
        <v>Spring wheat/barley</v>
      </c>
      <c r="E14" s="102" t="str">
        <f>'Field data and Waste 1'!E14</f>
        <v>Maize- Silage (30% DM)</v>
      </c>
      <c r="F14" s="102" t="str">
        <f>'Field data and Waste 1'!F14</f>
        <v>Spring wheat/barley</v>
      </c>
      <c r="G14" s="102" t="str">
        <f>'Field data and Waste 1'!G14</f>
        <v xml:space="preserve">Winter wheat- grain only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2" t="s">
        <v>9</v>
      </c>
      <c r="B15" s="132"/>
      <c r="C15" s="60">
        <f>'Field data and Waste 1'!C15</f>
        <v>40</v>
      </c>
      <c r="D15" s="60">
        <f>'Field data and Waste 1'!D15</f>
        <v>5.5</v>
      </c>
      <c r="E15" s="60">
        <f>'Field data and Waste 1'!E15</f>
        <v>40</v>
      </c>
      <c r="F15" s="60">
        <f>'Field data and Waste 1'!F15</f>
        <v>5.5</v>
      </c>
      <c r="G15" s="60">
        <f>'Field data and Waste 1'!G15</f>
        <v>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56</v>
      </c>
      <c r="D17" s="28">
        <f t="shared" ref="D17:V17" si="0">(VLOOKUP(D$14,$AI2:$AK26,2,FALSE))*D$15</f>
        <v>46.75</v>
      </c>
      <c r="E17" s="28">
        <f t="shared" si="0"/>
        <v>56</v>
      </c>
      <c r="F17" s="28">
        <f t="shared" si="0"/>
        <v>46.75</v>
      </c>
      <c r="G17" s="28">
        <f t="shared" si="0"/>
        <v>52</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44.940347639999992</v>
      </c>
      <c r="D18" s="16">
        <f>$D32</f>
        <v>44.940347639999992</v>
      </c>
      <c r="E18" s="16">
        <f>$D33</f>
        <v>44.940347639999992</v>
      </c>
      <c r="F18" s="16">
        <f>$D34</f>
        <v>44.940347639999992</v>
      </c>
      <c r="G18" s="16">
        <f>$D35</f>
        <v>44.940347639999992</v>
      </c>
      <c r="H18" s="16">
        <f>$D36</f>
        <v>44.940347639999992</v>
      </c>
      <c r="I18" s="16">
        <f>$D37</f>
        <v>44.940347639999992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-11.059652360000008</v>
      </c>
      <c r="D19" s="16">
        <f t="shared" ref="D19:V19" si="1">D18-D17</f>
        <v>-1.8096523600000083</v>
      </c>
      <c r="E19" s="16">
        <f t="shared" si="1"/>
        <v>-11.059652360000008</v>
      </c>
      <c r="F19" s="16">
        <f t="shared" si="1"/>
        <v>-1.8096523600000083</v>
      </c>
      <c r="G19" s="16">
        <f t="shared" si="1"/>
        <v>-7.0596523600000083</v>
      </c>
      <c r="H19" s="16">
        <f t="shared" si="1"/>
        <v>-19.659652360000003</v>
      </c>
      <c r="I19" s="16">
        <f t="shared" si="1"/>
        <v>-19.659652360000003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176</v>
      </c>
      <c r="D21" s="28">
        <f t="shared" ref="D21:V21" si="2">(VLOOKUP(D$14,$AI2:$AK26,3,FALSE))*D$15</f>
        <v>66</v>
      </c>
      <c r="E21" s="28">
        <f t="shared" si="2"/>
        <v>176</v>
      </c>
      <c r="F21" s="28">
        <f t="shared" si="2"/>
        <v>66</v>
      </c>
      <c r="G21" s="28">
        <f t="shared" si="2"/>
        <v>44</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16.078363199999998</v>
      </c>
      <c r="D22" s="16">
        <f>$E32</f>
        <v>16.078363199999998</v>
      </c>
      <c r="E22" s="16">
        <f>$E33</f>
        <v>16.078363199999998</v>
      </c>
      <c r="F22" s="16">
        <f>$E34</f>
        <v>16.078363199999998</v>
      </c>
      <c r="G22" s="16">
        <f>$E35</f>
        <v>16.078363199999998</v>
      </c>
      <c r="H22" s="16">
        <f>$E36</f>
        <v>16.078363199999998</v>
      </c>
      <c r="I22" s="16">
        <f>$E37</f>
        <v>16.078363199999998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-159.92163679999999</v>
      </c>
      <c r="D23" s="16">
        <f t="shared" ref="D23:V23" si="3">D22-D21</f>
        <v>-49.921636800000002</v>
      </c>
      <c r="E23" s="16">
        <f t="shared" si="3"/>
        <v>-159.92163679999999</v>
      </c>
      <c r="F23" s="16">
        <f t="shared" si="3"/>
        <v>-49.921636800000002</v>
      </c>
      <c r="G23" s="16">
        <f t="shared" si="3"/>
        <v>-27.921636800000002</v>
      </c>
      <c r="H23" s="16">
        <f t="shared" si="3"/>
        <v>-211.92163679999999</v>
      </c>
      <c r="I23" s="16">
        <f t="shared" si="3"/>
        <v>-211.92163679999999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82</v>
      </c>
      <c r="C28" s="15">
        <v>1.32</v>
      </c>
      <c r="D28" s="15">
        <v>1329</v>
      </c>
      <c r="E28" s="15">
        <v>904</v>
      </c>
      <c r="F28" s="15">
        <v>3395</v>
      </c>
      <c r="G28" s="15">
        <v>2.16</v>
      </c>
      <c r="H28" s="15">
        <v>5.99</v>
      </c>
      <c r="I28" s="15">
        <v>1</v>
      </c>
      <c r="J28" s="15">
        <v>0.1</v>
      </c>
      <c r="K28" s="23">
        <v>0.1</v>
      </c>
      <c r="L28" s="15">
        <v>1</v>
      </c>
      <c r="M28" s="15">
        <v>2</v>
      </c>
      <c r="N28" s="15"/>
      <c r="O28" s="15"/>
      <c r="P28" s="15">
        <v>1264</v>
      </c>
      <c r="Q28" s="15">
        <v>1854</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v>
      </c>
      <c r="B31" s="15">
        <v>18</v>
      </c>
      <c r="C31" s="77">
        <f>IF(C$27="%w/w SAR",((C$28*10)*$B31),IF(C$27="%w/w DM",(((C$28*10)*($B$28/100))*$B31),IF(C$27="kg/t SAR",(C$28*$B31),IF(C$27="kg/t DM",((C$28*($B$28/100))*$B31),IF(C$27="mg/kg SAR",((C$28*0.001)*$B31),IF(C$27="mg/kg DM",(((C$28*0.001)*($B$28/100))*$B31),0))))))</f>
        <v>194.83199999999999</v>
      </c>
      <c r="D31" s="77">
        <f>(IF(D$27="%w/w SAR",((D$28*10)*$B31),IF(D$27="%w/w DM",(((D$28*10)*($B$28/100))*$B31),IF(D$27="kg/t SAR",(D$28*$B31),IF(D$27="kg/t DM",((D$28*($B$28/100))*$B31),IF(D$27="mg/kg SAR",((D$28*0.001)*$B31),IF(D$27="mg/kg DM",(((D$28*0.001)*($B$28/100))*$B31),"0")))))))*2.291</f>
        <v>44.940347639999992</v>
      </c>
      <c r="E31" s="77">
        <f>(IF(E$27="%w/w SAR",((E$28*10)*$B31),IF(E$27="%w/w DM",(((E$28*10)*($B$28/100))*$B31),IF(E$27="kg/t SAR",(E$28*$B31),IF(E$27="kg/t DM",((E$28*($B$28/100))*$B31),IF(E$27="mg/kg SAR",((E$28*0.001)*$B31),IF(E$27="mg/kg DM",(((E$28*0.001)*($B$28/100))*$B31),"0")))))))*1.205</f>
        <v>16.078363199999998</v>
      </c>
      <c r="F31" s="77">
        <f>(IF(F$27="%w/w SAR",((F$28*10)*$B31),IF(F$27="%w/w DM",(((F$28*10)*($B$28/100))*$B31),IF(F$27="kg/t SAR",(F$28*$B31),IF(F$27="kg/t DM",((F$28*($B$28/100))*$B31),IF(F$27="mg/kg SAR",((F$28*0.001)*$B31),IF(F$27="mg/kg DM",(((F$28*0.001)*($B$28/100))*$B31),"0")))))))*1.658</f>
        <v>83.082711599999996</v>
      </c>
      <c r="G31" s="77">
        <f t="shared" ref="G31:P46" si="5">IF(G$27="%w/w SAR",((G$28*10)*$B31),IF(G$27="%w/w DM",(((G$28*10)*($B$28/100))*$B31),IF(G$27="kg/t SAR",(G$28*$B31),IF(G$27="kg/t DM",((G$28*($B$28/100))*$B31),IF(G$27="mg/kg SAR",((G$28*0.001)*$B31),IF(G$27="mg/kg DM",(((G$28*0.001)*($B$28/100))*$B31),0))))))</f>
        <v>3.1881599999999996E-2</v>
      </c>
      <c r="H31" s="77">
        <f t="shared" si="5"/>
        <v>8.8412400000000002E-2</v>
      </c>
      <c r="I31" s="77">
        <f t="shared" si="5"/>
        <v>1.4759999999999999E-2</v>
      </c>
      <c r="J31" s="77">
        <f t="shared" si="5"/>
        <v>1.4760000000000001E-3</v>
      </c>
      <c r="K31" s="77">
        <f t="shared" si="5"/>
        <v>1.4760000000000001E-3</v>
      </c>
      <c r="L31" s="77">
        <f t="shared" si="5"/>
        <v>1.4759999999999999E-2</v>
      </c>
      <c r="M31" s="77">
        <f t="shared" si="5"/>
        <v>2.9519999999999998E-2</v>
      </c>
      <c r="N31" s="77">
        <f t="shared" si="5"/>
        <v>0</v>
      </c>
      <c r="O31" s="77">
        <f t="shared" si="5"/>
        <v>0</v>
      </c>
      <c r="P31" s="77">
        <f t="shared" si="5"/>
        <v>18.656639999999996</v>
      </c>
      <c r="Q31" s="77">
        <f>(IF(Q$27="%w/w SAR",((Q$28*10)*$B31),IF(Q$27="%w/w DM",(((Q$28*10)*($B$28/100))*$B31),IF(Q$27="kg/t SAR",(Q$28*$B31),IF(Q$27="kg/t DM",((Q$28*($B$28/100))*$B31),IF(Q$27="mg/kg SAR",((Q$28*0.001)*$B31),IF(Q$27="mg/kg DM",(((Q$28*0.001)*($B$28/100))*$B31),0)))))))*2.5</f>
        <v>68.412599999999998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6 7</v>
      </c>
      <c r="B32" s="15">
        <v>18</v>
      </c>
      <c r="C32" s="77">
        <f t="shared" ref="C32:C50" si="6">IF(C$27="%w/w SAR",((C$28*10)*$B32),IF(C$27="%w/w DM",(((C$28*10)*($B$28/100))*$B32),IF(C$27="kg/t SAR",(C$28*$B32),IF(C$27="kg/t DM",((C$28*($B$28/100))*$B32),IF(C$27="mg/kg SAR",((C$28*0.001)*$B32),IF(C$27="mg/kg DM",(((C$28*0.001)*($B$28/100))*$B32),0))))))</f>
        <v>194.83199999999999</v>
      </c>
      <c r="D32" s="77">
        <f t="shared" ref="D32:D50" si="7">(IF(D$27="%w/w SAR",((D$28*10)*$B32),IF(D$27="%w/w DM",(((D$28*10)*($B$28/100))*$B32),IF(D$27="kg/t SAR",(D$28*$B32),IF(D$27="kg/t DM",((D$28*($B$28/100))*$B32),IF(D$27="mg/kg SAR",((D$28*0.001)*$B32),IF(D$27="mg/kg DM",(((D$28*0.001)*($B$28/100))*$B32),"0")))))))*2.291</f>
        <v>44.940347639999992</v>
      </c>
      <c r="E32" s="77">
        <f t="shared" ref="E32:E50" si="8">(IF(E$27="%w/w SAR",((E$28*10)*$B32),IF(E$27="%w/w DM",(((E$28*10)*($B$28/100))*$B32),IF(E$27="kg/t SAR",(E$28*$B32),IF(E$27="kg/t DM",((E$28*($B$28/100))*$B32),IF(E$27="mg/kg SAR",((E$28*0.001)*$B32),IF(E$27="mg/kg DM",(((E$28*0.001)*($B$28/100))*$B32),"0")))))))*1.205</f>
        <v>16.078363199999998</v>
      </c>
      <c r="F32" s="77">
        <f t="shared" ref="F32:F50" si="9">(IF(F$27="%w/w SAR",((F$28*10)*$B32),IF(F$27="%w/w DM",(((F$28*10)*($B$28/100))*$B32),IF(F$27="kg/t SAR",(F$28*$B32),IF(F$27="kg/t DM",((F$28*($B$28/100))*$B32),IF(F$27="mg/kg SAR",((F$28*0.001)*$B32),IF(F$27="mg/kg DM",(((F$28*0.001)*($B$28/100))*$B32),"0")))))))*1.658</f>
        <v>83.082711599999996</v>
      </c>
      <c r="G32" s="77">
        <f t="shared" si="5"/>
        <v>3.1881599999999996E-2</v>
      </c>
      <c r="H32" s="77">
        <f t="shared" si="5"/>
        <v>8.8412400000000002E-2</v>
      </c>
      <c r="I32" s="77">
        <f t="shared" si="5"/>
        <v>1.4759999999999999E-2</v>
      </c>
      <c r="J32" s="77">
        <f t="shared" si="5"/>
        <v>1.4760000000000001E-3</v>
      </c>
      <c r="K32" s="77">
        <f t="shared" si="5"/>
        <v>1.4760000000000001E-3</v>
      </c>
      <c r="L32" s="77">
        <f t="shared" si="5"/>
        <v>1.4759999999999999E-2</v>
      </c>
      <c r="M32" s="77">
        <f t="shared" si="5"/>
        <v>2.9519999999999998E-2</v>
      </c>
      <c r="N32" s="77">
        <f t="shared" si="5"/>
        <v>0</v>
      </c>
      <c r="O32" s="77">
        <f t="shared" si="5"/>
        <v>0</v>
      </c>
      <c r="P32" s="77">
        <f t="shared" si="5"/>
        <v>18.656639999999996</v>
      </c>
      <c r="Q32" s="77">
        <f t="shared" ref="Q32:Q50" si="10">(IF(Q$27="%w/w SAR",((Q$28*10)*$B32),IF(Q$27="%w/w DM",(((Q$28*10)*($B$28/100))*$B32),IF(Q$27="kg/t SAR",(Q$28*$B32),IF(Q$27="kg/t DM",((Q$28*($B$28/100))*$B32),IF(Q$27="mg/kg SAR",((Q$28*0.001)*$B32),IF(Q$27="mg/kg DM",(((Q$28*0.001)*($B$28/100))*$B32),0)))))))*2.5</f>
        <v>68.412599999999998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8 9</v>
      </c>
      <c r="B33" s="15">
        <v>18</v>
      </c>
      <c r="C33" s="77">
        <f t="shared" si="6"/>
        <v>194.83199999999999</v>
      </c>
      <c r="D33" s="77">
        <f t="shared" si="7"/>
        <v>44.940347639999992</v>
      </c>
      <c r="E33" s="77">
        <f t="shared" si="8"/>
        <v>16.078363199999998</v>
      </c>
      <c r="F33" s="77">
        <f t="shared" si="9"/>
        <v>83.082711599999996</v>
      </c>
      <c r="G33" s="77">
        <f t="shared" si="5"/>
        <v>3.1881599999999996E-2</v>
      </c>
      <c r="H33" s="77">
        <f t="shared" si="5"/>
        <v>8.8412400000000002E-2</v>
      </c>
      <c r="I33" s="77">
        <f t="shared" si="5"/>
        <v>1.4759999999999999E-2</v>
      </c>
      <c r="J33" s="77">
        <f t="shared" si="5"/>
        <v>1.4760000000000001E-3</v>
      </c>
      <c r="K33" s="77">
        <f t="shared" si="5"/>
        <v>1.4760000000000001E-3</v>
      </c>
      <c r="L33" s="77">
        <f t="shared" si="5"/>
        <v>1.4759999999999999E-2</v>
      </c>
      <c r="M33" s="77">
        <f t="shared" si="5"/>
        <v>2.9519999999999998E-2</v>
      </c>
      <c r="N33" s="77">
        <f t="shared" si="5"/>
        <v>0</v>
      </c>
      <c r="O33" s="77">
        <f t="shared" si="5"/>
        <v>0</v>
      </c>
      <c r="P33" s="77">
        <f t="shared" si="5"/>
        <v>18.656639999999996</v>
      </c>
      <c r="Q33" s="77">
        <f t="shared" si="10"/>
        <v>68.412599999999998</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10 11</v>
      </c>
      <c r="B34" s="15">
        <v>18</v>
      </c>
      <c r="C34" s="77">
        <f t="shared" si="6"/>
        <v>194.83199999999999</v>
      </c>
      <c r="D34" s="77">
        <f t="shared" si="7"/>
        <v>44.940347639999992</v>
      </c>
      <c r="E34" s="77">
        <f t="shared" si="8"/>
        <v>16.078363199999998</v>
      </c>
      <c r="F34" s="77">
        <f t="shared" si="9"/>
        <v>83.082711599999996</v>
      </c>
      <c r="G34" s="77">
        <f t="shared" si="5"/>
        <v>3.1881599999999996E-2</v>
      </c>
      <c r="H34" s="77">
        <f t="shared" si="5"/>
        <v>8.8412400000000002E-2</v>
      </c>
      <c r="I34" s="77">
        <f t="shared" si="5"/>
        <v>1.4759999999999999E-2</v>
      </c>
      <c r="J34" s="77">
        <f t="shared" si="5"/>
        <v>1.4760000000000001E-3</v>
      </c>
      <c r="K34" s="77">
        <f t="shared" si="5"/>
        <v>1.4760000000000001E-3</v>
      </c>
      <c r="L34" s="77">
        <f t="shared" si="5"/>
        <v>1.4759999999999999E-2</v>
      </c>
      <c r="M34" s="77">
        <f t="shared" si="5"/>
        <v>2.9519999999999998E-2</v>
      </c>
      <c r="N34" s="77">
        <f t="shared" si="5"/>
        <v>0</v>
      </c>
      <c r="O34" s="77">
        <f t="shared" si="5"/>
        <v>0</v>
      </c>
      <c r="P34" s="77">
        <f t="shared" si="5"/>
        <v>18.656639999999996</v>
      </c>
      <c r="Q34" s="77">
        <f t="shared" si="10"/>
        <v>68.412599999999998</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14</v>
      </c>
      <c r="B35" s="15">
        <v>18</v>
      </c>
      <c r="C35" s="77">
        <f t="shared" si="6"/>
        <v>194.83199999999999</v>
      </c>
      <c r="D35" s="77">
        <f t="shared" si="7"/>
        <v>44.940347639999992</v>
      </c>
      <c r="E35" s="77">
        <f t="shared" si="8"/>
        <v>16.078363199999998</v>
      </c>
      <c r="F35" s="77">
        <f t="shared" si="9"/>
        <v>83.082711599999996</v>
      </c>
      <c r="G35" s="77">
        <f t="shared" si="5"/>
        <v>3.1881599999999996E-2</v>
      </c>
      <c r="H35" s="77">
        <f t="shared" si="5"/>
        <v>8.8412400000000002E-2</v>
      </c>
      <c r="I35" s="77">
        <f t="shared" si="5"/>
        <v>1.4759999999999999E-2</v>
      </c>
      <c r="J35" s="77">
        <f t="shared" si="5"/>
        <v>1.4760000000000001E-3</v>
      </c>
      <c r="K35" s="77">
        <f t="shared" si="5"/>
        <v>1.4760000000000001E-3</v>
      </c>
      <c r="L35" s="77">
        <f t="shared" si="5"/>
        <v>1.4759999999999999E-2</v>
      </c>
      <c r="M35" s="77">
        <f t="shared" si="5"/>
        <v>2.9519999999999998E-2</v>
      </c>
      <c r="N35" s="77">
        <f t="shared" si="5"/>
        <v>0</v>
      </c>
      <c r="O35" s="77">
        <f t="shared" si="5"/>
        <v>0</v>
      </c>
      <c r="P35" s="77">
        <f t="shared" si="5"/>
        <v>18.656639999999996</v>
      </c>
      <c r="Q35" s="77">
        <f t="shared" si="10"/>
        <v>68.412599999999998</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20</v>
      </c>
      <c r="B36" s="15">
        <v>18</v>
      </c>
      <c r="C36" s="77">
        <f t="shared" si="6"/>
        <v>194.83199999999999</v>
      </c>
      <c r="D36" s="77">
        <f t="shared" si="7"/>
        <v>44.940347639999992</v>
      </c>
      <c r="E36" s="77">
        <f t="shared" si="8"/>
        <v>16.078363199999998</v>
      </c>
      <c r="F36" s="77">
        <f t="shared" si="9"/>
        <v>83.082711599999996</v>
      </c>
      <c r="G36" s="77">
        <f t="shared" si="5"/>
        <v>3.1881599999999996E-2</v>
      </c>
      <c r="H36" s="77">
        <f t="shared" si="5"/>
        <v>8.8412400000000002E-2</v>
      </c>
      <c r="I36" s="77">
        <f t="shared" si="5"/>
        <v>1.4759999999999999E-2</v>
      </c>
      <c r="J36" s="77">
        <f t="shared" si="5"/>
        <v>1.4760000000000001E-3</v>
      </c>
      <c r="K36" s="77">
        <f t="shared" si="5"/>
        <v>1.4760000000000001E-3</v>
      </c>
      <c r="L36" s="77">
        <f t="shared" si="5"/>
        <v>1.4759999999999999E-2</v>
      </c>
      <c r="M36" s="77">
        <f t="shared" si="5"/>
        <v>2.9519999999999998E-2</v>
      </c>
      <c r="N36" s="77">
        <f t="shared" si="5"/>
        <v>0</v>
      </c>
      <c r="O36" s="77">
        <f t="shared" si="5"/>
        <v>0</v>
      </c>
      <c r="P36" s="77">
        <f t="shared" si="5"/>
        <v>18.656639999999996</v>
      </c>
      <c r="Q36" s="77">
        <f t="shared" si="10"/>
        <v>68.412599999999998</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21</v>
      </c>
      <c r="B37" s="15">
        <v>18</v>
      </c>
      <c r="C37" s="77">
        <f t="shared" si="6"/>
        <v>194.83199999999999</v>
      </c>
      <c r="D37" s="77">
        <f t="shared" si="7"/>
        <v>44.940347639999992</v>
      </c>
      <c r="E37" s="77">
        <f t="shared" si="8"/>
        <v>16.078363199999998</v>
      </c>
      <c r="F37" s="77">
        <f t="shared" si="9"/>
        <v>83.082711599999996</v>
      </c>
      <c r="G37" s="77">
        <f t="shared" si="5"/>
        <v>3.1881599999999996E-2</v>
      </c>
      <c r="H37" s="77">
        <f t="shared" si="5"/>
        <v>8.8412400000000002E-2</v>
      </c>
      <c r="I37" s="77">
        <f t="shared" si="5"/>
        <v>1.4759999999999999E-2</v>
      </c>
      <c r="J37" s="77">
        <f t="shared" si="5"/>
        <v>1.4760000000000001E-3</v>
      </c>
      <c r="K37" s="77">
        <f t="shared" si="5"/>
        <v>1.4760000000000001E-3</v>
      </c>
      <c r="L37" s="77">
        <f t="shared" si="5"/>
        <v>1.4759999999999999E-2</v>
      </c>
      <c r="M37" s="77">
        <f t="shared" si="5"/>
        <v>2.9519999999999998E-2</v>
      </c>
      <c r="N37" s="77">
        <f t="shared" si="5"/>
        <v>0</v>
      </c>
      <c r="O37" s="77">
        <f t="shared" si="5"/>
        <v>0</v>
      </c>
      <c r="P37" s="77">
        <f t="shared" si="5"/>
        <v>18.656639999999996</v>
      </c>
      <c r="Q37" s="77">
        <f t="shared" si="10"/>
        <v>68.412599999999998</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82</v>
      </c>
      <c r="C55" s="116">
        <v>46.5</v>
      </c>
      <c r="D55" s="117">
        <f>(B55/100)*C55</f>
        <v>38.129999999999995</v>
      </c>
      <c r="E55" s="117">
        <f>G55</f>
        <v>67.977999999999994</v>
      </c>
      <c r="F55" s="116">
        <v>82.9</v>
      </c>
      <c r="G55" s="117">
        <f>(B55/100)*F55</f>
        <v>67.977999999999994</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v>
      </c>
      <c r="C57" s="8" t="str">
        <f t="shared" ref="C57:U57" si="13">D8</f>
        <v>6 7</v>
      </c>
      <c r="D57" s="8" t="str">
        <f t="shared" si="13"/>
        <v>8 9</v>
      </c>
      <c r="E57" s="8" t="str">
        <f t="shared" si="13"/>
        <v>10 11</v>
      </c>
      <c r="F57" s="8">
        <f t="shared" si="13"/>
        <v>14</v>
      </c>
      <c r="G57" s="8">
        <f t="shared" si="13"/>
        <v>20</v>
      </c>
      <c r="H57" s="8">
        <f t="shared" si="13"/>
        <v>21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6.7</v>
      </c>
      <c r="D59" s="76">
        <f>VLOOKUP(E$14,Table24581114[],5,FALSE)</f>
        <v>6.7</v>
      </c>
      <c r="E59" s="76">
        <f>VLOOKUP(F$14,Table24581114[],5,FALSE)</f>
        <v>6.7</v>
      </c>
      <c r="F59" s="76">
        <f>VLOOKUP(G$14,Table24581114[],5,FALSE)</f>
        <v>6.7</v>
      </c>
      <c r="G59" s="76">
        <f>VLOOKUP(H$14,Table24581114[],5,FALSE)</f>
        <v>6.2</v>
      </c>
      <c r="H59" s="76">
        <f>VLOOKUP(I$14,Table24581114[],5,FALSE)</f>
        <v>6.2</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6.1</v>
      </c>
      <c r="C60" s="76">
        <f t="shared" ref="C60:U60" si="14">D10</f>
        <v>6.5</v>
      </c>
      <c r="D60" s="76">
        <f t="shared" si="14"/>
        <v>6.6</v>
      </c>
      <c r="E60" s="76">
        <f t="shared" si="14"/>
        <v>6</v>
      </c>
      <c r="F60" s="76">
        <f t="shared" si="14"/>
        <v>6.9</v>
      </c>
      <c r="G60" s="76">
        <f t="shared" si="14"/>
        <v>5.9</v>
      </c>
      <c r="H60" s="76">
        <f t="shared" si="14"/>
        <v>6.3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18</v>
      </c>
      <c r="C62" s="77">
        <f>B32</f>
        <v>18</v>
      </c>
      <c r="D62" s="77">
        <f>B33</f>
        <v>18</v>
      </c>
      <c r="E62" s="77">
        <f>B34</f>
        <v>18</v>
      </c>
      <c r="F62" s="77">
        <f>B35</f>
        <v>18</v>
      </c>
      <c r="G62" s="77">
        <f>B36</f>
        <v>18</v>
      </c>
      <c r="H62" s="77">
        <f>B37</f>
        <v>18</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12.236039999999999</v>
      </c>
      <c r="C63" s="77">
        <f t="shared" ref="C63:U63" si="16">$E55*(C62/100)</f>
        <v>12.236039999999999</v>
      </c>
      <c r="D63" s="77">
        <f t="shared" si="16"/>
        <v>12.236039999999999</v>
      </c>
      <c r="E63" s="77">
        <f t="shared" si="16"/>
        <v>12.236039999999999</v>
      </c>
      <c r="F63" s="77">
        <f>$E55*(F62/100)</f>
        <v>12.236039999999999</v>
      </c>
      <c r="G63" s="77">
        <f t="shared" si="16"/>
        <v>12.236039999999999</v>
      </c>
      <c r="H63" s="77">
        <f t="shared" si="16"/>
        <v>12.236039999999999</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1.6000000000000014</v>
      </c>
      <c r="D64" s="77">
        <f t="shared" si="17"/>
        <v>0.80000000000000426</v>
      </c>
      <c r="E64" s="77">
        <f t="shared" si="17"/>
        <v>5.6000000000000014</v>
      </c>
      <c r="F64" s="77">
        <f t="shared" si="17"/>
        <v>-1.6000000000000014</v>
      </c>
      <c r="G64" s="77">
        <f t="shared" si="17"/>
        <v>1.7999999999999989</v>
      </c>
      <c r="H64" s="77">
        <f t="shared" si="17"/>
        <v>-0.59999999999999787</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7.4360399999999949</v>
      </c>
      <c r="C65" s="77">
        <f t="shared" ref="C65:U65" si="18">C63-C64</f>
        <v>10.636039999999998</v>
      </c>
      <c r="D65" s="77">
        <f t="shared" si="18"/>
        <v>11.436039999999995</v>
      </c>
      <c r="E65" s="77">
        <f t="shared" si="18"/>
        <v>6.6360399999999977</v>
      </c>
      <c r="F65" s="77">
        <f t="shared" si="18"/>
        <v>13.836040000000001</v>
      </c>
      <c r="G65" s="77">
        <f t="shared" si="18"/>
        <v>10.43604</v>
      </c>
      <c r="H65" s="77">
        <f t="shared" si="18"/>
        <v>12.836039999999997</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74" priority="39" operator="equal">
      <formula>"DECREASE"</formula>
    </cfRule>
    <cfRule type="cellIs" dxfId="273" priority="40" operator="equal">
      <formula>"INCREASE"</formula>
    </cfRule>
  </conditionalFormatting>
  <conditionalFormatting sqref="B62:U66 B31:B50">
    <cfRule type="cellIs" dxfId="272" priority="38" operator="greaterThan">
      <formula>$B$51</formula>
    </cfRule>
  </conditionalFormatting>
  <conditionalFormatting sqref="C31:C50">
    <cfRule type="cellIs" dxfId="271" priority="37" operator="greaterThan">
      <formula>$C$51</formula>
    </cfRule>
  </conditionalFormatting>
  <conditionalFormatting sqref="C18:V18">
    <cfRule type="cellIs" dxfId="270" priority="36" operator="equal">
      <formula>0</formula>
    </cfRule>
  </conditionalFormatting>
  <conditionalFormatting sqref="C17:V17">
    <cfRule type="cellIs" dxfId="269" priority="35" operator="equal">
      <formula>0</formula>
    </cfRule>
  </conditionalFormatting>
  <conditionalFormatting sqref="C19:V19">
    <cfRule type="cellIs" dxfId="268" priority="34" operator="equal">
      <formula>0</formula>
    </cfRule>
  </conditionalFormatting>
  <conditionalFormatting sqref="G31:G50">
    <cfRule type="cellIs" dxfId="267" priority="33" operator="greaterThan">
      <formula>$G$51</formula>
    </cfRule>
  </conditionalFormatting>
  <conditionalFormatting sqref="H31:H50">
    <cfRule type="cellIs" dxfId="266" priority="32" operator="greaterThan">
      <formula>$H$51</formula>
    </cfRule>
  </conditionalFormatting>
  <conditionalFormatting sqref="I31:I50">
    <cfRule type="cellIs" dxfId="265" priority="31" operator="greaterThan">
      <formula>$I$51</formula>
    </cfRule>
  </conditionalFormatting>
  <conditionalFormatting sqref="K31:K50">
    <cfRule type="cellIs" dxfId="264" priority="30" operator="greaterThan">
      <formula>$K$51</formula>
    </cfRule>
  </conditionalFormatting>
  <conditionalFormatting sqref="L31:L50">
    <cfRule type="cellIs" dxfId="263" priority="29" operator="greaterThan">
      <formula>$L$51</formula>
    </cfRule>
  </conditionalFormatting>
  <conditionalFormatting sqref="M31:M50">
    <cfRule type="cellIs" dxfId="262" priority="28" operator="greaterThan">
      <formula>$M$51</formula>
    </cfRule>
  </conditionalFormatting>
  <conditionalFormatting sqref="P31:P50">
    <cfRule type="cellIs" dxfId="261" priority="27" operator="greaterThan">
      <formula>$P$51</formula>
    </cfRule>
  </conditionalFormatting>
  <conditionalFormatting sqref="R31:R50">
    <cfRule type="cellIs" dxfId="260" priority="26" operator="greaterThan">
      <formula>$R$51</formula>
    </cfRule>
  </conditionalFormatting>
  <conditionalFormatting sqref="S31:S50">
    <cfRule type="cellIs" dxfId="259" priority="25" operator="greaterThan">
      <formula>$S$51</formula>
    </cfRule>
  </conditionalFormatting>
  <conditionalFormatting sqref="T31:T50">
    <cfRule type="cellIs" dxfId="258" priority="24" operator="greaterThan">
      <formula>$T$51</formula>
    </cfRule>
  </conditionalFormatting>
  <conditionalFormatting sqref="U31:U50">
    <cfRule type="cellIs" dxfId="257" priority="23" operator="greaterThan">
      <formula>$U$51</formula>
    </cfRule>
  </conditionalFormatting>
  <conditionalFormatting sqref="C22:V22">
    <cfRule type="cellIs" dxfId="256" priority="22" operator="equal">
      <formula>0</formula>
    </cfRule>
  </conditionalFormatting>
  <conditionalFormatting sqref="C24:V24">
    <cfRule type="cellIs" dxfId="255" priority="20" operator="equal">
      <formula>"DECREASE"</formula>
    </cfRule>
    <cfRule type="cellIs" dxfId="254" priority="21" operator="equal">
      <formula>"INCREASE"</formula>
    </cfRule>
  </conditionalFormatting>
  <conditionalFormatting sqref="C23:V23">
    <cfRule type="cellIs" dxfId="253" priority="19" operator="equal">
      <formula>0</formula>
    </cfRule>
  </conditionalFormatting>
  <conditionalFormatting sqref="C21:V21">
    <cfRule type="cellIs" dxfId="252" priority="15" operator="equal">
      <formula>0</formula>
    </cfRule>
  </conditionalFormatting>
  <conditionalFormatting sqref="B66:U66">
    <cfRule type="cellIs" dxfId="251" priority="13" operator="equal">
      <formula>"UNDER"</formula>
    </cfRule>
    <cfRule type="cellIs" dxfId="250" priority="14" operator="equal">
      <formula>"OVER"</formula>
    </cfRule>
  </conditionalFormatting>
  <conditionalFormatting sqref="J31:J50">
    <cfRule type="cellIs" dxfId="249" priority="10" operator="greaterThan">
      <formula>$J$51</formula>
    </cfRule>
  </conditionalFormatting>
  <conditionalFormatting sqref="L3">
    <cfRule type="cellIs" dxfId="248" priority="6" operator="lessThan">
      <formula>30</formula>
    </cfRule>
    <cfRule type="cellIs" dxfId="247" priority="7" operator="greaterThanOrEqual">
      <formula>30</formula>
    </cfRule>
  </conditionalFormatting>
  <conditionalFormatting sqref="I3">
    <cfRule type="cellIs" dxfId="244" priority="3" operator="greaterThan">
      <formula>40000.01</formula>
    </cfRule>
  </conditionalFormatting>
  <conditionalFormatting sqref="I1">
    <cfRule type="cellIs" dxfId="13" priority="2" operator="between">
      <formula>0.1</formula>
      <formula>5</formula>
    </cfRule>
  </conditionalFormatting>
  <conditionalFormatting sqref="I2">
    <cfRule type="cellIs" dxfId="12" priority="1" operator="greaterThan">
      <formula>5000.1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32" sqref="B32: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Waste 1'!C1:D1</f>
        <v>PAN-020020</v>
      </c>
      <c r="D1" s="143"/>
      <c r="E1" s="93" t="s">
        <v>45</v>
      </c>
      <c r="F1" s="39">
        <f>'Field data and Waste 1'!F1</f>
        <v>50</v>
      </c>
      <c r="G1" s="122" t="s">
        <v>43</v>
      </c>
      <c r="H1" s="123"/>
      <c r="I1" s="120">
        <v>6.84</v>
      </c>
      <c r="J1" s="121" t="s">
        <v>153</v>
      </c>
      <c r="K1" s="121"/>
      <c r="L1" s="120">
        <v>6581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Waste 1'!C2:D2</f>
        <v>KP3594VE</v>
      </c>
      <c r="D2" s="145"/>
      <c r="E2" s="93" t="s">
        <v>109</v>
      </c>
      <c r="F2" s="120" t="s">
        <v>178</v>
      </c>
      <c r="G2" s="140" t="s">
        <v>110</v>
      </c>
      <c r="H2" s="141"/>
      <c r="I2" s="120">
        <v>466</v>
      </c>
      <c r="J2" s="121" t="s">
        <v>158</v>
      </c>
      <c r="K2" s="121"/>
      <c r="L2" s="120">
        <v>8.11</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Waste 1'!C3:D3</f>
        <v>TES</v>
      </c>
      <c r="D3" s="145"/>
      <c r="E3" s="93" t="s">
        <v>108</v>
      </c>
      <c r="F3" s="31" t="s">
        <v>104</v>
      </c>
      <c r="G3" s="121" t="s">
        <v>159</v>
      </c>
      <c r="H3" s="121"/>
      <c r="I3" s="118"/>
      <c r="J3" s="122" t="s">
        <v>154</v>
      </c>
      <c r="K3" s="123"/>
      <c r="L3" s="97">
        <f>(L1/(L2*10000))*100</f>
        <v>8.1146732429099888</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Waste 1'!C4:D4</f>
        <v>Brookhouse Farm, Hanmer, SY13 3EQ</v>
      </c>
      <c r="D4" s="143"/>
      <c r="E4" s="94" t="s">
        <v>1</v>
      </c>
      <c r="F4" s="120" t="s">
        <v>179</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f>'Field data and Waste 1'!C5:D5</f>
        <v>0</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Waste 1'!C8</f>
        <v>5</v>
      </c>
      <c r="D8" s="60" t="str">
        <f>'Field data and Waste 1'!D8</f>
        <v>6 7</v>
      </c>
      <c r="E8" s="60" t="str">
        <f>'Field data and Waste 1'!E8</f>
        <v>8 9</v>
      </c>
      <c r="F8" s="60" t="str">
        <f>'Field data and Waste 1'!F8</f>
        <v>10 11</v>
      </c>
      <c r="G8" s="60">
        <f>'Field data and Waste 1'!G8</f>
        <v>14</v>
      </c>
      <c r="H8" s="60">
        <f>'Field data and Waste 1'!H8</f>
        <v>20</v>
      </c>
      <c r="I8" s="60">
        <f>'Field data and Waste 1'!I8</f>
        <v>21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f>'Field data and Waste 1'!C9</f>
        <v>1</v>
      </c>
      <c r="D9" s="60">
        <f>'Field data and Waste 1'!D9</f>
        <v>1</v>
      </c>
      <c r="E9" s="60">
        <f>'Field data and Waste 1'!E9</f>
        <v>1</v>
      </c>
      <c r="F9" s="60">
        <f>'Field data and Waste 1'!F9</f>
        <v>1</v>
      </c>
      <c r="G9" s="60">
        <f>'Field data and Waste 1'!G9</f>
        <v>1</v>
      </c>
      <c r="H9" s="60" t="str">
        <f>'Field data and Waste 1'!H9</f>
        <v xml:space="preserve">Moderate </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Waste 1'!C10</f>
        <v>6.1</v>
      </c>
      <c r="D10" s="60">
        <f>'Field data and Waste 1'!D10</f>
        <v>6.5</v>
      </c>
      <c r="E10" s="60">
        <f>'Field data and Waste 1'!E10</f>
        <v>6.6</v>
      </c>
      <c r="F10" s="60">
        <f>'Field data and Waste 1'!F10</f>
        <v>6</v>
      </c>
      <c r="G10" s="60">
        <f>'Field data and Waste 1'!G10</f>
        <v>6.9</v>
      </c>
      <c r="H10" s="60">
        <f>'Field data and Waste 1'!H10</f>
        <v>5.9</v>
      </c>
      <c r="I10" s="60">
        <f>'Field data and Waste 1'!I10</f>
        <v>6.3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Waste 1'!C11</f>
        <v>4</v>
      </c>
      <c r="D11" s="60">
        <f>'Field data and Waste 1'!D11</f>
        <v>4</v>
      </c>
      <c r="E11" s="60">
        <f>'Field data and Waste 1'!E11</f>
        <v>3</v>
      </c>
      <c r="F11" s="60">
        <f>'Field data and Waste 1'!F11</f>
        <v>4</v>
      </c>
      <c r="G11" s="60">
        <f>'Field data and Waste 1'!G11</f>
        <v>3</v>
      </c>
      <c r="H11" s="60">
        <f>'Field data and Waste 1'!H11</f>
        <v>4</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Waste 1'!C12</f>
        <v>1</v>
      </c>
      <c r="D12" s="60">
        <f>'Field data and Waste 1'!D12</f>
        <v>0</v>
      </c>
      <c r="E12" s="60">
        <f>'Field data and Waste 1'!E12</f>
        <v>0</v>
      </c>
      <c r="F12" s="60">
        <f>'Field data and Waste 1'!F12</f>
        <v>3</v>
      </c>
      <c r="G12" s="60">
        <f>'Field data and Waste 1'!G12</f>
        <v>1</v>
      </c>
      <c r="H12" s="60">
        <f>'Field data and Waste 1'!H12</f>
        <v>2</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Waste 1'!C13</f>
        <v>2</v>
      </c>
      <c r="D13" s="60">
        <f>'Field data and Waste 1'!D13</f>
        <v>1</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Waste 1'!C14</f>
        <v>Maize- Silage (30% DM)</v>
      </c>
      <c r="D14" s="102" t="str">
        <f>'Field data and Waste 1'!D14</f>
        <v>Spring wheat/barley</v>
      </c>
      <c r="E14" s="102" t="str">
        <f>'Field data and Waste 1'!E14</f>
        <v>Maize- Silage (30% DM)</v>
      </c>
      <c r="F14" s="102" t="str">
        <f>'Field data and Waste 1'!F14</f>
        <v>Spring wheat/barley</v>
      </c>
      <c r="G14" s="102" t="str">
        <f>'Field data and Waste 1'!G14</f>
        <v xml:space="preserve">Winter wheat- grain only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2" t="s">
        <v>9</v>
      </c>
      <c r="B15" s="132"/>
      <c r="C15" s="60">
        <f>'Field data and Waste 1'!C15</f>
        <v>40</v>
      </c>
      <c r="D15" s="60">
        <f>'Field data and Waste 1'!D15</f>
        <v>5.5</v>
      </c>
      <c r="E15" s="60">
        <f>'Field data and Waste 1'!E15</f>
        <v>40</v>
      </c>
      <c r="F15" s="60">
        <f>'Field data and Waste 1'!F15</f>
        <v>5.5</v>
      </c>
      <c r="G15" s="60">
        <f>'Field data and Waste 1'!G15</f>
        <v>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56</v>
      </c>
      <c r="D17" s="28">
        <f t="shared" ref="D17:V17" si="0">(VLOOKUP(D$14,$AI2:$AK26,2,FALSE))*D$15</f>
        <v>46.75</v>
      </c>
      <c r="E17" s="28">
        <f t="shared" si="0"/>
        <v>56</v>
      </c>
      <c r="F17" s="28">
        <f t="shared" si="0"/>
        <v>46.75</v>
      </c>
      <c r="G17" s="28">
        <f t="shared" si="0"/>
        <v>52</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44.807836200000004</v>
      </c>
      <c r="D18" s="16">
        <f>$D32</f>
        <v>44.807836200000004</v>
      </c>
      <c r="E18" s="16">
        <f>$D33</f>
        <v>44.807836200000004</v>
      </c>
      <c r="F18" s="16">
        <f>$D34</f>
        <v>44.807836200000004</v>
      </c>
      <c r="G18" s="16">
        <f>$D35</f>
        <v>44.807836200000004</v>
      </c>
      <c r="H18" s="16">
        <f>$D36</f>
        <v>44.807836200000004</v>
      </c>
      <c r="I18" s="16">
        <f>$D37</f>
        <v>44.807836200000004</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-11.192163799999996</v>
      </c>
      <c r="D19" s="16">
        <f t="shared" ref="D19:V19" si="1">D18-D17</f>
        <v>-1.9421637999999959</v>
      </c>
      <c r="E19" s="16">
        <f t="shared" si="1"/>
        <v>-11.192163799999996</v>
      </c>
      <c r="F19" s="16">
        <f t="shared" si="1"/>
        <v>-1.9421637999999959</v>
      </c>
      <c r="G19" s="16">
        <f t="shared" si="1"/>
        <v>-7.1921637999999959</v>
      </c>
      <c r="H19" s="16">
        <f t="shared" si="1"/>
        <v>-19.79216379999999</v>
      </c>
      <c r="I19" s="16">
        <f t="shared" si="1"/>
        <v>-19.79216379999999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176</v>
      </c>
      <c r="D21" s="28">
        <f t="shared" ref="D21:V21" si="2">(VLOOKUP(D$14,$AI2:$AK26,3,FALSE))*D$15</f>
        <v>66</v>
      </c>
      <c r="E21" s="28">
        <f t="shared" si="2"/>
        <v>176</v>
      </c>
      <c r="F21" s="28">
        <f t="shared" si="2"/>
        <v>66</v>
      </c>
      <c r="G21" s="28">
        <f t="shared" si="2"/>
        <v>44</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9.2359635000000022</v>
      </c>
      <c r="D22" s="16">
        <f>$E32</f>
        <v>9.2359635000000022</v>
      </c>
      <c r="E22" s="16">
        <f>$E33</f>
        <v>9.2359635000000022</v>
      </c>
      <c r="F22" s="16">
        <f>$E34</f>
        <v>9.2359635000000022</v>
      </c>
      <c r="G22" s="16">
        <f>$E35</f>
        <v>9.2359635000000022</v>
      </c>
      <c r="H22" s="16">
        <f>$E36</f>
        <v>9.2359635000000022</v>
      </c>
      <c r="I22" s="16">
        <f>$E37</f>
        <v>9.2359635000000022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-166.7640365</v>
      </c>
      <c r="D23" s="16">
        <f t="shared" ref="D23:V23" si="3">D22-D21</f>
        <v>-56.764036499999996</v>
      </c>
      <c r="E23" s="16">
        <f t="shared" si="3"/>
        <v>-166.7640365</v>
      </c>
      <c r="F23" s="16">
        <f t="shared" si="3"/>
        <v>-56.764036499999996</v>
      </c>
      <c r="G23" s="16">
        <f t="shared" si="3"/>
        <v>-34.764036499999996</v>
      </c>
      <c r="H23" s="16">
        <f t="shared" si="3"/>
        <v>-218.7640365</v>
      </c>
      <c r="I23" s="16">
        <f t="shared" si="3"/>
        <v>-218.7640365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57</v>
      </c>
      <c r="R27" s="107"/>
      <c r="S27" s="107"/>
      <c r="T27" s="107"/>
      <c r="U27" s="107"/>
    </row>
    <row r="28" spans="1:40" s="57" customFormat="1" x14ac:dyDescent="0.35">
      <c r="A28" s="108"/>
      <c r="B28" s="24">
        <v>8.81</v>
      </c>
      <c r="C28" s="15">
        <v>8.11</v>
      </c>
      <c r="D28" s="15">
        <v>1.85</v>
      </c>
      <c r="E28" s="15">
        <v>0.72499999999999998</v>
      </c>
      <c r="F28" s="15">
        <v>0.25900000000000001</v>
      </c>
      <c r="G28" s="15">
        <v>29.7</v>
      </c>
      <c r="H28" s="15">
        <v>337</v>
      </c>
      <c r="I28" s="15">
        <v>4.2300000000000004</v>
      </c>
      <c r="J28" s="15">
        <v>0.1</v>
      </c>
      <c r="K28" s="23">
        <v>0.1</v>
      </c>
      <c r="L28" s="15">
        <v>21.1</v>
      </c>
      <c r="M28" s="15">
        <v>65.599999999999994</v>
      </c>
      <c r="N28" s="15"/>
      <c r="O28" s="15"/>
      <c r="P28" s="15">
        <v>1.04</v>
      </c>
      <c r="Q28" s="15">
        <v>1.69</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v>
      </c>
      <c r="B31" s="15">
        <v>12</v>
      </c>
      <c r="C31" s="77">
        <f>IF(C$27="%w/w SAR",((C$28*10)*$B31),IF(C$27="%w/w DM",(((C$28*10)*($B$28/100))*$B31),IF(C$27="kg/t SAR",(C$28*$B31),IF(C$27="kg/t DM",((C$28*($B$28/100))*$B31),IF(C$27="mg/kg SAR",((C$28*0.001)*$B31),IF(C$27="mg/kg DM",(((C$28*0.001)*($B$28/100))*$B31),0))))))</f>
        <v>85.738920000000007</v>
      </c>
      <c r="D31" s="77">
        <f>(IF(D$27="%w/w SAR",((D$28*10)*$B31),IF(D$27="%w/w DM",(((D$28*10)*($B$28/100))*$B31),IF(D$27="kg/t SAR",(D$28*$B31),IF(D$27="kg/t DM",((D$28*($B$28/100))*$B31),IF(D$27="mg/kg SAR",((D$28*0.001)*$B31),IF(D$27="mg/kg DM",(((D$28*0.001)*($B$28/100))*$B31),"0")))))))*2.291</f>
        <v>44.807836200000004</v>
      </c>
      <c r="E31" s="77">
        <f>(IF(E$27="%w/w SAR",((E$28*10)*$B31),IF(E$27="%w/w DM",(((E$28*10)*($B$28/100))*$B31),IF(E$27="kg/t SAR",(E$28*$B31),IF(E$27="kg/t DM",((E$28*($B$28/100))*$B31),IF(E$27="mg/kg SAR",((E$28*0.001)*$B31),IF(E$27="mg/kg DM",(((E$28*0.001)*($B$28/100))*$B31),"0")))))))*1.205</f>
        <v>9.2359635000000022</v>
      </c>
      <c r="F31" s="77">
        <f>(IF(F$27="%w/w SAR",((F$28*10)*$B31),IF(F$27="%w/w DM",(((F$28*10)*($B$28/100))*$B31),IF(F$27="kg/t SAR",(F$28*$B31),IF(F$27="kg/t DM",((F$28*($B$28/100))*$B31),IF(F$27="mg/kg SAR",((F$28*0.001)*$B31),IF(F$27="mg/kg DM",(((F$28*0.001)*($B$28/100))*$B31),"0")))))))*1.658</f>
        <v>4.539849384</v>
      </c>
      <c r="G31" s="77">
        <f t="shared" ref="G31:P46" si="5">IF(G$27="%w/w SAR",((G$28*10)*$B31),IF(G$27="%w/w DM",(((G$28*10)*($B$28/100))*$B31),IF(G$27="kg/t SAR",(G$28*$B31),IF(G$27="kg/t DM",((G$28*($B$28/100))*$B31),IF(G$27="mg/kg SAR",((G$28*0.001)*$B31),IF(G$27="mg/kg DM",(((G$28*0.001)*($B$28/100))*$B31),0))))))</f>
        <v>3.1398840000000004E-2</v>
      </c>
      <c r="H31" s="77">
        <f t="shared" si="5"/>
        <v>0.35627640000000005</v>
      </c>
      <c r="I31" s="77">
        <f t="shared" si="5"/>
        <v>4.4719560000000009E-3</v>
      </c>
      <c r="J31" s="77">
        <f t="shared" si="5"/>
        <v>1.0572000000000002E-4</v>
      </c>
      <c r="K31" s="77">
        <f t="shared" si="5"/>
        <v>1.0572000000000002E-4</v>
      </c>
      <c r="L31" s="77">
        <f t="shared" si="5"/>
        <v>2.2306920000000004E-2</v>
      </c>
      <c r="M31" s="77">
        <f t="shared" si="5"/>
        <v>6.9352319999999995E-2</v>
      </c>
      <c r="N31" s="77">
        <f t="shared" si="5"/>
        <v>0</v>
      </c>
      <c r="O31" s="77">
        <f t="shared" si="5"/>
        <v>0</v>
      </c>
      <c r="P31" s="77">
        <f t="shared" si="5"/>
        <v>10.994880000000002</v>
      </c>
      <c r="Q31" s="77">
        <f>(IF(Q$27="%w/w SAR",((Q$28*10)*$B31),IF(Q$27="%w/w DM",(((Q$28*10)*($B$28/100))*$B31),IF(Q$27="kg/t SAR",(Q$28*$B31),IF(Q$27="kg/t DM",((Q$28*($B$28/100))*$B31),IF(Q$27="mg/kg SAR",((Q$28*0.001)*$B31),IF(Q$27="mg/kg DM",(((Q$28*0.001)*($B$28/100))*$B31),0)))))))*2.5</f>
        <v>44.666700000000006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6 7</v>
      </c>
      <c r="B32" s="15">
        <v>12</v>
      </c>
      <c r="C32" s="77">
        <f t="shared" ref="C32:C50" si="6">IF(C$27="%w/w SAR",((C$28*10)*$B32),IF(C$27="%w/w DM",(((C$28*10)*($B$28/100))*$B32),IF(C$27="kg/t SAR",(C$28*$B32),IF(C$27="kg/t DM",((C$28*($B$28/100))*$B32),IF(C$27="mg/kg SAR",((C$28*0.001)*$B32),IF(C$27="mg/kg DM",(((C$28*0.001)*($B$28/100))*$B32),0))))))</f>
        <v>85.738920000000007</v>
      </c>
      <c r="D32" s="77">
        <f t="shared" ref="D32:D50" si="7">(IF(D$27="%w/w SAR",((D$28*10)*$B32),IF(D$27="%w/w DM",(((D$28*10)*($B$28/100))*$B32),IF(D$27="kg/t SAR",(D$28*$B32),IF(D$27="kg/t DM",((D$28*($B$28/100))*$B32),IF(D$27="mg/kg SAR",((D$28*0.001)*$B32),IF(D$27="mg/kg DM",(((D$28*0.001)*($B$28/100))*$B32),"0")))))))*2.291</f>
        <v>44.807836200000004</v>
      </c>
      <c r="E32" s="77">
        <f t="shared" ref="E32:E50" si="8">(IF(E$27="%w/w SAR",((E$28*10)*$B32),IF(E$27="%w/w DM",(((E$28*10)*($B$28/100))*$B32),IF(E$27="kg/t SAR",(E$28*$B32),IF(E$27="kg/t DM",((E$28*($B$28/100))*$B32),IF(E$27="mg/kg SAR",((E$28*0.001)*$B32),IF(E$27="mg/kg DM",(((E$28*0.001)*($B$28/100))*$B32),"0")))))))*1.205</f>
        <v>9.2359635000000022</v>
      </c>
      <c r="F32" s="77">
        <f t="shared" ref="F32:F50" si="9">(IF(F$27="%w/w SAR",((F$28*10)*$B32),IF(F$27="%w/w DM",(((F$28*10)*($B$28/100))*$B32),IF(F$27="kg/t SAR",(F$28*$B32),IF(F$27="kg/t DM",((F$28*($B$28/100))*$B32),IF(F$27="mg/kg SAR",((F$28*0.001)*$B32),IF(F$27="mg/kg DM",(((F$28*0.001)*($B$28/100))*$B32),"0")))))))*1.658</f>
        <v>4.539849384</v>
      </c>
      <c r="G32" s="77">
        <f t="shared" si="5"/>
        <v>3.1398840000000004E-2</v>
      </c>
      <c r="H32" s="77">
        <f t="shared" si="5"/>
        <v>0.35627640000000005</v>
      </c>
      <c r="I32" s="77">
        <f t="shared" si="5"/>
        <v>4.4719560000000009E-3</v>
      </c>
      <c r="J32" s="77">
        <f t="shared" si="5"/>
        <v>1.0572000000000002E-4</v>
      </c>
      <c r="K32" s="77">
        <f t="shared" si="5"/>
        <v>1.0572000000000002E-4</v>
      </c>
      <c r="L32" s="77">
        <f t="shared" si="5"/>
        <v>2.2306920000000004E-2</v>
      </c>
      <c r="M32" s="77">
        <f t="shared" si="5"/>
        <v>6.9352319999999995E-2</v>
      </c>
      <c r="N32" s="77">
        <f t="shared" si="5"/>
        <v>0</v>
      </c>
      <c r="O32" s="77">
        <f t="shared" si="5"/>
        <v>0</v>
      </c>
      <c r="P32" s="77">
        <f t="shared" si="5"/>
        <v>10.994880000000002</v>
      </c>
      <c r="Q32" s="77">
        <f t="shared" ref="Q32:Q50" si="10">(IF(Q$27="%w/w SAR",((Q$28*10)*$B32),IF(Q$27="%w/w DM",(((Q$28*10)*($B$28/100))*$B32),IF(Q$27="kg/t SAR",(Q$28*$B32),IF(Q$27="kg/t DM",((Q$28*($B$28/100))*$B32),IF(Q$27="mg/kg SAR",((Q$28*0.001)*$B32),IF(Q$27="mg/kg DM",(((Q$28*0.001)*($B$28/100))*$B32),0)))))))*2.5</f>
        <v>44.666700000000006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8 9</v>
      </c>
      <c r="B33" s="15">
        <v>12</v>
      </c>
      <c r="C33" s="77">
        <f t="shared" si="6"/>
        <v>85.738920000000007</v>
      </c>
      <c r="D33" s="77">
        <f t="shared" si="7"/>
        <v>44.807836200000004</v>
      </c>
      <c r="E33" s="77">
        <f t="shared" si="8"/>
        <v>9.2359635000000022</v>
      </c>
      <c r="F33" s="77">
        <f t="shared" si="9"/>
        <v>4.539849384</v>
      </c>
      <c r="G33" s="77">
        <f t="shared" si="5"/>
        <v>3.1398840000000004E-2</v>
      </c>
      <c r="H33" s="77">
        <f t="shared" si="5"/>
        <v>0.35627640000000005</v>
      </c>
      <c r="I33" s="77">
        <f t="shared" si="5"/>
        <v>4.4719560000000009E-3</v>
      </c>
      <c r="J33" s="77">
        <f t="shared" si="5"/>
        <v>1.0572000000000002E-4</v>
      </c>
      <c r="K33" s="77">
        <f t="shared" si="5"/>
        <v>1.0572000000000002E-4</v>
      </c>
      <c r="L33" s="77">
        <f t="shared" si="5"/>
        <v>2.2306920000000004E-2</v>
      </c>
      <c r="M33" s="77">
        <f t="shared" si="5"/>
        <v>6.9352319999999995E-2</v>
      </c>
      <c r="N33" s="77">
        <f t="shared" si="5"/>
        <v>0</v>
      </c>
      <c r="O33" s="77">
        <f t="shared" si="5"/>
        <v>0</v>
      </c>
      <c r="P33" s="77">
        <f t="shared" si="5"/>
        <v>10.994880000000002</v>
      </c>
      <c r="Q33" s="77">
        <f t="shared" si="10"/>
        <v>44.666700000000006</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10 11</v>
      </c>
      <c r="B34" s="15">
        <v>12</v>
      </c>
      <c r="C34" s="77">
        <f t="shared" si="6"/>
        <v>85.738920000000007</v>
      </c>
      <c r="D34" s="77">
        <f t="shared" si="7"/>
        <v>44.807836200000004</v>
      </c>
      <c r="E34" s="77">
        <f t="shared" si="8"/>
        <v>9.2359635000000022</v>
      </c>
      <c r="F34" s="77">
        <f t="shared" si="9"/>
        <v>4.539849384</v>
      </c>
      <c r="G34" s="77">
        <f t="shared" si="5"/>
        <v>3.1398840000000004E-2</v>
      </c>
      <c r="H34" s="77">
        <f t="shared" si="5"/>
        <v>0.35627640000000005</v>
      </c>
      <c r="I34" s="77">
        <f t="shared" si="5"/>
        <v>4.4719560000000009E-3</v>
      </c>
      <c r="J34" s="77">
        <f t="shared" si="5"/>
        <v>1.0572000000000002E-4</v>
      </c>
      <c r="K34" s="77">
        <f t="shared" si="5"/>
        <v>1.0572000000000002E-4</v>
      </c>
      <c r="L34" s="77">
        <f t="shared" si="5"/>
        <v>2.2306920000000004E-2</v>
      </c>
      <c r="M34" s="77">
        <f t="shared" si="5"/>
        <v>6.9352319999999995E-2</v>
      </c>
      <c r="N34" s="77">
        <f t="shared" si="5"/>
        <v>0</v>
      </c>
      <c r="O34" s="77">
        <f t="shared" si="5"/>
        <v>0</v>
      </c>
      <c r="P34" s="77">
        <f t="shared" si="5"/>
        <v>10.994880000000002</v>
      </c>
      <c r="Q34" s="77">
        <f t="shared" si="10"/>
        <v>44.666700000000006</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14</v>
      </c>
      <c r="B35" s="15">
        <v>12</v>
      </c>
      <c r="C35" s="77">
        <f t="shared" si="6"/>
        <v>85.738920000000007</v>
      </c>
      <c r="D35" s="77">
        <f t="shared" si="7"/>
        <v>44.807836200000004</v>
      </c>
      <c r="E35" s="77">
        <f t="shared" si="8"/>
        <v>9.2359635000000022</v>
      </c>
      <c r="F35" s="77">
        <f t="shared" si="9"/>
        <v>4.539849384</v>
      </c>
      <c r="G35" s="77">
        <f t="shared" si="5"/>
        <v>3.1398840000000004E-2</v>
      </c>
      <c r="H35" s="77">
        <f t="shared" si="5"/>
        <v>0.35627640000000005</v>
      </c>
      <c r="I35" s="77">
        <f t="shared" si="5"/>
        <v>4.4719560000000009E-3</v>
      </c>
      <c r="J35" s="77">
        <f t="shared" si="5"/>
        <v>1.0572000000000002E-4</v>
      </c>
      <c r="K35" s="77">
        <f t="shared" si="5"/>
        <v>1.0572000000000002E-4</v>
      </c>
      <c r="L35" s="77">
        <f t="shared" si="5"/>
        <v>2.2306920000000004E-2</v>
      </c>
      <c r="M35" s="77">
        <f t="shared" si="5"/>
        <v>6.9352319999999995E-2</v>
      </c>
      <c r="N35" s="77">
        <f t="shared" si="5"/>
        <v>0</v>
      </c>
      <c r="O35" s="77">
        <f t="shared" si="5"/>
        <v>0</v>
      </c>
      <c r="P35" s="77">
        <f t="shared" si="5"/>
        <v>10.994880000000002</v>
      </c>
      <c r="Q35" s="77">
        <f t="shared" si="10"/>
        <v>44.666700000000006</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20</v>
      </c>
      <c r="B36" s="15">
        <v>12</v>
      </c>
      <c r="C36" s="77">
        <f t="shared" si="6"/>
        <v>85.738920000000007</v>
      </c>
      <c r="D36" s="77">
        <f t="shared" si="7"/>
        <v>44.807836200000004</v>
      </c>
      <c r="E36" s="77">
        <f t="shared" si="8"/>
        <v>9.2359635000000022</v>
      </c>
      <c r="F36" s="77">
        <f t="shared" si="9"/>
        <v>4.539849384</v>
      </c>
      <c r="G36" s="77">
        <f t="shared" si="5"/>
        <v>3.1398840000000004E-2</v>
      </c>
      <c r="H36" s="77">
        <f t="shared" si="5"/>
        <v>0.35627640000000005</v>
      </c>
      <c r="I36" s="77">
        <f t="shared" si="5"/>
        <v>4.4719560000000009E-3</v>
      </c>
      <c r="J36" s="77">
        <f t="shared" si="5"/>
        <v>1.0572000000000002E-4</v>
      </c>
      <c r="K36" s="77">
        <f t="shared" si="5"/>
        <v>1.0572000000000002E-4</v>
      </c>
      <c r="L36" s="77">
        <f t="shared" si="5"/>
        <v>2.2306920000000004E-2</v>
      </c>
      <c r="M36" s="77">
        <f t="shared" si="5"/>
        <v>6.9352319999999995E-2</v>
      </c>
      <c r="N36" s="77">
        <f t="shared" si="5"/>
        <v>0</v>
      </c>
      <c r="O36" s="77">
        <f t="shared" si="5"/>
        <v>0</v>
      </c>
      <c r="P36" s="77">
        <f t="shared" si="5"/>
        <v>10.994880000000002</v>
      </c>
      <c r="Q36" s="77">
        <f t="shared" si="10"/>
        <v>44.666700000000006</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21</v>
      </c>
      <c r="B37" s="15">
        <v>12</v>
      </c>
      <c r="C37" s="77">
        <f t="shared" si="6"/>
        <v>85.738920000000007</v>
      </c>
      <c r="D37" s="77">
        <f t="shared" si="7"/>
        <v>44.807836200000004</v>
      </c>
      <c r="E37" s="77">
        <f t="shared" si="8"/>
        <v>9.2359635000000022</v>
      </c>
      <c r="F37" s="77">
        <f t="shared" si="9"/>
        <v>4.539849384</v>
      </c>
      <c r="G37" s="77">
        <f t="shared" si="5"/>
        <v>3.1398840000000004E-2</v>
      </c>
      <c r="H37" s="77">
        <f t="shared" si="5"/>
        <v>0.35627640000000005</v>
      </c>
      <c r="I37" s="77">
        <f t="shared" si="5"/>
        <v>4.4719560000000009E-3</v>
      </c>
      <c r="J37" s="77">
        <f t="shared" si="5"/>
        <v>1.0572000000000002E-4</v>
      </c>
      <c r="K37" s="77">
        <f t="shared" si="5"/>
        <v>1.0572000000000002E-4</v>
      </c>
      <c r="L37" s="77">
        <f t="shared" si="5"/>
        <v>2.2306920000000004E-2</v>
      </c>
      <c r="M37" s="77">
        <f t="shared" si="5"/>
        <v>6.9352319999999995E-2</v>
      </c>
      <c r="N37" s="77">
        <f t="shared" si="5"/>
        <v>0</v>
      </c>
      <c r="O37" s="77">
        <f t="shared" si="5"/>
        <v>0</v>
      </c>
      <c r="P37" s="77">
        <f t="shared" si="5"/>
        <v>10.994880000000002</v>
      </c>
      <c r="Q37" s="77">
        <f t="shared" si="10"/>
        <v>44.666700000000006</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v>
      </c>
      <c r="C57" s="8" t="str">
        <f t="shared" ref="C57:U57" si="13">D8</f>
        <v>6 7</v>
      </c>
      <c r="D57" s="8" t="str">
        <f t="shared" si="13"/>
        <v>8 9</v>
      </c>
      <c r="E57" s="8" t="str">
        <f t="shared" si="13"/>
        <v>10 11</v>
      </c>
      <c r="F57" s="8">
        <f t="shared" si="13"/>
        <v>14</v>
      </c>
      <c r="G57" s="8">
        <f t="shared" si="13"/>
        <v>20</v>
      </c>
      <c r="H57" s="8">
        <f t="shared" si="13"/>
        <v>21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6.7</v>
      </c>
      <c r="D59" s="76">
        <f>VLOOKUP(E$14,Table245810[],5,FALSE)</f>
        <v>6.7</v>
      </c>
      <c r="E59" s="76">
        <f>VLOOKUP(F$14,Table245810[],5,FALSE)</f>
        <v>6.7</v>
      </c>
      <c r="F59" s="76">
        <f>VLOOKUP(G$14,Table245810[],5,FALSE)</f>
        <v>6.7</v>
      </c>
      <c r="G59" s="76">
        <f>VLOOKUP(H$14,Table245810[],5,FALSE)</f>
        <v>6.2</v>
      </c>
      <c r="H59" s="76">
        <f>VLOOKUP(I$14,Table245810[],5,FALSE)</f>
        <v>6.2</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6.1</v>
      </c>
      <c r="C60" s="76">
        <f t="shared" ref="C60:U60" si="14">D10</f>
        <v>6.5</v>
      </c>
      <c r="D60" s="76">
        <f t="shared" si="14"/>
        <v>6.6</v>
      </c>
      <c r="E60" s="76">
        <f t="shared" si="14"/>
        <v>6</v>
      </c>
      <c r="F60" s="76">
        <f t="shared" si="14"/>
        <v>6.9</v>
      </c>
      <c r="G60" s="76">
        <f t="shared" si="14"/>
        <v>5.9</v>
      </c>
      <c r="H60" s="76">
        <f t="shared" si="14"/>
        <v>6.3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12</v>
      </c>
      <c r="C62" s="77">
        <f>B32</f>
        <v>12</v>
      </c>
      <c r="D62" s="77">
        <f>B33</f>
        <v>12</v>
      </c>
      <c r="E62" s="77">
        <f>B34</f>
        <v>12</v>
      </c>
      <c r="F62" s="77">
        <f>B35</f>
        <v>12</v>
      </c>
      <c r="G62" s="77">
        <f>B36</f>
        <v>12</v>
      </c>
      <c r="H62" s="77">
        <f>B37</f>
        <v>12</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1.6000000000000014</v>
      </c>
      <c r="D64" s="77">
        <f t="shared" si="17"/>
        <v>0.80000000000000426</v>
      </c>
      <c r="E64" s="77">
        <f t="shared" si="17"/>
        <v>5.6000000000000014</v>
      </c>
      <c r="F64" s="77">
        <f t="shared" si="17"/>
        <v>-1.6000000000000014</v>
      </c>
      <c r="G64" s="77">
        <f t="shared" si="17"/>
        <v>1.7999999999999989</v>
      </c>
      <c r="H64" s="77">
        <f t="shared" si="17"/>
        <v>-0.59999999999999787</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-1.6000000000000014</v>
      </c>
      <c r="D65" s="77">
        <f t="shared" si="18"/>
        <v>-0.80000000000000426</v>
      </c>
      <c r="E65" s="77">
        <f t="shared" si="18"/>
        <v>-5.6000000000000014</v>
      </c>
      <c r="F65" s="77">
        <f t="shared" si="18"/>
        <v>1.6000000000000014</v>
      </c>
      <c r="G65" s="77">
        <f t="shared" si="18"/>
        <v>-1.7999999999999989</v>
      </c>
      <c r="H65" s="77">
        <f t="shared" si="18"/>
        <v>0.59999999999999787</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32" priority="39" operator="equal">
      <formula>"DECREASE"</formula>
    </cfRule>
    <cfRule type="cellIs" dxfId="231" priority="40" operator="equal">
      <formula>"INCREASE"</formula>
    </cfRule>
  </conditionalFormatting>
  <conditionalFormatting sqref="B62:U66 B31:B50">
    <cfRule type="cellIs" dxfId="230" priority="38" operator="greaterThan">
      <formula>$B$51</formula>
    </cfRule>
  </conditionalFormatting>
  <conditionalFormatting sqref="C31:C50">
    <cfRule type="cellIs" dxfId="229" priority="37" operator="greaterThan">
      <formula>$C$51</formula>
    </cfRule>
  </conditionalFormatting>
  <conditionalFormatting sqref="C18:V18">
    <cfRule type="cellIs" dxfId="228" priority="36" operator="equal">
      <formula>0</formula>
    </cfRule>
  </conditionalFormatting>
  <conditionalFormatting sqref="C17:V17">
    <cfRule type="cellIs" dxfId="227" priority="35" operator="equal">
      <formula>0</formula>
    </cfRule>
  </conditionalFormatting>
  <conditionalFormatting sqref="C19:V19">
    <cfRule type="cellIs" dxfId="226" priority="34" operator="equal">
      <formula>0</formula>
    </cfRule>
  </conditionalFormatting>
  <conditionalFormatting sqref="G31:G50">
    <cfRule type="cellIs" dxfId="225" priority="33" operator="greaterThan">
      <formula>$G$51</formula>
    </cfRule>
  </conditionalFormatting>
  <conditionalFormatting sqref="H31:H50">
    <cfRule type="cellIs" dxfId="224" priority="32" operator="greaterThan">
      <formula>$H$51</formula>
    </cfRule>
  </conditionalFormatting>
  <conditionalFormatting sqref="I31:I50">
    <cfRule type="cellIs" dxfId="223" priority="31" operator="greaterThan">
      <formula>$I$51</formula>
    </cfRule>
  </conditionalFormatting>
  <conditionalFormatting sqref="K31:K50">
    <cfRule type="cellIs" dxfId="222" priority="30" operator="greaterThan">
      <formula>$K$51</formula>
    </cfRule>
  </conditionalFormatting>
  <conditionalFormatting sqref="L31:L50">
    <cfRule type="cellIs" dxfId="221" priority="29" operator="greaterThan">
      <formula>$L$51</formula>
    </cfRule>
  </conditionalFormatting>
  <conditionalFormatting sqref="M31:M50">
    <cfRule type="cellIs" dxfId="220" priority="28" operator="greaterThan">
      <formula>$M$51</formula>
    </cfRule>
  </conditionalFormatting>
  <conditionalFormatting sqref="P31:P50">
    <cfRule type="cellIs" dxfId="219" priority="27" operator="greaterThan">
      <formula>$P$51</formula>
    </cfRule>
  </conditionalFormatting>
  <conditionalFormatting sqref="R31:R50">
    <cfRule type="cellIs" dxfId="218" priority="26" operator="greaterThan">
      <formula>$R$51</formula>
    </cfRule>
  </conditionalFormatting>
  <conditionalFormatting sqref="S31:S50">
    <cfRule type="cellIs" dxfId="217" priority="25" operator="greaterThan">
      <formula>$S$51</formula>
    </cfRule>
  </conditionalFormatting>
  <conditionalFormatting sqref="T31:T50">
    <cfRule type="cellIs" dxfId="216" priority="24" operator="greaterThan">
      <formula>$T$51</formula>
    </cfRule>
  </conditionalFormatting>
  <conditionalFormatting sqref="U31:U50">
    <cfRule type="cellIs" dxfId="215" priority="23" operator="greaterThan">
      <formula>$U$51</formula>
    </cfRule>
  </conditionalFormatting>
  <conditionalFormatting sqref="C22:V22">
    <cfRule type="cellIs" dxfId="214" priority="22" operator="equal">
      <formula>0</formula>
    </cfRule>
  </conditionalFormatting>
  <conditionalFormatting sqref="C24:V24">
    <cfRule type="cellIs" dxfId="213" priority="20" operator="equal">
      <formula>"DECREASE"</formula>
    </cfRule>
    <cfRule type="cellIs" dxfId="212" priority="21" operator="equal">
      <formula>"INCREASE"</formula>
    </cfRule>
  </conditionalFormatting>
  <conditionalFormatting sqref="C23:V23">
    <cfRule type="cellIs" dxfId="211" priority="19" operator="equal">
      <formula>0</formula>
    </cfRule>
  </conditionalFormatting>
  <conditionalFormatting sqref="C21:V21">
    <cfRule type="cellIs" dxfId="210" priority="15" operator="equal">
      <formula>0</formula>
    </cfRule>
  </conditionalFormatting>
  <conditionalFormatting sqref="B66:U66">
    <cfRule type="cellIs" dxfId="209" priority="13" operator="equal">
      <formula>"UNDER"</formula>
    </cfRule>
    <cfRule type="cellIs" dxfId="208" priority="14" operator="equal">
      <formula>"OVER"</formula>
    </cfRule>
  </conditionalFormatting>
  <conditionalFormatting sqref="J31:J50">
    <cfRule type="cellIs" dxfId="207" priority="10" operator="greaterThan">
      <formula>$J$51</formula>
    </cfRule>
  </conditionalFormatting>
  <conditionalFormatting sqref="L3">
    <cfRule type="cellIs" dxfId="206" priority="6" operator="lessThan">
      <formula>30</formula>
    </cfRule>
    <cfRule type="cellIs" dxfId="205" priority="7" operator="greaterThanOrEqual">
      <formula>30</formula>
    </cfRule>
  </conditionalFormatting>
  <conditionalFormatting sqref="I3">
    <cfRule type="cellIs" dxfId="202" priority="3" operator="greaterThan">
      <formula>40000.01</formula>
    </cfRule>
  </conditionalFormatting>
  <conditionalFormatting sqref="I1">
    <cfRule type="cellIs" dxfId="11" priority="2" operator="between">
      <formula>0.1</formula>
      <formula>5</formula>
    </cfRule>
  </conditionalFormatting>
  <conditionalFormatting sqref="I2">
    <cfRule type="cellIs" dxfId="10" priority="1" operator="greaterThan">
      <formula>5000.1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32" sqref="B32: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Waste 1'!C1:D1</f>
        <v>PAN-020020</v>
      </c>
      <c r="D1" s="143"/>
      <c r="E1" s="93" t="s">
        <v>45</v>
      </c>
      <c r="F1" s="39">
        <f>'Field data and Waste 1'!F1</f>
        <v>50</v>
      </c>
      <c r="G1" s="122" t="s">
        <v>43</v>
      </c>
      <c r="H1" s="123"/>
      <c r="I1" s="120">
        <v>4.0199999999999996</v>
      </c>
      <c r="J1" s="121" t="s">
        <v>153</v>
      </c>
      <c r="K1" s="121"/>
      <c r="L1" s="120">
        <v>10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Waste 1'!C2:D2</f>
        <v>KP3594VE</v>
      </c>
      <c r="D2" s="145"/>
      <c r="E2" s="93" t="s">
        <v>109</v>
      </c>
      <c r="F2" s="120" t="s">
        <v>175</v>
      </c>
      <c r="G2" s="140" t="s">
        <v>110</v>
      </c>
      <c r="H2" s="141"/>
      <c r="I2" s="120">
        <v>299</v>
      </c>
      <c r="J2" s="121" t="s">
        <v>158</v>
      </c>
      <c r="K2" s="121"/>
      <c r="L2" s="120">
        <v>0.32</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Waste 1'!C3:D3</f>
        <v>TES</v>
      </c>
      <c r="D3" s="145"/>
      <c r="E3" s="93" t="s">
        <v>108</v>
      </c>
      <c r="F3" s="31" t="s">
        <v>78</v>
      </c>
      <c r="G3" s="121" t="s">
        <v>159</v>
      </c>
      <c r="H3" s="121"/>
      <c r="I3" s="120">
        <v>200</v>
      </c>
      <c r="J3" s="122" t="s">
        <v>154</v>
      </c>
      <c r="K3" s="123"/>
      <c r="L3" s="97">
        <f>(L1/(L2*10000))*100</f>
        <v>0.3125</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Waste 1'!C4:D4</f>
        <v>Brookhouse Farm, Hanmer, SY13 3EQ</v>
      </c>
      <c r="D4" s="143"/>
      <c r="E4" s="94" t="s">
        <v>1</v>
      </c>
      <c r="F4" s="120" t="s">
        <v>180</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f>'Field data and Waste 1'!C5:D5</f>
        <v>0</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Waste 1'!C8</f>
        <v>5</v>
      </c>
      <c r="D8" s="60" t="str">
        <f>'Field data and Waste 1'!D8</f>
        <v>6 7</v>
      </c>
      <c r="E8" s="60" t="str">
        <f>'Field data and Waste 1'!E8</f>
        <v>8 9</v>
      </c>
      <c r="F8" s="60" t="str">
        <f>'Field data and Waste 1'!F8</f>
        <v>10 11</v>
      </c>
      <c r="G8" s="60">
        <f>'Field data and Waste 1'!G8</f>
        <v>14</v>
      </c>
      <c r="H8" s="60">
        <f>'Field data and Waste 1'!H8</f>
        <v>20</v>
      </c>
      <c r="I8" s="60">
        <f>'Field data and Waste 1'!I8</f>
        <v>21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f>'Field data and Waste 1'!C9</f>
        <v>1</v>
      </c>
      <c r="D9" s="60">
        <f>'Field data and Waste 1'!D9</f>
        <v>1</v>
      </c>
      <c r="E9" s="60">
        <f>'Field data and Waste 1'!E9</f>
        <v>1</v>
      </c>
      <c r="F9" s="60">
        <f>'Field data and Waste 1'!F9</f>
        <v>1</v>
      </c>
      <c r="G9" s="60">
        <f>'Field data and Waste 1'!G9</f>
        <v>1</v>
      </c>
      <c r="H9" s="60" t="str">
        <f>'Field data and Waste 1'!H9</f>
        <v xml:space="preserve">Moderate </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Waste 1'!C10</f>
        <v>6.1</v>
      </c>
      <c r="D10" s="60">
        <f>'Field data and Waste 1'!D10</f>
        <v>6.5</v>
      </c>
      <c r="E10" s="60">
        <f>'Field data and Waste 1'!E10</f>
        <v>6.6</v>
      </c>
      <c r="F10" s="60">
        <f>'Field data and Waste 1'!F10</f>
        <v>6</v>
      </c>
      <c r="G10" s="60">
        <f>'Field data and Waste 1'!G10</f>
        <v>6.9</v>
      </c>
      <c r="H10" s="60">
        <f>'Field data and Waste 1'!H10</f>
        <v>5.9</v>
      </c>
      <c r="I10" s="60">
        <f>'Field data and Waste 1'!I10</f>
        <v>6.3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Waste 1'!C11</f>
        <v>4</v>
      </c>
      <c r="D11" s="60">
        <f>'Field data and Waste 1'!D11</f>
        <v>4</v>
      </c>
      <c r="E11" s="60">
        <f>'Field data and Waste 1'!E11</f>
        <v>3</v>
      </c>
      <c r="F11" s="60">
        <f>'Field data and Waste 1'!F11</f>
        <v>4</v>
      </c>
      <c r="G11" s="60">
        <f>'Field data and Waste 1'!G11</f>
        <v>3</v>
      </c>
      <c r="H11" s="60">
        <f>'Field data and Waste 1'!H11</f>
        <v>4</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Waste 1'!C12</f>
        <v>1</v>
      </c>
      <c r="D12" s="60">
        <f>'Field data and Waste 1'!D12</f>
        <v>0</v>
      </c>
      <c r="E12" s="60">
        <f>'Field data and Waste 1'!E12</f>
        <v>0</v>
      </c>
      <c r="F12" s="60">
        <f>'Field data and Waste 1'!F12</f>
        <v>3</v>
      </c>
      <c r="G12" s="60">
        <f>'Field data and Waste 1'!G12</f>
        <v>1</v>
      </c>
      <c r="H12" s="60">
        <f>'Field data and Waste 1'!H12</f>
        <v>2</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Waste 1'!C13</f>
        <v>2</v>
      </c>
      <c r="D13" s="60">
        <f>'Field data and Waste 1'!D13</f>
        <v>1</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Waste 1'!C14</f>
        <v>Maize- Silage (30% DM)</v>
      </c>
      <c r="D14" s="102" t="str">
        <f>'Field data and Waste 1'!D14</f>
        <v>Spring wheat/barley</v>
      </c>
      <c r="E14" s="102" t="str">
        <f>'Field data and Waste 1'!E14</f>
        <v>Maize- Silage (30% DM)</v>
      </c>
      <c r="F14" s="102" t="str">
        <f>'Field data and Waste 1'!F14</f>
        <v>Spring wheat/barley</v>
      </c>
      <c r="G14" s="102" t="str">
        <f>'Field data and Waste 1'!G14</f>
        <v xml:space="preserve">Winter wheat- grain only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2" t="s">
        <v>9</v>
      </c>
      <c r="B15" s="132"/>
      <c r="C15" s="60">
        <f>'Field data and Waste 1'!C15</f>
        <v>40</v>
      </c>
      <c r="D15" s="60">
        <f>'Field data and Waste 1'!D15</f>
        <v>5.5</v>
      </c>
      <c r="E15" s="60">
        <f>'Field data and Waste 1'!E15</f>
        <v>40</v>
      </c>
      <c r="F15" s="60">
        <f>'Field data and Waste 1'!F15</f>
        <v>5.5</v>
      </c>
      <c r="G15" s="60">
        <f>'Field data and Waste 1'!G15</f>
        <v>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56</v>
      </c>
      <c r="D17" s="28">
        <f t="shared" ref="D17:V17" si="0">(VLOOKUP(D$14,$AI2:$AK26,2,FALSE))*D$15</f>
        <v>46.75</v>
      </c>
      <c r="E17" s="28">
        <f t="shared" si="0"/>
        <v>56</v>
      </c>
      <c r="F17" s="28">
        <f t="shared" si="0"/>
        <v>46.75</v>
      </c>
      <c r="G17" s="28">
        <f t="shared" si="0"/>
        <v>52</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46.053682000000002</v>
      </c>
      <c r="D18" s="16">
        <f>$D32</f>
        <v>46.053682000000002</v>
      </c>
      <c r="E18" s="16">
        <f>$D33</f>
        <v>46.053682000000002</v>
      </c>
      <c r="F18" s="16">
        <f>$D34</f>
        <v>46.053682000000002</v>
      </c>
      <c r="G18" s="16">
        <f>$D35</f>
        <v>46.053682000000002</v>
      </c>
      <c r="H18" s="16">
        <f>$D36</f>
        <v>46.053682000000002</v>
      </c>
      <c r="I18" s="16">
        <f>$D37</f>
        <v>46.053682000000002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-9.946317999999998</v>
      </c>
      <c r="D19" s="16">
        <f t="shared" ref="D19:V19" si="1">D18-D17</f>
        <v>-0.69631799999999799</v>
      </c>
      <c r="E19" s="16">
        <f t="shared" si="1"/>
        <v>-9.946317999999998</v>
      </c>
      <c r="F19" s="16">
        <f t="shared" si="1"/>
        <v>-0.69631799999999799</v>
      </c>
      <c r="G19" s="16">
        <f t="shared" si="1"/>
        <v>-5.946317999999998</v>
      </c>
      <c r="H19" s="16">
        <f t="shared" si="1"/>
        <v>-18.546317999999992</v>
      </c>
      <c r="I19" s="16">
        <f t="shared" si="1"/>
        <v>-18.546317999999992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176</v>
      </c>
      <c r="D21" s="28">
        <f t="shared" ref="D21:V21" si="2">(VLOOKUP(D$14,$AI2:$AK26,3,FALSE))*D$15</f>
        <v>66</v>
      </c>
      <c r="E21" s="28">
        <f t="shared" si="2"/>
        <v>176</v>
      </c>
      <c r="F21" s="28">
        <f t="shared" si="2"/>
        <v>66</v>
      </c>
      <c r="G21" s="28">
        <f t="shared" si="2"/>
        <v>44</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11.539080000000002</v>
      </c>
      <c r="D22" s="16">
        <f>$E32</f>
        <v>11.539080000000002</v>
      </c>
      <c r="E22" s="16">
        <f>$E33</f>
        <v>11.539080000000002</v>
      </c>
      <c r="F22" s="16">
        <f>$E34</f>
        <v>11.539080000000002</v>
      </c>
      <c r="G22" s="16">
        <f>$E35</f>
        <v>11.539080000000002</v>
      </c>
      <c r="H22" s="16">
        <f>$E36</f>
        <v>11.539080000000002</v>
      </c>
      <c r="I22" s="16">
        <f>$E37</f>
        <v>11.539080000000002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-164.46091999999999</v>
      </c>
      <c r="D23" s="16">
        <f t="shared" ref="D23:V23" si="3">D22-D21</f>
        <v>-54.460920000000002</v>
      </c>
      <c r="E23" s="16">
        <f t="shared" si="3"/>
        <v>-164.46091999999999</v>
      </c>
      <c r="F23" s="16">
        <f t="shared" si="3"/>
        <v>-54.460920000000002</v>
      </c>
      <c r="G23" s="16">
        <f t="shared" si="3"/>
        <v>-32.460920000000002</v>
      </c>
      <c r="H23" s="16">
        <f t="shared" si="3"/>
        <v>-216.46091999999999</v>
      </c>
      <c r="I23" s="16">
        <f t="shared" si="3"/>
        <v>-216.46091999999999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c r="S27" s="107"/>
      <c r="T27" s="107"/>
      <c r="U27" s="107"/>
    </row>
    <row r="28" spans="1:40" s="57" customFormat="1" x14ac:dyDescent="0.35">
      <c r="A28" s="108"/>
      <c r="B28" s="24">
        <v>5.99</v>
      </c>
      <c r="C28" s="15">
        <v>0.32</v>
      </c>
      <c r="D28" s="15">
        <v>529</v>
      </c>
      <c r="E28" s="15">
        <v>252</v>
      </c>
      <c r="F28" s="15">
        <v>64.5</v>
      </c>
      <c r="G28" s="15">
        <v>1.21</v>
      </c>
      <c r="H28" s="15">
        <v>2.33</v>
      </c>
      <c r="I28" s="15">
        <v>0.5</v>
      </c>
      <c r="J28" s="15">
        <v>0.01</v>
      </c>
      <c r="K28" s="23">
        <v>0.05</v>
      </c>
      <c r="L28" s="15">
        <v>0.2</v>
      </c>
      <c r="M28" s="15">
        <v>0.47</v>
      </c>
      <c r="N28" s="15"/>
      <c r="O28" s="15"/>
      <c r="P28" s="15">
        <v>61.7</v>
      </c>
      <c r="Q28" s="15">
        <v>177</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v>
      </c>
      <c r="B31" s="15">
        <v>38</v>
      </c>
      <c r="C31" s="77">
        <f>IF(C$27="%w/w SAR",((C$28*10)*$B31),IF(C$27="%w/w DM",(((C$28*10)*($B$28/100))*$B31),IF(C$27="kg/t SAR",(C$28*$B31),IF(C$27="kg/t DM",((C$28*($B$28/100))*$B31),IF(C$27="mg/kg SAR",((C$28*0.001)*$B31),IF(C$27="mg/kg DM",(((C$28*0.001)*($B$28/100))*$B31),0))))))</f>
        <v>121.60000000000001</v>
      </c>
      <c r="D31" s="77">
        <f>(IF(D$27="%w/w SAR",((D$28*10)*$B31),IF(D$27="%w/w DM",(((D$28*10)*($B$28/100))*$B31),IF(D$27="kg/t SAR",(D$28*$B31),IF(D$27="kg/t DM",((D$28*($B$28/100))*$B31),IF(D$27="mg/kg SAR",((D$28*0.001)*$B31),IF(D$27="mg/kg DM",(((D$28*0.001)*($B$28/100))*$B31),"0")))))))*2.291</f>
        <v>46.053682000000002</v>
      </c>
      <c r="E31" s="77">
        <f>(IF(E$27="%w/w SAR",((E$28*10)*$B31),IF(E$27="%w/w DM",(((E$28*10)*($B$28/100))*$B31),IF(E$27="kg/t SAR",(E$28*$B31),IF(E$27="kg/t DM",((E$28*($B$28/100))*$B31),IF(E$27="mg/kg SAR",((E$28*0.001)*$B31),IF(E$27="mg/kg DM",(((E$28*0.001)*($B$28/100))*$B31),"0")))))))*1.205</f>
        <v>11.539080000000002</v>
      </c>
      <c r="F31" s="77">
        <f>(IF(F$27="%w/w SAR",((F$28*10)*$B31),IF(F$27="%w/w DM",(((F$28*10)*($B$28/100))*$B31),IF(F$27="kg/t SAR",(F$28*$B31),IF(F$27="kg/t DM",((F$28*($B$28/100))*$B31),IF(F$27="mg/kg SAR",((F$28*0.001)*$B31),IF(F$27="mg/kg DM",(((F$28*0.001)*($B$28/100))*$B31),"0")))))))*1.658</f>
        <v>4.063758</v>
      </c>
      <c r="G31" s="77">
        <f t="shared" ref="G31:P46" si="5">IF(G$27="%w/w SAR",((G$28*10)*$B31),IF(G$27="%w/w DM",(((G$28*10)*($B$28/100))*$B31),IF(G$27="kg/t SAR",(G$28*$B31),IF(G$27="kg/t DM",((G$28*($B$28/100))*$B31),IF(G$27="mg/kg SAR",((G$28*0.001)*$B31),IF(G$27="mg/kg DM",(((G$28*0.001)*($B$28/100))*$B31),0))))))</f>
        <v>4.598E-2</v>
      </c>
      <c r="H31" s="77">
        <f t="shared" si="5"/>
        <v>8.8540000000000008E-2</v>
      </c>
      <c r="I31" s="77">
        <f t="shared" si="5"/>
        <v>1.9E-2</v>
      </c>
      <c r="J31" s="77">
        <f t="shared" si="5"/>
        <v>3.8000000000000002E-4</v>
      </c>
      <c r="K31" s="77">
        <f t="shared" si="5"/>
        <v>1.9E-3</v>
      </c>
      <c r="L31" s="77">
        <f t="shared" si="5"/>
        <v>7.6E-3</v>
      </c>
      <c r="M31" s="77">
        <f t="shared" si="5"/>
        <v>1.7860000000000001E-2</v>
      </c>
      <c r="N31" s="77">
        <f t="shared" si="5"/>
        <v>0</v>
      </c>
      <c r="O31" s="77">
        <f t="shared" si="5"/>
        <v>0</v>
      </c>
      <c r="P31" s="77">
        <f t="shared" si="5"/>
        <v>2.3446000000000002</v>
      </c>
      <c r="Q31" s="77">
        <f>(IF(Q$27="%w/w SAR",((Q$28*10)*$B31),IF(Q$27="%w/w DM",(((Q$28*10)*($B$28/100))*$B31),IF(Q$27="kg/t SAR",(Q$28*$B31),IF(Q$27="kg/t DM",((Q$28*($B$28/100))*$B31),IF(Q$27="mg/kg SAR",((Q$28*0.001)*$B31),IF(Q$27="mg/kg DM",(((Q$28*0.001)*($B$28/100))*$B31),0)))))))*2.5</f>
        <v>16.815000000000001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6 7</v>
      </c>
      <c r="B32" s="15">
        <v>38</v>
      </c>
      <c r="C32" s="77">
        <f t="shared" ref="C32:C50" si="6">IF(C$27="%w/w SAR",((C$28*10)*$B32),IF(C$27="%w/w DM",(((C$28*10)*($B$28/100))*$B32),IF(C$27="kg/t SAR",(C$28*$B32),IF(C$27="kg/t DM",((C$28*($B$28/100))*$B32),IF(C$27="mg/kg SAR",((C$28*0.001)*$B32),IF(C$27="mg/kg DM",(((C$28*0.001)*($B$28/100))*$B32),0))))))</f>
        <v>121.60000000000001</v>
      </c>
      <c r="D32" s="77">
        <f t="shared" ref="D32:D50" si="7">(IF(D$27="%w/w SAR",((D$28*10)*$B32),IF(D$27="%w/w DM",(((D$28*10)*($B$28/100))*$B32),IF(D$27="kg/t SAR",(D$28*$B32),IF(D$27="kg/t DM",((D$28*($B$28/100))*$B32),IF(D$27="mg/kg SAR",((D$28*0.001)*$B32),IF(D$27="mg/kg DM",(((D$28*0.001)*($B$28/100))*$B32),"0")))))))*2.291</f>
        <v>46.053682000000002</v>
      </c>
      <c r="E32" s="77">
        <f t="shared" ref="E32:E50" si="8">(IF(E$27="%w/w SAR",((E$28*10)*$B32),IF(E$27="%w/w DM",(((E$28*10)*($B$28/100))*$B32),IF(E$27="kg/t SAR",(E$28*$B32),IF(E$27="kg/t DM",((E$28*($B$28/100))*$B32),IF(E$27="mg/kg SAR",((E$28*0.001)*$B32),IF(E$27="mg/kg DM",(((E$28*0.001)*($B$28/100))*$B32),"0")))))))*1.205</f>
        <v>11.539080000000002</v>
      </c>
      <c r="F32" s="77">
        <f t="shared" ref="F32:F50" si="9">(IF(F$27="%w/w SAR",((F$28*10)*$B32),IF(F$27="%w/w DM",(((F$28*10)*($B$28/100))*$B32),IF(F$27="kg/t SAR",(F$28*$B32),IF(F$27="kg/t DM",((F$28*($B$28/100))*$B32),IF(F$27="mg/kg SAR",((F$28*0.001)*$B32),IF(F$27="mg/kg DM",(((F$28*0.001)*($B$28/100))*$B32),"0")))))))*1.658</f>
        <v>4.063758</v>
      </c>
      <c r="G32" s="77">
        <f t="shared" si="5"/>
        <v>4.598E-2</v>
      </c>
      <c r="H32" s="77">
        <f t="shared" si="5"/>
        <v>8.8540000000000008E-2</v>
      </c>
      <c r="I32" s="77">
        <f t="shared" si="5"/>
        <v>1.9E-2</v>
      </c>
      <c r="J32" s="77">
        <f t="shared" si="5"/>
        <v>3.8000000000000002E-4</v>
      </c>
      <c r="K32" s="77">
        <f t="shared" si="5"/>
        <v>1.9E-3</v>
      </c>
      <c r="L32" s="77">
        <f t="shared" si="5"/>
        <v>7.6E-3</v>
      </c>
      <c r="M32" s="77">
        <f t="shared" si="5"/>
        <v>1.7860000000000001E-2</v>
      </c>
      <c r="N32" s="77">
        <f t="shared" si="5"/>
        <v>0</v>
      </c>
      <c r="O32" s="77">
        <f t="shared" si="5"/>
        <v>0</v>
      </c>
      <c r="P32" s="77">
        <f t="shared" si="5"/>
        <v>2.3446000000000002</v>
      </c>
      <c r="Q32" s="77">
        <f t="shared" ref="Q32:Q50" si="10">(IF(Q$27="%w/w SAR",((Q$28*10)*$B32),IF(Q$27="%w/w DM",(((Q$28*10)*($B$28/100))*$B32),IF(Q$27="kg/t SAR",(Q$28*$B32),IF(Q$27="kg/t DM",((Q$28*($B$28/100))*$B32),IF(Q$27="mg/kg SAR",((Q$28*0.001)*$B32),IF(Q$27="mg/kg DM",(((Q$28*0.001)*($B$28/100))*$B32),0)))))))*2.5</f>
        <v>16.815000000000001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8 9</v>
      </c>
      <c r="B33" s="15">
        <v>38</v>
      </c>
      <c r="C33" s="77">
        <f t="shared" si="6"/>
        <v>121.60000000000001</v>
      </c>
      <c r="D33" s="77">
        <f t="shared" si="7"/>
        <v>46.053682000000002</v>
      </c>
      <c r="E33" s="77">
        <f t="shared" si="8"/>
        <v>11.539080000000002</v>
      </c>
      <c r="F33" s="77">
        <f t="shared" si="9"/>
        <v>4.063758</v>
      </c>
      <c r="G33" s="77">
        <f t="shared" si="5"/>
        <v>4.598E-2</v>
      </c>
      <c r="H33" s="77">
        <f t="shared" si="5"/>
        <v>8.8540000000000008E-2</v>
      </c>
      <c r="I33" s="77">
        <f t="shared" si="5"/>
        <v>1.9E-2</v>
      </c>
      <c r="J33" s="77">
        <f t="shared" si="5"/>
        <v>3.8000000000000002E-4</v>
      </c>
      <c r="K33" s="77">
        <f t="shared" si="5"/>
        <v>1.9E-3</v>
      </c>
      <c r="L33" s="77">
        <f t="shared" si="5"/>
        <v>7.6E-3</v>
      </c>
      <c r="M33" s="77">
        <f t="shared" si="5"/>
        <v>1.7860000000000001E-2</v>
      </c>
      <c r="N33" s="77">
        <f t="shared" si="5"/>
        <v>0</v>
      </c>
      <c r="O33" s="77">
        <f t="shared" si="5"/>
        <v>0</v>
      </c>
      <c r="P33" s="77">
        <f t="shared" si="5"/>
        <v>2.3446000000000002</v>
      </c>
      <c r="Q33" s="77">
        <f t="shared" si="10"/>
        <v>16.815000000000001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10 11</v>
      </c>
      <c r="B34" s="15">
        <v>38</v>
      </c>
      <c r="C34" s="77">
        <f t="shared" si="6"/>
        <v>121.60000000000001</v>
      </c>
      <c r="D34" s="77">
        <f t="shared" si="7"/>
        <v>46.053682000000002</v>
      </c>
      <c r="E34" s="77">
        <f t="shared" si="8"/>
        <v>11.539080000000002</v>
      </c>
      <c r="F34" s="77">
        <f t="shared" si="9"/>
        <v>4.063758</v>
      </c>
      <c r="G34" s="77">
        <f t="shared" si="5"/>
        <v>4.598E-2</v>
      </c>
      <c r="H34" s="77">
        <f t="shared" si="5"/>
        <v>8.8540000000000008E-2</v>
      </c>
      <c r="I34" s="77">
        <f t="shared" si="5"/>
        <v>1.9E-2</v>
      </c>
      <c r="J34" s="77">
        <f t="shared" si="5"/>
        <v>3.8000000000000002E-4</v>
      </c>
      <c r="K34" s="77">
        <f t="shared" si="5"/>
        <v>1.9E-3</v>
      </c>
      <c r="L34" s="77">
        <f t="shared" si="5"/>
        <v>7.6E-3</v>
      </c>
      <c r="M34" s="77">
        <f t="shared" si="5"/>
        <v>1.7860000000000001E-2</v>
      </c>
      <c r="N34" s="77">
        <f t="shared" si="5"/>
        <v>0</v>
      </c>
      <c r="O34" s="77">
        <f t="shared" si="5"/>
        <v>0</v>
      </c>
      <c r="P34" s="77">
        <f t="shared" si="5"/>
        <v>2.3446000000000002</v>
      </c>
      <c r="Q34" s="77">
        <f t="shared" si="10"/>
        <v>16.815000000000001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14</v>
      </c>
      <c r="B35" s="15">
        <v>38</v>
      </c>
      <c r="C35" s="77">
        <f t="shared" si="6"/>
        <v>121.60000000000001</v>
      </c>
      <c r="D35" s="77">
        <f t="shared" si="7"/>
        <v>46.053682000000002</v>
      </c>
      <c r="E35" s="77">
        <f t="shared" si="8"/>
        <v>11.539080000000002</v>
      </c>
      <c r="F35" s="77">
        <f t="shared" si="9"/>
        <v>4.063758</v>
      </c>
      <c r="G35" s="77">
        <f t="shared" si="5"/>
        <v>4.598E-2</v>
      </c>
      <c r="H35" s="77">
        <f t="shared" si="5"/>
        <v>8.8540000000000008E-2</v>
      </c>
      <c r="I35" s="77">
        <f t="shared" si="5"/>
        <v>1.9E-2</v>
      </c>
      <c r="J35" s="77">
        <f t="shared" si="5"/>
        <v>3.8000000000000002E-4</v>
      </c>
      <c r="K35" s="77">
        <f t="shared" si="5"/>
        <v>1.9E-3</v>
      </c>
      <c r="L35" s="77">
        <f t="shared" si="5"/>
        <v>7.6E-3</v>
      </c>
      <c r="M35" s="77">
        <f t="shared" si="5"/>
        <v>1.7860000000000001E-2</v>
      </c>
      <c r="N35" s="77">
        <f t="shared" si="5"/>
        <v>0</v>
      </c>
      <c r="O35" s="77">
        <f t="shared" si="5"/>
        <v>0</v>
      </c>
      <c r="P35" s="77">
        <f t="shared" si="5"/>
        <v>2.3446000000000002</v>
      </c>
      <c r="Q35" s="77">
        <f t="shared" si="10"/>
        <v>16.815000000000001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20</v>
      </c>
      <c r="B36" s="15">
        <v>38</v>
      </c>
      <c r="C36" s="77">
        <f t="shared" si="6"/>
        <v>121.60000000000001</v>
      </c>
      <c r="D36" s="77">
        <f t="shared" si="7"/>
        <v>46.053682000000002</v>
      </c>
      <c r="E36" s="77">
        <f t="shared" si="8"/>
        <v>11.539080000000002</v>
      </c>
      <c r="F36" s="77">
        <f t="shared" si="9"/>
        <v>4.063758</v>
      </c>
      <c r="G36" s="77">
        <f t="shared" si="5"/>
        <v>4.598E-2</v>
      </c>
      <c r="H36" s="77">
        <f t="shared" si="5"/>
        <v>8.8540000000000008E-2</v>
      </c>
      <c r="I36" s="77">
        <f t="shared" si="5"/>
        <v>1.9E-2</v>
      </c>
      <c r="J36" s="77">
        <f t="shared" si="5"/>
        <v>3.8000000000000002E-4</v>
      </c>
      <c r="K36" s="77">
        <f t="shared" si="5"/>
        <v>1.9E-3</v>
      </c>
      <c r="L36" s="77">
        <f t="shared" si="5"/>
        <v>7.6E-3</v>
      </c>
      <c r="M36" s="77">
        <f t="shared" si="5"/>
        <v>1.7860000000000001E-2</v>
      </c>
      <c r="N36" s="77">
        <f t="shared" si="5"/>
        <v>0</v>
      </c>
      <c r="O36" s="77">
        <f t="shared" si="5"/>
        <v>0</v>
      </c>
      <c r="P36" s="77">
        <f t="shared" si="5"/>
        <v>2.3446000000000002</v>
      </c>
      <c r="Q36" s="77">
        <f t="shared" si="10"/>
        <v>16.815000000000001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21</v>
      </c>
      <c r="B37" s="15">
        <v>38</v>
      </c>
      <c r="C37" s="77">
        <f t="shared" si="6"/>
        <v>121.60000000000001</v>
      </c>
      <c r="D37" s="77">
        <f t="shared" si="7"/>
        <v>46.053682000000002</v>
      </c>
      <c r="E37" s="77">
        <f t="shared" si="8"/>
        <v>11.539080000000002</v>
      </c>
      <c r="F37" s="77">
        <f t="shared" si="9"/>
        <v>4.063758</v>
      </c>
      <c r="G37" s="77">
        <f t="shared" si="5"/>
        <v>4.598E-2</v>
      </c>
      <c r="H37" s="77">
        <f t="shared" si="5"/>
        <v>8.8540000000000008E-2</v>
      </c>
      <c r="I37" s="77">
        <f t="shared" si="5"/>
        <v>1.9E-2</v>
      </c>
      <c r="J37" s="77">
        <f t="shared" si="5"/>
        <v>3.8000000000000002E-4</v>
      </c>
      <c r="K37" s="77">
        <f t="shared" si="5"/>
        <v>1.9E-3</v>
      </c>
      <c r="L37" s="77">
        <f t="shared" si="5"/>
        <v>7.6E-3</v>
      </c>
      <c r="M37" s="77">
        <f t="shared" si="5"/>
        <v>1.7860000000000001E-2</v>
      </c>
      <c r="N37" s="77">
        <f t="shared" si="5"/>
        <v>0</v>
      </c>
      <c r="O37" s="77">
        <f t="shared" si="5"/>
        <v>0</v>
      </c>
      <c r="P37" s="77">
        <f t="shared" si="5"/>
        <v>2.3446000000000002</v>
      </c>
      <c r="Q37" s="77">
        <f t="shared" si="10"/>
        <v>16.815000000000001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v>
      </c>
      <c r="C57" s="8" t="str">
        <f t="shared" ref="C57:U57" si="13">D8</f>
        <v>6 7</v>
      </c>
      <c r="D57" s="8" t="str">
        <f t="shared" si="13"/>
        <v>8 9</v>
      </c>
      <c r="E57" s="8" t="str">
        <f t="shared" si="13"/>
        <v>10 11</v>
      </c>
      <c r="F57" s="8">
        <f t="shared" si="13"/>
        <v>14</v>
      </c>
      <c r="G57" s="8">
        <f t="shared" si="13"/>
        <v>20</v>
      </c>
      <c r="H57" s="8">
        <f t="shared" si="13"/>
        <v>21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6.7</v>
      </c>
      <c r="D59" s="76">
        <f>VLOOKUP(E$14,Table2458[],5,FALSE)</f>
        <v>6.7</v>
      </c>
      <c r="E59" s="76">
        <f>VLOOKUP(F$14,Table2458[],5,FALSE)</f>
        <v>6.7</v>
      </c>
      <c r="F59" s="76">
        <f>VLOOKUP(G$14,Table2458[],5,FALSE)</f>
        <v>6.7</v>
      </c>
      <c r="G59" s="76">
        <f>VLOOKUP(H$14,Table2458[],5,FALSE)</f>
        <v>6.2</v>
      </c>
      <c r="H59" s="76">
        <f>VLOOKUP(I$14,Table2458[],5,FALSE)</f>
        <v>6.2</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6.1</v>
      </c>
      <c r="C60" s="76">
        <f t="shared" ref="C60:U60" si="14">D10</f>
        <v>6.5</v>
      </c>
      <c r="D60" s="76">
        <f t="shared" si="14"/>
        <v>6.6</v>
      </c>
      <c r="E60" s="76">
        <f t="shared" si="14"/>
        <v>6</v>
      </c>
      <c r="F60" s="76">
        <f t="shared" si="14"/>
        <v>6.9</v>
      </c>
      <c r="G60" s="76">
        <f t="shared" si="14"/>
        <v>5.9</v>
      </c>
      <c r="H60" s="76">
        <f t="shared" si="14"/>
        <v>6.3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38</v>
      </c>
      <c r="C62" s="77">
        <f>B32</f>
        <v>38</v>
      </c>
      <c r="D62" s="77">
        <f>B33</f>
        <v>38</v>
      </c>
      <c r="E62" s="77">
        <f>B34</f>
        <v>38</v>
      </c>
      <c r="F62" s="77">
        <f>B35</f>
        <v>38</v>
      </c>
      <c r="G62" s="77">
        <f>B36</f>
        <v>38</v>
      </c>
      <c r="H62" s="77">
        <f>B37</f>
        <v>38</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1.6000000000000014</v>
      </c>
      <c r="D64" s="77">
        <f t="shared" si="17"/>
        <v>0.80000000000000426</v>
      </c>
      <c r="E64" s="77">
        <f t="shared" si="17"/>
        <v>5.6000000000000014</v>
      </c>
      <c r="F64" s="77">
        <f t="shared" si="17"/>
        <v>-1.6000000000000014</v>
      </c>
      <c r="G64" s="77">
        <f t="shared" si="17"/>
        <v>1.7999999999999989</v>
      </c>
      <c r="H64" s="77">
        <f t="shared" si="17"/>
        <v>-0.59999999999999787</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-1.6000000000000014</v>
      </c>
      <c r="D65" s="77">
        <f t="shared" si="18"/>
        <v>-0.80000000000000426</v>
      </c>
      <c r="E65" s="77">
        <f t="shared" si="18"/>
        <v>-5.6000000000000014</v>
      </c>
      <c r="F65" s="77">
        <f t="shared" si="18"/>
        <v>1.6000000000000014</v>
      </c>
      <c r="G65" s="77">
        <f t="shared" si="18"/>
        <v>-1.7999999999999989</v>
      </c>
      <c r="H65" s="77">
        <f t="shared" si="18"/>
        <v>0.59999999999999787</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90" priority="40" operator="equal">
      <formula>"DECREASE"</formula>
    </cfRule>
    <cfRule type="cellIs" dxfId="189" priority="41" operator="equal">
      <formula>"INCREASE"</formula>
    </cfRule>
  </conditionalFormatting>
  <conditionalFormatting sqref="B62:U66 B31:B50">
    <cfRule type="cellIs" dxfId="188" priority="39" operator="greaterThan">
      <formula>$B$51</formula>
    </cfRule>
  </conditionalFormatting>
  <conditionalFormatting sqref="C31:C50">
    <cfRule type="cellIs" dxfId="187" priority="38" operator="greaterThan">
      <formula>$C$51</formula>
    </cfRule>
  </conditionalFormatting>
  <conditionalFormatting sqref="C18:V18">
    <cfRule type="cellIs" dxfId="186" priority="37" operator="equal">
      <formula>0</formula>
    </cfRule>
  </conditionalFormatting>
  <conditionalFormatting sqref="C17:V17">
    <cfRule type="cellIs" dxfId="185" priority="36" operator="equal">
      <formula>0</formula>
    </cfRule>
  </conditionalFormatting>
  <conditionalFormatting sqref="C19:V19">
    <cfRule type="cellIs" dxfId="184" priority="35" operator="equal">
      <formula>0</formula>
    </cfRule>
  </conditionalFormatting>
  <conditionalFormatting sqref="G31:G50">
    <cfRule type="cellIs" dxfId="183" priority="34" operator="greaterThan">
      <formula>$G$51</formula>
    </cfRule>
  </conditionalFormatting>
  <conditionalFormatting sqref="H31:H50">
    <cfRule type="cellIs" dxfId="182" priority="33" operator="greaterThan">
      <formula>$H$51</formula>
    </cfRule>
  </conditionalFormatting>
  <conditionalFormatting sqref="I31:I50">
    <cfRule type="cellIs" dxfId="181" priority="32" operator="greaterThan">
      <formula>$I$51</formula>
    </cfRule>
  </conditionalFormatting>
  <conditionalFormatting sqref="K31:K50">
    <cfRule type="cellIs" dxfId="180" priority="31" operator="greaterThan">
      <formula>$K$51</formula>
    </cfRule>
  </conditionalFormatting>
  <conditionalFormatting sqref="L31:L50">
    <cfRule type="cellIs" dxfId="179" priority="30" operator="greaterThan">
      <formula>$L$51</formula>
    </cfRule>
  </conditionalFormatting>
  <conditionalFormatting sqref="M31:M50">
    <cfRule type="cellIs" dxfId="178" priority="29" operator="greaterThan">
      <formula>$M$51</formula>
    </cfRule>
  </conditionalFormatting>
  <conditionalFormatting sqref="P31:P50">
    <cfRule type="cellIs" dxfId="177" priority="28" operator="greaterThan">
      <formula>$P$51</formula>
    </cfRule>
  </conditionalFormatting>
  <conditionalFormatting sqref="R31:R50">
    <cfRule type="cellIs" dxfId="176" priority="27" operator="greaterThan">
      <formula>$R$51</formula>
    </cfRule>
  </conditionalFormatting>
  <conditionalFormatting sqref="S31:S50">
    <cfRule type="cellIs" dxfId="175" priority="26" operator="greaterThan">
      <formula>$S$51</formula>
    </cfRule>
  </conditionalFormatting>
  <conditionalFormatting sqref="T31:T50">
    <cfRule type="cellIs" dxfId="174" priority="25" operator="greaterThan">
      <formula>$T$51</formula>
    </cfRule>
  </conditionalFormatting>
  <conditionalFormatting sqref="U31:U50">
    <cfRule type="cellIs" dxfId="173" priority="24" operator="greaterThan">
      <formula>$U$51</formula>
    </cfRule>
  </conditionalFormatting>
  <conditionalFormatting sqref="C22:V22">
    <cfRule type="cellIs" dxfId="172" priority="23" operator="equal">
      <formula>0</formula>
    </cfRule>
  </conditionalFormatting>
  <conditionalFormatting sqref="C24:V24">
    <cfRule type="cellIs" dxfId="171" priority="21" operator="equal">
      <formula>"DECREASE"</formula>
    </cfRule>
    <cfRule type="cellIs" dxfId="170" priority="22" operator="equal">
      <formula>"INCREASE"</formula>
    </cfRule>
  </conditionalFormatting>
  <conditionalFormatting sqref="C23:V23">
    <cfRule type="cellIs" dxfId="169" priority="20" operator="equal">
      <formula>0</formula>
    </cfRule>
  </conditionalFormatting>
  <conditionalFormatting sqref="C21:V21">
    <cfRule type="cellIs" dxfId="168" priority="16" operator="equal">
      <formula>0</formula>
    </cfRule>
  </conditionalFormatting>
  <conditionalFormatting sqref="B66:U66">
    <cfRule type="cellIs" dxfId="167" priority="14" operator="equal">
      <formula>"UNDER"</formula>
    </cfRule>
    <cfRule type="cellIs" dxfId="166" priority="15" operator="equal">
      <formula>"OVER"</formula>
    </cfRule>
  </conditionalFormatting>
  <conditionalFormatting sqref="J31:J50">
    <cfRule type="cellIs" dxfId="165" priority="11" operator="greaterThan">
      <formula>$J$51</formula>
    </cfRule>
  </conditionalFormatting>
  <conditionalFormatting sqref="L3">
    <cfRule type="cellIs" dxfId="164" priority="7" operator="lessThan">
      <formula>30</formula>
    </cfRule>
    <cfRule type="cellIs" dxfId="163" priority="8" operator="greaterThanOrEqual">
      <formula>30</formula>
    </cfRule>
  </conditionalFormatting>
  <conditionalFormatting sqref="I1">
    <cfRule type="cellIs" dxfId="9" priority="3" operator="between">
      <formula>0.1</formula>
      <formula>5</formula>
    </cfRule>
  </conditionalFormatting>
  <conditionalFormatting sqref="I2">
    <cfRule type="cellIs" dxfId="8" priority="2" operator="greaterThan">
      <formula>5000.1</formula>
    </cfRule>
  </conditionalFormatting>
  <conditionalFormatting sqref="I3">
    <cfRule type="cellIs" dxfId="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B32" sqref="B32: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Waste 1'!C1:D1</f>
        <v>PAN-020020</v>
      </c>
      <c r="D1" s="143"/>
      <c r="E1" s="93" t="s">
        <v>45</v>
      </c>
      <c r="F1" s="39">
        <f>'Field data and Waste 1'!F1</f>
        <v>50</v>
      </c>
      <c r="G1" s="122" t="s">
        <v>43</v>
      </c>
      <c r="H1" s="123"/>
      <c r="I1" s="120">
        <v>7.05</v>
      </c>
      <c r="J1" s="121" t="s">
        <v>153</v>
      </c>
      <c r="K1" s="121"/>
      <c r="L1" s="120">
        <v>931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Waste 1'!C2:D2</f>
        <v>KP3594VE</v>
      </c>
      <c r="D2" s="145"/>
      <c r="E2" s="93" t="s">
        <v>109</v>
      </c>
      <c r="F2" s="120" t="s">
        <v>181</v>
      </c>
      <c r="G2" s="140" t="s">
        <v>110</v>
      </c>
      <c r="H2" s="141"/>
      <c r="I2" s="120">
        <v>1784</v>
      </c>
      <c r="J2" s="121" t="s">
        <v>158</v>
      </c>
      <c r="K2" s="121"/>
      <c r="L2" s="120">
        <v>0.37</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Waste 1'!C3:D3</f>
        <v>TES</v>
      </c>
      <c r="D3" s="145"/>
      <c r="E3" s="93" t="s">
        <v>108</v>
      </c>
      <c r="F3" s="31" t="s">
        <v>78</v>
      </c>
      <c r="G3" s="121" t="s">
        <v>159</v>
      </c>
      <c r="H3" s="121"/>
      <c r="I3" s="118"/>
      <c r="J3" s="122" t="s">
        <v>154</v>
      </c>
      <c r="K3" s="123"/>
      <c r="L3" s="97">
        <f>(L1/(L2*10000))*100</f>
        <v>25.162162162162161</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Waste 1'!C4:D4</f>
        <v>Brookhouse Farm, Hanmer, SY13 3EQ</v>
      </c>
      <c r="D4" s="143"/>
      <c r="E4" s="94" t="s">
        <v>1</v>
      </c>
      <c r="F4" s="120" t="s">
        <v>182</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f>'Field data and Waste 1'!C5:D5</f>
        <v>0</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Waste 1'!C8</f>
        <v>5</v>
      </c>
      <c r="D8" s="60" t="str">
        <f>'Field data and Waste 1'!D8</f>
        <v>6 7</v>
      </c>
      <c r="E8" s="60" t="str">
        <f>'Field data and Waste 1'!E8</f>
        <v>8 9</v>
      </c>
      <c r="F8" s="60" t="str">
        <f>'Field data and Waste 1'!F8</f>
        <v>10 11</v>
      </c>
      <c r="G8" s="60">
        <f>'Field data and Waste 1'!G8</f>
        <v>14</v>
      </c>
      <c r="H8" s="60">
        <f>'Field data and Waste 1'!H8</f>
        <v>20</v>
      </c>
      <c r="I8" s="60">
        <f>'Field data and Waste 1'!I8</f>
        <v>21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f>'Field data and Waste 1'!C9</f>
        <v>1</v>
      </c>
      <c r="D9" s="60">
        <f>'Field data and Waste 1'!D9</f>
        <v>1</v>
      </c>
      <c r="E9" s="60">
        <f>'Field data and Waste 1'!E9</f>
        <v>1</v>
      </c>
      <c r="F9" s="60">
        <f>'Field data and Waste 1'!F9</f>
        <v>1</v>
      </c>
      <c r="G9" s="60">
        <f>'Field data and Waste 1'!G9</f>
        <v>1</v>
      </c>
      <c r="H9" s="60" t="str">
        <f>'Field data and Waste 1'!H9</f>
        <v xml:space="preserve">Moderate </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Waste 1'!C10</f>
        <v>6.1</v>
      </c>
      <c r="D10" s="60">
        <f>'Field data and Waste 1'!D10</f>
        <v>6.5</v>
      </c>
      <c r="E10" s="60">
        <f>'Field data and Waste 1'!E10</f>
        <v>6.6</v>
      </c>
      <c r="F10" s="60">
        <f>'Field data and Waste 1'!F10</f>
        <v>6</v>
      </c>
      <c r="G10" s="60">
        <f>'Field data and Waste 1'!G10</f>
        <v>6.9</v>
      </c>
      <c r="H10" s="60">
        <f>'Field data and Waste 1'!H10</f>
        <v>5.9</v>
      </c>
      <c r="I10" s="60">
        <f>'Field data and Waste 1'!I10</f>
        <v>6.3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Waste 1'!C11</f>
        <v>4</v>
      </c>
      <c r="D11" s="60">
        <f>'Field data and Waste 1'!D11</f>
        <v>4</v>
      </c>
      <c r="E11" s="60">
        <f>'Field data and Waste 1'!E11</f>
        <v>3</v>
      </c>
      <c r="F11" s="60">
        <f>'Field data and Waste 1'!F11</f>
        <v>4</v>
      </c>
      <c r="G11" s="60">
        <f>'Field data and Waste 1'!G11</f>
        <v>3</v>
      </c>
      <c r="H11" s="60">
        <f>'Field data and Waste 1'!H11</f>
        <v>4</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Waste 1'!C12</f>
        <v>1</v>
      </c>
      <c r="D12" s="60">
        <f>'Field data and Waste 1'!D12</f>
        <v>0</v>
      </c>
      <c r="E12" s="60">
        <f>'Field data and Waste 1'!E12</f>
        <v>0</v>
      </c>
      <c r="F12" s="60">
        <f>'Field data and Waste 1'!F12</f>
        <v>3</v>
      </c>
      <c r="G12" s="60">
        <f>'Field data and Waste 1'!G12</f>
        <v>1</v>
      </c>
      <c r="H12" s="60">
        <f>'Field data and Waste 1'!H12</f>
        <v>2</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Waste 1'!C13</f>
        <v>2</v>
      </c>
      <c r="D13" s="60">
        <f>'Field data and Waste 1'!D13</f>
        <v>1</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Waste 1'!C14</f>
        <v>Maize- Silage (30% DM)</v>
      </c>
      <c r="D14" s="102" t="str">
        <f>'Field data and Waste 1'!D14</f>
        <v>Spring wheat/barley</v>
      </c>
      <c r="E14" s="102" t="str">
        <f>'Field data and Waste 1'!E14</f>
        <v>Maize- Silage (30% DM)</v>
      </c>
      <c r="F14" s="102" t="str">
        <f>'Field data and Waste 1'!F14</f>
        <v>Spring wheat/barley</v>
      </c>
      <c r="G14" s="102" t="str">
        <f>'Field data and Waste 1'!G14</f>
        <v xml:space="preserve">Winter wheat- grain only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2" t="s">
        <v>9</v>
      </c>
      <c r="B15" s="132"/>
      <c r="C15" s="60">
        <f>'Field data and Waste 1'!C15</f>
        <v>40</v>
      </c>
      <c r="D15" s="60">
        <f>'Field data and Waste 1'!D15</f>
        <v>5.5</v>
      </c>
      <c r="E15" s="60">
        <f>'Field data and Waste 1'!E15</f>
        <v>40</v>
      </c>
      <c r="F15" s="60">
        <f>'Field data and Waste 1'!F15</f>
        <v>5.5</v>
      </c>
      <c r="G15" s="60">
        <f>'Field data and Waste 1'!G15</f>
        <v>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56</v>
      </c>
      <c r="D17" s="28">
        <f t="shared" ref="D17:V17" si="0">(VLOOKUP(D$14,$AI2:$AK26,2,FALSE))*D$15</f>
        <v>46.75</v>
      </c>
      <c r="E17" s="28">
        <f t="shared" si="0"/>
        <v>56</v>
      </c>
      <c r="F17" s="28">
        <f t="shared" si="0"/>
        <v>46.75</v>
      </c>
      <c r="G17" s="28">
        <f t="shared" si="0"/>
        <v>52</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45.712322999999998</v>
      </c>
      <c r="D18" s="16">
        <f>$D32</f>
        <v>45.712322999999998</v>
      </c>
      <c r="E18" s="16">
        <f>$D33</f>
        <v>45.712322999999998</v>
      </c>
      <c r="F18" s="16">
        <f>$D34</f>
        <v>45.712322999999998</v>
      </c>
      <c r="G18" s="16">
        <f>$D35</f>
        <v>45.712322999999998</v>
      </c>
      <c r="H18" s="16">
        <f>$D36</f>
        <v>45.712322999999998</v>
      </c>
      <c r="I18" s="16">
        <f>$D37</f>
        <v>45.712322999999998</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-10.287677000000002</v>
      </c>
      <c r="D19" s="16">
        <f t="shared" ref="D19:V19" si="1">D18-D17</f>
        <v>-1.0376770000000022</v>
      </c>
      <c r="E19" s="16">
        <f t="shared" si="1"/>
        <v>-10.287677000000002</v>
      </c>
      <c r="F19" s="16">
        <f t="shared" si="1"/>
        <v>-1.0376770000000022</v>
      </c>
      <c r="G19" s="16">
        <f t="shared" si="1"/>
        <v>-6.2876770000000022</v>
      </c>
      <c r="H19" s="16">
        <f t="shared" si="1"/>
        <v>-18.887676999999996</v>
      </c>
      <c r="I19" s="16">
        <f t="shared" si="1"/>
        <v>-18.887676999999996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176</v>
      </c>
      <c r="D21" s="28">
        <f t="shared" ref="D21:V21" si="2">(VLOOKUP(D$14,$AI2:$AK26,3,FALSE))*D$15</f>
        <v>66</v>
      </c>
      <c r="E21" s="28">
        <f t="shared" si="2"/>
        <v>176</v>
      </c>
      <c r="F21" s="28">
        <f t="shared" si="2"/>
        <v>66</v>
      </c>
      <c r="G21" s="28">
        <f t="shared" si="2"/>
        <v>44</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5.6285550000000004</v>
      </c>
      <c r="D22" s="16">
        <f>$E32</f>
        <v>5.6285550000000004</v>
      </c>
      <c r="E22" s="16">
        <f>$E33</f>
        <v>5.6285550000000004</v>
      </c>
      <c r="F22" s="16">
        <f>$E34</f>
        <v>5.6285550000000004</v>
      </c>
      <c r="G22" s="16">
        <f>$E35</f>
        <v>5.6285550000000004</v>
      </c>
      <c r="H22" s="16">
        <f>$E36</f>
        <v>5.6285550000000004</v>
      </c>
      <c r="I22" s="16">
        <f>$E37</f>
        <v>5.6285550000000004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-170.37144499999999</v>
      </c>
      <c r="D23" s="16">
        <f t="shared" ref="D23:V23" si="3">D22-D21</f>
        <v>-60.371445000000001</v>
      </c>
      <c r="E23" s="16">
        <f t="shared" si="3"/>
        <v>-170.37144499999999</v>
      </c>
      <c r="F23" s="16">
        <f t="shared" si="3"/>
        <v>-60.371445000000001</v>
      </c>
      <c r="G23" s="16">
        <f t="shared" si="3"/>
        <v>-38.371445000000001</v>
      </c>
      <c r="H23" s="16">
        <f t="shared" si="3"/>
        <v>-222.37144499999999</v>
      </c>
      <c r="I23" s="16">
        <f t="shared" si="3"/>
        <v>-222.37144499999999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4.72</v>
      </c>
      <c r="C28" s="15">
        <v>0.37</v>
      </c>
      <c r="D28" s="15">
        <v>739</v>
      </c>
      <c r="E28" s="15">
        <v>173</v>
      </c>
      <c r="F28" s="15">
        <v>230</v>
      </c>
      <c r="G28" s="15">
        <v>3.24</v>
      </c>
      <c r="H28" s="15">
        <v>16.3</v>
      </c>
      <c r="I28" s="15">
        <v>0.5</v>
      </c>
      <c r="J28" s="15">
        <v>0.01</v>
      </c>
      <c r="K28" s="23">
        <v>0.05</v>
      </c>
      <c r="L28" s="15">
        <v>0.879</v>
      </c>
      <c r="M28" s="15">
        <v>0.92700000000000005</v>
      </c>
      <c r="N28" s="15"/>
      <c r="O28" s="15"/>
      <c r="P28" s="15">
        <v>735</v>
      </c>
      <c r="Q28" s="15">
        <v>582</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v>
      </c>
      <c r="B31" s="15">
        <v>27</v>
      </c>
      <c r="C31" s="77">
        <f>IF(C$27="%w/w SAR",((C$28*10)*$B31),IF(C$27="%w/w DM",(((C$28*10)*($B$28/100))*$B31),IF(C$27="kg/t SAR",(C$28*$B31),IF(C$27="kg/t DM",((C$28*($B$28/100))*$B31),IF(C$27="mg/kg SAR",((C$28*0.001)*$B31),IF(C$27="mg/kg DM",(((C$28*0.001)*($B$28/100))*$B31),0))))))</f>
        <v>99.9</v>
      </c>
      <c r="D31" s="77">
        <f>(IF(D$27="%w/w SAR",((D$28*10)*$B31),IF(D$27="%w/w DM",(((D$28*10)*($B$28/100))*$B31),IF(D$27="kg/t SAR",(D$28*$B31),IF(D$27="kg/t DM",((D$28*($B$28/100))*$B31),IF(D$27="mg/kg SAR",((D$28*0.001)*$B31),IF(D$27="mg/kg DM",(((D$28*0.001)*($B$28/100))*$B31),"0")))))))*2.291</f>
        <v>45.712322999999998</v>
      </c>
      <c r="E31" s="77">
        <f>(IF(E$27="%w/w SAR",((E$28*10)*$B31),IF(E$27="%w/w DM",(((E$28*10)*($B$28/100))*$B31),IF(E$27="kg/t SAR",(E$28*$B31),IF(E$27="kg/t DM",((E$28*($B$28/100))*$B31),IF(E$27="mg/kg SAR",((E$28*0.001)*$B31),IF(E$27="mg/kg DM",(((E$28*0.001)*($B$28/100))*$B31),"0")))))))*1.205</f>
        <v>5.6285550000000004</v>
      </c>
      <c r="F31" s="77">
        <f>(IF(F$27="%w/w SAR",((F$28*10)*$B31),IF(F$27="%w/w DM",(((F$28*10)*($B$28/100))*$B31),IF(F$27="kg/t SAR",(F$28*$B31),IF(F$27="kg/t DM",((F$28*($B$28/100))*$B31),IF(F$27="mg/kg SAR",((F$28*0.001)*$B31),IF(F$27="mg/kg DM",(((F$28*0.001)*($B$28/100))*$B31),"0")))))))*1.658</f>
        <v>10.29618</v>
      </c>
      <c r="G31" s="77">
        <f t="shared" ref="G31:P46" si="5">IF(G$27="%w/w SAR",((G$28*10)*$B31),IF(G$27="%w/w DM",(((G$28*10)*($B$28/100))*$B31),IF(G$27="kg/t SAR",(G$28*$B31),IF(G$27="kg/t DM",((G$28*($B$28/100))*$B31),IF(G$27="mg/kg SAR",((G$28*0.001)*$B31),IF(G$27="mg/kg DM",(((G$28*0.001)*($B$28/100))*$B31),0))))))</f>
        <v>8.7480000000000002E-2</v>
      </c>
      <c r="H31" s="77">
        <f t="shared" si="5"/>
        <v>0.44010000000000005</v>
      </c>
      <c r="I31" s="77">
        <f t="shared" si="5"/>
        <v>1.35E-2</v>
      </c>
      <c r="J31" s="77">
        <f t="shared" si="5"/>
        <v>2.7E-4</v>
      </c>
      <c r="K31" s="77">
        <f t="shared" si="5"/>
        <v>1.3500000000000001E-3</v>
      </c>
      <c r="L31" s="77">
        <f t="shared" si="5"/>
        <v>2.3733000000000001E-2</v>
      </c>
      <c r="M31" s="77">
        <f t="shared" si="5"/>
        <v>2.5029000000000003E-2</v>
      </c>
      <c r="N31" s="77">
        <f t="shared" si="5"/>
        <v>0</v>
      </c>
      <c r="O31" s="77">
        <f t="shared" si="5"/>
        <v>0</v>
      </c>
      <c r="P31" s="77">
        <f t="shared" si="5"/>
        <v>19.844999999999999</v>
      </c>
      <c r="Q31" s="77">
        <f>(IF(Q$27="%w/w SAR",((Q$28*10)*$B31),IF(Q$27="%w/w DM",(((Q$28*10)*($B$28/100))*$B31),IF(Q$27="kg/t SAR",(Q$28*$B31),IF(Q$27="kg/t DM",((Q$28*($B$28/100))*$B31),IF(Q$27="mg/kg SAR",((Q$28*0.001)*$B31),IF(Q$27="mg/kg DM",(((Q$28*0.001)*($B$28/100))*$B31),0)))))))*2.5</f>
        <v>39.284999999999997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6 7</v>
      </c>
      <c r="B32" s="15">
        <v>27</v>
      </c>
      <c r="C32" s="77">
        <f t="shared" ref="C32:C50" si="6">IF(C$27="%w/w SAR",((C$28*10)*$B32),IF(C$27="%w/w DM",(((C$28*10)*($B$28/100))*$B32),IF(C$27="kg/t SAR",(C$28*$B32),IF(C$27="kg/t DM",((C$28*($B$28/100))*$B32),IF(C$27="mg/kg SAR",((C$28*0.001)*$B32),IF(C$27="mg/kg DM",(((C$28*0.001)*($B$28/100))*$B32),0))))))</f>
        <v>99.9</v>
      </c>
      <c r="D32" s="77">
        <f t="shared" ref="D32:D50" si="7">(IF(D$27="%w/w SAR",((D$28*10)*$B32),IF(D$27="%w/w DM",(((D$28*10)*($B$28/100))*$B32),IF(D$27="kg/t SAR",(D$28*$B32),IF(D$27="kg/t DM",((D$28*($B$28/100))*$B32),IF(D$27="mg/kg SAR",((D$28*0.001)*$B32),IF(D$27="mg/kg DM",(((D$28*0.001)*($B$28/100))*$B32),"0")))))))*2.291</f>
        <v>45.712322999999998</v>
      </c>
      <c r="E32" s="77">
        <f t="shared" ref="E32:E50" si="8">(IF(E$27="%w/w SAR",((E$28*10)*$B32),IF(E$27="%w/w DM",(((E$28*10)*($B$28/100))*$B32),IF(E$27="kg/t SAR",(E$28*$B32),IF(E$27="kg/t DM",((E$28*($B$28/100))*$B32),IF(E$27="mg/kg SAR",((E$28*0.001)*$B32),IF(E$27="mg/kg DM",(((E$28*0.001)*($B$28/100))*$B32),"0")))))))*1.205</f>
        <v>5.6285550000000004</v>
      </c>
      <c r="F32" s="77">
        <f t="shared" ref="F32:F50" si="9">(IF(F$27="%w/w SAR",((F$28*10)*$B32),IF(F$27="%w/w DM",(((F$28*10)*($B$28/100))*$B32),IF(F$27="kg/t SAR",(F$28*$B32),IF(F$27="kg/t DM",((F$28*($B$28/100))*$B32),IF(F$27="mg/kg SAR",((F$28*0.001)*$B32),IF(F$27="mg/kg DM",(((F$28*0.001)*($B$28/100))*$B32),"0")))))))*1.658</f>
        <v>10.29618</v>
      </c>
      <c r="G32" s="77">
        <f t="shared" si="5"/>
        <v>8.7480000000000002E-2</v>
      </c>
      <c r="H32" s="77">
        <f t="shared" si="5"/>
        <v>0.44010000000000005</v>
      </c>
      <c r="I32" s="77">
        <f t="shared" si="5"/>
        <v>1.35E-2</v>
      </c>
      <c r="J32" s="77">
        <f t="shared" si="5"/>
        <v>2.7E-4</v>
      </c>
      <c r="K32" s="77">
        <f t="shared" si="5"/>
        <v>1.3500000000000001E-3</v>
      </c>
      <c r="L32" s="77">
        <f t="shared" si="5"/>
        <v>2.3733000000000001E-2</v>
      </c>
      <c r="M32" s="77">
        <f t="shared" si="5"/>
        <v>2.5029000000000003E-2</v>
      </c>
      <c r="N32" s="77">
        <f t="shared" si="5"/>
        <v>0</v>
      </c>
      <c r="O32" s="77">
        <f t="shared" si="5"/>
        <v>0</v>
      </c>
      <c r="P32" s="77">
        <f t="shared" si="5"/>
        <v>19.844999999999999</v>
      </c>
      <c r="Q32" s="77">
        <f t="shared" ref="Q32:Q50" si="10">(IF(Q$27="%w/w SAR",((Q$28*10)*$B32),IF(Q$27="%w/w DM",(((Q$28*10)*($B$28/100))*$B32),IF(Q$27="kg/t SAR",(Q$28*$B32),IF(Q$27="kg/t DM",((Q$28*($B$28/100))*$B32),IF(Q$27="mg/kg SAR",((Q$28*0.001)*$B32),IF(Q$27="mg/kg DM",(((Q$28*0.001)*($B$28/100))*$B32),0)))))))*2.5</f>
        <v>39.284999999999997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8 9</v>
      </c>
      <c r="B33" s="15">
        <v>27</v>
      </c>
      <c r="C33" s="77">
        <f t="shared" si="6"/>
        <v>99.9</v>
      </c>
      <c r="D33" s="77">
        <f t="shared" si="7"/>
        <v>45.712322999999998</v>
      </c>
      <c r="E33" s="77">
        <f t="shared" si="8"/>
        <v>5.6285550000000004</v>
      </c>
      <c r="F33" s="77">
        <f t="shared" si="9"/>
        <v>10.29618</v>
      </c>
      <c r="G33" s="77">
        <f t="shared" si="5"/>
        <v>8.7480000000000002E-2</v>
      </c>
      <c r="H33" s="77">
        <f t="shared" si="5"/>
        <v>0.44010000000000005</v>
      </c>
      <c r="I33" s="77">
        <f t="shared" si="5"/>
        <v>1.35E-2</v>
      </c>
      <c r="J33" s="77">
        <f t="shared" si="5"/>
        <v>2.7E-4</v>
      </c>
      <c r="K33" s="77">
        <f t="shared" si="5"/>
        <v>1.3500000000000001E-3</v>
      </c>
      <c r="L33" s="77">
        <f t="shared" si="5"/>
        <v>2.3733000000000001E-2</v>
      </c>
      <c r="M33" s="77">
        <f t="shared" si="5"/>
        <v>2.5029000000000003E-2</v>
      </c>
      <c r="N33" s="77">
        <f t="shared" si="5"/>
        <v>0</v>
      </c>
      <c r="O33" s="77">
        <f t="shared" si="5"/>
        <v>0</v>
      </c>
      <c r="P33" s="77">
        <f t="shared" si="5"/>
        <v>19.844999999999999</v>
      </c>
      <c r="Q33" s="77">
        <f t="shared" si="10"/>
        <v>39.284999999999997</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10 11</v>
      </c>
      <c r="B34" s="15">
        <v>27</v>
      </c>
      <c r="C34" s="77">
        <f t="shared" si="6"/>
        <v>99.9</v>
      </c>
      <c r="D34" s="77">
        <f t="shared" si="7"/>
        <v>45.712322999999998</v>
      </c>
      <c r="E34" s="77">
        <f t="shared" si="8"/>
        <v>5.6285550000000004</v>
      </c>
      <c r="F34" s="77">
        <f t="shared" si="9"/>
        <v>10.29618</v>
      </c>
      <c r="G34" s="77">
        <f t="shared" si="5"/>
        <v>8.7480000000000002E-2</v>
      </c>
      <c r="H34" s="77">
        <f t="shared" si="5"/>
        <v>0.44010000000000005</v>
      </c>
      <c r="I34" s="77">
        <f t="shared" si="5"/>
        <v>1.35E-2</v>
      </c>
      <c r="J34" s="77">
        <f t="shared" si="5"/>
        <v>2.7E-4</v>
      </c>
      <c r="K34" s="77">
        <f t="shared" si="5"/>
        <v>1.3500000000000001E-3</v>
      </c>
      <c r="L34" s="77">
        <f t="shared" si="5"/>
        <v>2.3733000000000001E-2</v>
      </c>
      <c r="M34" s="77">
        <f t="shared" si="5"/>
        <v>2.5029000000000003E-2</v>
      </c>
      <c r="N34" s="77">
        <f t="shared" si="5"/>
        <v>0</v>
      </c>
      <c r="O34" s="77">
        <f t="shared" si="5"/>
        <v>0</v>
      </c>
      <c r="P34" s="77">
        <f t="shared" si="5"/>
        <v>19.844999999999999</v>
      </c>
      <c r="Q34" s="77">
        <f t="shared" si="10"/>
        <v>39.284999999999997</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14</v>
      </c>
      <c r="B35" s="15">
        <v>27</v>
      </c>
      <c r="C35" s="77">
        <f t="shared" si="6"/>
        <v>99.9</v>
      </c>
      <c r="D35" s="77">
        <f t="shared" si="7"/>
        <v>45.712322999999998</v>
      </c>
      <c r="E35" s="77">
        <f t="shared" si="8"/>
        <v>5.6285550000000004</v>
      </c>
      <c r="F35" s="77">
        <f t="shared" si="9"/>
        <v>10.29618</v>
      </c>
      <c r="G35" s="77">
        <f t="shared" si="5"/>
        <v>8.7480000000000002E-2</v>
      </c>
      <c r="H35" s="77">
        <f t="shared" si="5"/>
        <v>0.44010000000000005</v>
      </c>
      <c r="I35" s="77">
        <f t="shared" si="5"/>
        <v>1.35E-2</v>
      </c>
      <c r="J35" s="77">
        <f t="shared" si="5"/>
        <v>2.7E-4</v>
      </c>
      <c r="K35" s="77">
        <f t="shared" si="5"/>
        <v>1.3500000000000001E-3</v>
      </c>
      <c r="L35" s="77">
        <f t="shared" si="5"/>
        <v>2.3733000000000001E-2</v>
      </c>
      <c r="M35" s="77">
        <f t="shared" si="5"/>
        <v>2.5029000000000003E-2</v>
      </c>
      <c r="N35" s="77">
        <f t="shared" si="5"/>
        <v>0</v>
      </c>
      <c r="O35" s="77">
        <f t="shared" si="5"/>
        <v>0</v>
      </c>
      <c r="P35" s="77">
        <f t="shared" si="5"/>
        <v>19.844999999999999</v>
      </c>
      <c r="Q35" s="77">
        <f t="shared" si="10"/>
        <v>39.284999999999997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20</v>
      </c>
      <c r="B36" s="15">
        <v>27</v>
      </c>
      <c r="C36" s="77">
        <f t="shared" si="6"/>
        <v>99.9</v>
      </c>
      <c r="D36" s="77">
        <f t="shared" si="7"/>
        <v>45.712322999999998</v>
      </c>
      <c r="E36" s="77">
        <f t="shared" si="8"/>
        <v>5.6285550000000004</v>
      </c>
      <c r="F36" s="77">
        <f t="shared" si="9"/>
        <v>10.29618</v>
      </c>
      <c r="G36" s="77">
        <f t="shared" si="5"/>
        <v>8.7480000000000002E-2</v>
      </c>
      <c r="H36" s="77">
        <f t="shared" si="5"/>
        <v>0.44010000000000005</v>
      </c>
      <c r="I36" s="77">
        <f t="shared" si="5"/>
        <v>1.35E-2</v>
      </c>
      <c r="J36" s="77">
        <f t="shared" si="5"/>
        <v>2.7E-4</v>
      </c>
      <c r="K36" s="77">
        <f t="shared" si="5"/>
        <v>1.3500000000000001E-3</v>
      </c>
      <c r="L36" s="77">
        <f t="shared" si="5"/>
        <v>2.3733000000000001E-2</v>
      </c>
      <c r="M36" s="77">
        <f t="shared" si="5"/>
        <v>2.5029000000000003E-2</v>
      </c>
      <c r="N36" s="77">
        <f t="shared" si="5"/>
        <v>0</v>
      </c>
      <c r="O36" s="77">
        <f t="shared" si="5"/>
        <v>0</v>
      </c>
      <c r="P36" s="77">
        <f t="shared" si="5"/>
        <v>19.844999999999999</v>
      </c>
      <c r="Q36" s="77">
        <f t="shared" si="10"/>
        <v>39.284999999999997</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21</v>
      </c>
      <c r="B37" s="15">
        <v>27</v>
      </c>
      <c r="C37" s="77">
        <f t="shared" si="6"/>
        <v>99.9</v>
      </c>
      <c r="D37" s="77">
        <f t="shared" si="7"/>
        <v>45.712322999999998</v>
      </c>
      <c r="E37" s="77">
        <f t="shared" si="8"/>
        <v>5.6285550000000004</v>
      </c>
      <c r="F37" s="77">
        <f t="shared" si="9"/>
        <v>10.29618</v>
      </c>
      <c r="G37" s="77">
        <f t="shared" si="5"/>
        <v>8.7480000000000002E-2</v>
      </c>
      <c r="H37" s="77">
        <f t="shared" si="5"/>
        <v>0.44010000000000005</v>
      </c>
      <c r="I37" s="77">
        <f t="shared" si="5"/>
        <v>1.35E-2</v>
      </c>
      <c r="J37" s="77">
        <f t="shared" si="5"/>
        <v>2.7E-4</v>
      </c>
      <c r="K37" s="77">
        <f t="shared" si="5"/>
        <v>1.3500000000000001E-3</v>
      </c>
      <c r="L37" s="77">
        <f t="shared" si="5"/>
        <v>2.3733000000000001E-2</v>
      </c>
      <c r="M37" s="77">
        <f t="shared" si="5"/>
        <v>2.5029000000000003E-2</v>
      </c>
      <c r="N37" s="77">
        <f t="shared" si="5"/>
        <v>0</v>
      </c>
      <c r="O37" s="77">
        <f t="shared" si="5"/>
        <v>0</v>
      </c>
      <c r="P37" s="77">
        <f t="shared" si="5"/>
        <v>19.844999999999999</v>
      </c>
      <c r="Q37" s="77">
        <f t="shared" si="10"/>
        <v>39.284999999999997</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v>
      </c>
      <c r="C57" s="8" t="str">
        <f t="shared" ref="C57:U57" si="13">D8</f>
        <v>6 7</v>
      </c>
      <c r="D57" s="8" t="str">
        <f t="shared" si="13"/>
        <v>8 9</v>
      </c>
      <c r="E57" s="8" t="str">
        <f t="shared" si="13"/>
        <v>10 11</v>
      </c>
      <c r="F57" s="8">
        <f t="shared" si="13"/>
        <v>14</v>
      </c>
      <c r="G57" s="8">
        <f t="shared" si="13"/>
        <v>20</v>
      </c>
      <c r="H57" s="8">
        <f t="shared" si="13"/>
        <v>21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Arable</v>
      </c>
      <c r="G58" s="13" t="str">
        <f>H16&amp;" I "&amp;(VLOOKUP(H14,Table24581113[],6,FALSE))</f>
        <v>Medium/Clay I Grass</v>
      </c>
      <c r="H58" s="13" t="str">
        <f>I16&amp;" I "&amp;(VLOOKUP(I14,Table24581113[],6,FALSE))</f>
        <v>Medium/Clay I Grass</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6.7</v>
      </c>
      <c r="D59" s="76">
        <f>VLOOKUP(E$14,Table24581113[],5,FALSE)</f>
        <v>6.7</v>
      </c>
      <c r="E59" s="76">
        <f>VLOOKUP(F$14,Table24581113[],5,FALSE)</f>
        <v>6.7</v>
      </c>
      <c r="F59" s="76">
        <f>VLOOKUP(G$14,Table24581113[],5,FALSE)</f>
        <v>6.7</v>
      </c>
      <c r="G59" s="76">
        <f>VLOOKUP(H$14,Table24581113[],5,FALSE)</f>
        <v>6.2</v>
      </c>
      <c r="H59" s="76">
        <f>VLOOKUP(I$14,Table24581113[],5,FALSE)</f>
        <v>6.2</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6.1</v>
      </c>
      <c r="C60" s="76">
        <f t="shared" ref="C60:U60" si="14">D10</f>
        <v>6.5</v>
      </c>
      <c r="D60" s="76">
        <f t="shared" si="14"/>
        <v>6.6</v>
      </c>
      <c r="E60" s="76">
        <f t="shared" si="14"/>
        <v>6</v>
      </c>
      <c r="F60" s="76">
        <f t="shared" si="14"/>
        <v>6.9</v>
      </c>
      <c r="G60" s="76">
        <f t="shared" si="14"/>
        <v>5.9</v>
      </c>
      <c r="H60" s="76">
        <f t="shared" si="14"/>
        <v>6.3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27</v>
      </c>
      <c r="C62" s="77">
        <f>B32</f>
        <v>27</v>
      </c>
      <c r="D62" s="77">
        <f>B33</f>
        <v>27</v>
      </c>
      <c r="E62" s="77">
        <f>B34</f>
        <v>27</v>
      </c>
      <c r="F62" s="77">
        <f>B35</f>
        <v>27</v>
      </c>
      <c r="G62" s="77">
        <f>B36</f>
        <v>27</v>
      </c>
      <c r="H62" s="77">
        <f>B37</f>
        <v>27</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1.6000000000000014</v>
      </c>
      <c r="D64" s="77">
        <f t="shared" si="17"/>
        <v>0.80000000000000426</v>
      </c>
      <c r="E64" s="77">
        <f t="shared" si="17"/>
        <v>5.6000000000000014</v>
      </c>
      <c r="F64" s="77">
        <f t="shared" si="17"/>
        <v>-1.6000000000000014</v>
      </c>
      <c r="G64" s="77">
        <f t="shared" si="17"/>
        <v>1.7999999999999989</v>
      </c>
      <c r="H64" s="77">
        <f t="shared" si="17"/>
        <v>-0.59999999999999787</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-1.6000000000000014</v>
      </c>
      <c r="D65" s="77">
        <f t="shared" si="18"/>
        <v>-0.80000000000000426</v>
      </c>
      <c r="E65" s="77">
        <f t="shared" si="18"/>
        <v>-5.6000000000000014</v>
      </c>
      <c r="F65" s="77">
        <f t="shared" si="18"/>
        <v>1.6000000000000014</v>
      </c>
      <c r="G65" s="77">
        <f t="shared" si="18"/>
        <v>-1.7999999999999989</v>
      </c>
      <c r="H65" s="77">
        <f t="shared" si="18"/>
        <v>0.59999999999999787</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48" priority="39" operator="equal">
      <formula>"DECREASE"</formula>
    </cfRule>
    <cfRule type="cellIs" dxfId="147" priority="40" operator="equal">
      <formula>"INCREASE"</formula>
    </cfRule>
  </conditionalFormatting>
  <conditionalFormatting sqref="B62:U66 B31:B50">
    <cfRule type="cellIs" dxfId="146" priority="38" operator="greaterThan">
      <formula>$B$51</formula>
    </cfRule>
  </conditionalFormatting>
  <conditionalFormatting sqref="C31:C50">
    <cfRule type="cellIs" dxfId="145" priority="37" operator="greaterThan">
      <formula>$C$51</formula>
    </cfRule>
  </conditionalFormatting>
  <conditionalFormatting sqref="C18:V18">
    <cfRule type="cellIs" dxfId="144" priority="36" operator="equal">
      <formula>0</formula>
    </cfRule>
  </conditionalFormatting>
  <conditionalFormatting sqref="C17:V17">
    <cfRule type="cellIs" dxfId="143" priority="35" operator="equal">
      <formula>0</formula>
    </cfRule>
  </conditionalFormatting>
  <conditionalFormatting sqref="C19:V19">
    <cfRule type="cellIs" dxfId="142" priority="34" operator="equal">
      <formula>0</formula>
    </cfRule>
  </conditionalFormatting>
  <conditionalFormatting sqref="G31:G50">
    <cfRule type="cellIs" dxfId="141" priority="33" operator="greaterThan">
      <formula>$G$51</formula>
    </cfRule>
  </conditionalFormatting>
  <conditionalFormatting sqref="H31:H50">
    <cfRule type="cellIs" dxfId="140" priority="32" operator="greaterThan">
      <formula>$H$51</formula>
    </cfRule>
  </conditionalFormatting>
  <conditionalFormatting sqref="I31:I50">
    <cfRule type="cellIs" dxfId="139" priority="31" operator="greaterThan">
      <formula>$I$51</formula>
    </cfRule>
  </conditionalFormatting>
  <conditionalFormatting sqref="K31:K50">
    <cfRule type="cellIs" dxfId="138" priority="30" operator="greaterThan">
      <formula>$K$51</formula>
    </cfRule>
  </conditionalFormatting>
  <conditionalFormatting sqref="L31:L50">
    <cfRule type="cellIs" dxfId="137" priority="29" operator="greaterThan">
      <formula>$L$51</formula>
    </cfRule>
  </conditionalFormatting>
  <conditionalFormatting sqref="M31:M50">
    <cfRule type="cellIs" dxfId="136" priority="28" operator="greaterThan">
      <formula>$M$51</formula>
    </cfRule>
  </conditionalFormatting>
  <conditionalFormatting sqref="P31:P50">
    <cfRule type="cellIs" dxfId="135" priority="27" operator="greaterThan">
      <formula>$P$51</formula>
    </cfRule>
  </conditionalFormatting>
  <conditionalFormatting sqref="R31:R50">
    <cfRule type="cellIs" dxfId="134" priority="26" operator="greaterThan">
      <formula>$R$51</formula>
    </cfRule>
  </conditionalFormatting>
  <conditionalFormatting sqref="S31:S50">
    <cfRule type="cellIs" dxfId="133" priority="25" operator="greaterThan">
      <formula>$S$51</formula>
    </cfRule>
  </conditionalFormatting>
  <conditionalFormatting sqref="T31:T50">
    <cfRule type="cellIs" dxfId="132" priority="24" operator="greaterThan">
      <formula>$T$51</formula>
    </cfRule>
  </conditionalFormatting>
  <conditionalFormatting sqref="U31:U50">
    <cfRule type="cellIs" dxfId="131" priority="23" operator="greaterThan">
      <formula>$U$51</formula>
    </cfRule>
  </conditionalFormatting>
  <conditionalFormatting sqref="C22:V22">
    <cfRule type="cellIs" dxfId="130" priority="22" operator="equal">
      <formula>0</formula>
    </cfRule>
  </conditionalFormatting>
  <conditionalFormatting sqref="C24:V24">
    <cfRule type="cellIs" dxfId="129" priority="20" operator="equal">
      <formula>"DECREASE"</formula>
    </cfRule>
    <cfRule type="cellIs" dxfId="128" priority="21" operator="equal">
      <formula>"INCREASE"</formula>
    </cfRule>
  </conditionalFormatting>
  <conditionalFormatting sqref="C23:V23">
    <cfRule type="cellIs" dxfId="127" priority="19" operator="equal">
      <formula>0</formula>
    </cfRule>
  </conditionalFormatting>
  <conditionalFormatting sqref="C21:V21">
    <cfRule type="cellIs" dxfId="126" priority="15" operator="equal">
      <formula>0</formula>
    </cfRule>
  </conditionalFormatting>
  <conditionalFormatting sqref="B66:U66">
    <cfRule type="cellIs" dxfId="125" priority="13" operator="equal">
      <formula>"UNDER"</formula>
    </cfRule>
    <cfRule type="cellIs" dxfId="124" priority="14" operator="equal">
      <formula>"OVER"</formula>
    </cfRule>
  </conditionalFormatting>
  <conditionalFormatting sqref="J31:J50">
    <cfRule type="cellIs" dxfId="123" priority="10" operator="greaterThan">
      <formula>$J$51</formula>
    </cfRule>
  </conditionalFormatting>
  <conditionalFormatting sqref="L3">
    <cfRule type="cellIs" dxfId="122" priority="6" operator="lessThan">
      <formula>30</formula>
    </cfRule>
    <cfRule type="cellIs" dxfId="121" priority="7" operator="greaterThanOrEqual">
      <formula>30</formula>
    </cfRule>
  </conditionalFormatting>
  <conditionalFormatting sqref="I3">
    <cfRule type="cellIs" dxfId="118" priority="3" operator="greaterThan">
      <formula>40000.01</formula>
    </cfRule>
  </conditionalFormatting>
  <conditionalFormatting sqref="I1">
    <cfRule type="cellIs" dxfId="6" priority="2" operator="between">
      <formula>0.1</formula>
      <formula>5</formula>
    </cfRule>
  </conditionalFormatting>
  <conditionalFormatting sqref="I2">
    <cfRule type="cellIs" dxfId="5" priority="1" operator="greaterThan">
      <formula>5000.1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B32" sqref="B32: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Waste 1'!C1:D1</f>
        <v>PAN-020020</v>
      </c>
      <c r="D1" s="143"/>
      <c r="E1" s="93" t="s">
        <v>45</v>
      </c>
      <c r="F1" s="39">
        <f>'Field data and Waste 1'!F1</f>
        <v>50</v>
      </c>
      <c r="G1" s="122" t="s">
        <v>43</v>
      </c>
      <c r="H1" s="123"/>
      <c r="I1" s="120">
        <v>5.33</v>
      </c>
      <c r="J1" s="121" t="s">
        <v>153</v>
      </c>
      <c r="K1" s="121"/>
      <c r="L1" s="120">
        <v>242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Waste 1'!C2:D2</f>
        <v>KP3594VE</v>
      </c>
      <c r="D2" s="145"/>
      <c r="E2" s="93" t="s">
        <v>109</v>
      </c>
      <c r="F2" s="120" t="s">
        <v>178</v>
      </c>
      <c r="G2" s="140" t="s">
        <v>110</v>
      </c>
      <c r="H2" s="141"/>
      <c r="I2" s="120">
        <v>890</v>
      </c>
      <c r="J2" s="121" t="s">
        <v>158</v>
      </c>
      <c r="K2" s="121"/>
      <c r="L2" s="120">
        <v>7.3999999999999996E-2</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Waste 1'!C3:D3</f>
        <v>TES</v>
      </c>
      <c r="D3" s="145"/>
      <c r="E3" s="93" t="s">
        <v>108</v>
      </c>
      <c r="F3" s="31" t="s">
        <v>78</v>
      </c>
      <c r="G3" s="121" t="s">
        <v>159</v>
      </c>
      <c r="H3" s="121"/>
      <c r="I3" s="118"/>
      <c r="J3" s="122" t="s">
        <v>154</v>
      </c>
      <c r="K3" s="123"/>
      <c r="L3" s="97">
        <f>(L1/(L2*10000))*100</f>
        <v>32.702702702702702</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Waste 1'!C4:D4</f>
        <v>Brookhouse Farm, Hanmer, SY13 3EQ</v>
      </c>
      <c r="D4" s="143"/>
      <c r="E4" s="94" t="s">
        <v>1</v>
      </c>
      <c r="F4" s="120" t="s">
        <v>183</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f>'Field data and Waste 1'!C5:D5</f>
        <v>0</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Waste 1'!C8</f>
        <v>5</v>
      </c>
      <c r="D8" s="60" t="str">
        <f>'Field data and Waste 1'!D8</f>
        <v>6 7</v>
      </c>
      <c r="E8" s="60" t="str">
        <f>'Field data and Waste 1'!E8</f>
        <v>8 9</v>
      </c>
      <c r="F8" s="60" t="str">
        <f>'Field data and Waste 1'!F8</f>
        <v>10 11</v>
      </c>
      <c r="G8" s="60">
        <f>'Field data and Waste 1'!G8</f>
        <v>14</v>
      </c>
      <c r="H8" s="60">
        <f>'Field data and Waste 1'!H8</f>
        <v>20</v>
      </c>
      <c r="I8" s="60">
        <f>'Field data and Waste 1'!I8</f>
        <v>21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f>'Field data and Waste 1'!C9</f>
        <v>1</v>
      </c>
      <c r="D9" s="60">
        <f>'Field data and Waste 1'!D9</f>
        <v>1</v>
      </c>
      <c r="E9" s="60">
        <f>'Field data and Waste 1'!E9</f>
        <v>1</v>
      </c>
      <c r="F9" s="60">
        <f>'Field data and Waste 1'!F9</f>
        <v>1</v>
      </c>
      <c r="G9" s="60">
        <f>'Field data and Waste 1'!G9</f>
        <v>1</v>
      </c>
      <c r="H9" s="60" t="str">
        <f>'Field data and Waste 1'!H9</f>
        <v xml:space="preserve">Moderate </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Waste 1'!C10</f>
        <v>6.1</v>
      </c>
      <c r="D10" s="60">
        <f>'Field data and Waste 1'!D10</f>
        <v>6.5</v>
      </c>
      <c r="E10" s="60">
        <f>'Field data and Waste 1'!E10</f>
        <v>6.6</v>
      </c>
      <c r="F10" s="60">
        <f>'Field data and Waste 1'!F10</f>
        <v>6</v>
      </c>
      <c r="G10" s="60">
        <f>'Field data and Waste 1'!G10</f>
        <v>6.9</v>
      </c>
      <c r="H10" s="60">
        <f>'Field data and Waste 1'!H10</f>
        <v>5.9</v>
      </c>
      <c r="I10" s="60">
        <f>'Field data and Waste 1'!I10</f>
        <v>6.3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Waste 1'!C11</f>
        <v>4</v>
      </c>
      <c r="D11" s="60">
        <f>'Field data and Waste 1'!D11</f>
        <v>4</v>
      </c>
      <c r="E11" s="60">
        <f>'Field data and Waste 1'!E11</f>
        <v>3</v>
      </c>
      <c r="F11" s="60">
        <f>'Field data and Waste 1'!F11</f>
        <v>4</v>
      </c>
      <c r="G11" s="60">
        <f>'Field data and Waste 1'!G11</f>
        <v>3</v>
      </c>
      <c r="H11" s="60">
        <f>'Field data and Waste 1'!H11</f>
        <v>4</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Waste 1'!C12</f>
        <v>1</v>
      </c>
      <c r="D12" s="60">
        <f>'Field data and Waste 1'!D12</f>
        <v>0</v>
      </c>
      <c r="E12" s="60">
        <f>'Field data and Waste 1'!E12</f>
        <v>0</v>
      </c>
      <c r="F12" s="60">
        <f>'Field data and Waste 1'!F12</f>
        <v>3</v>
      </c>
      <c r="G12" s="60">
        <f>'Field data and Waste 1'!G12</f>
        <v>1</v>
      </c>
      <c r="H12" s="60">
        <f>'Field data and Waste 1'!H12</f>
        <v>2</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Waste 1'!C13</f>
        <v>2</v>
      </c>
      <c r="D13" s="60">
        <f>'Field data and Waste 1'!D13</f>
        <v>1</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Waste 1'!C14</f>
        <v>Maize- Silage (30% DM)</v>
      </c>
      <c r="D14" s="102" t="str">
        <f>'Field data and Waste 1'!D14</f>
        <v>Spring wheat/barley</v>
      </c>
      <c r="E14" s="102" t="str">
        <f>'Field data and Waste 1'!E14</f>
        <v>Maize- Silage (30% DM)</v>
      </c>
      <c r="F14" s="102" t="str">
        <f>'Field data and Waste 1'!F14</f>
        <v>Spring wheat/barley</v>
      </c>
      <c r="G14" s="102" t="str">
        <f>'Field data and Waste 1'!G14</f>
        <v xml:space="preserve">Winter wheat- grain only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2" t="s">
        <v>9</v>
      </c>
      <c r="B15" s="132"/>
      <c r="C15" s="60">
        <f>'Field data and Waste 1'!C15</f>
        <v>40</v>
      </c>
      <c r="D15" s="60">
        <f>'Field data and Waste 1'!D15</f>
        <v>5.5</v>
      </c>
      <c r="E15" s="60">
        <f>'Field data and Waste 1'!E15</f>
        <v>40</v>
      </c>
      <c r="F15" s="60">
        <f>'Field data and Waste 1'!F15</f>
        <v>5.5</v>
      </c>
      <c r="G15" s="60">
        <f>'Field data and Waste 1'!G15</f>
        <v>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56</v>
      </c>
      <c r="D17" s="28">
        <f t="shared" ref="D17:V17" si="0">(VLOOKUP(D$14,$AI2:$AK26,2,FALSE))*D$15</f>
        <v>46.75</v>
      </c>
      <c r="E17" s="28">
        <f t="shared" si="0"/>
        <v>56</v>
      </c>
      <c r="F17" s="28">
        <f t="shared" si="0"/>
        <v>46.75</v>
      </c>
      <c r="G17" s="28">
        <f t="shared" si="0"/>
        <v>52</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45.545080000000006</v>
      </c>
      <c r="D18" s="16">
        <f>$D32</f>
        <v>45.545080000000006</v>
      </c>
      <c r="E18" s="16">
        <f>$D33</f>
        <v>45.545080000000006</v>
      </c>
      <c r="F18" s="16">
        <f>$D34</f>
        <v>45.545080000000006</v>
      </c>
      <c r="G18" s="16">
        <f>$D35</f>
        <v>45.545080000000006</v>
      </c>
      <c r="H18" s="16">
        <f>$D36</f>
        <v>45.545080000000006</v>
      </c>
      <c r="I18" s="16">
        <f>$D37</f>
        <v>45.545080000000006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-10.454919999999994</v>
      </c>
      <c r="D19" s="16">
        <f t="shared" ref="D19:V19" si="1">D18-D17</f>
        <v>-1.2049199999999942</v>
      </c>
      <c r="E19" s="16">
        <f t="shared" si="1"/>
        <v>-10.454919999999994</v>
      </c>
      <c r="F19" s="16">
        <f t="shared" si="1"/>
        <v>-1.2049199999999942</v>
      </c>
      <c r="G19" s="16">
        <f t="shared" si="1"/>
        <v>-6.4549199999999942</v>
      </c>
      <c r="H19" s="16">
        <f t="shared" si="1"/>
        <v>-19.054919999999989</v>
      </c>
      <c r="I19" s="16">
        <f t="shared" si="1"/>
        <v>-19.054919999999989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176</v>
      </c>
      <c r="D21" s="28">
        <f t="shared" ref="D21:V21" si="2">(VLOOKUP(D$14,$AI2:$AK26,3,FALSE))*D$15</f>
        <v>66</v>
      </c>
      <c r="E21" s="28">
        <f t="shared" si="2"/>
        <v>176</v>
      </c>
      <c r="F21" s="28">
        <f t="shared" si="2"/>
        <v>66</v>
      </c>
      <c r="G21" s="28">
        <f t="shared" si="2"/>
        <v>44</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48.253020000000006</v>
      </c>
      <c r="D22" s="16">
        <f>$E32</f>
        <v>48.253020000000006</v>
      </c>
      <c r="E22" s="16">
        <f>$E33</f>
        <v>48.253020000000006</v>
      </c>
      <c r="F22" s="16">
        <f>$E34</f>
        <v>48.253020000000006</v>
      </c>
      <c r="G22" s="16">
        <f>$E35</f>
        <v>48.253020000000006</v>
      </c>
      <c r="H22" s="16">
        <f>$E36</f>
        <v>48.253020000000006</v>
      </c>
      <c r="I22" s="16">
        <f>$E37</f>
        <v>48.253020000000006</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-127.74697999999999</v>
      </c>
      <c r="D23" s="16">
        <f t="shared" ref="D23:V23" si="3">D22-D21</f>
        <v>-17.746979999999994</v>
      </c>
      <c r="E23" s="16">
        <f t="shared" si="3"/>
        <v>-127.74697999999999</v>
      </c>
      <c r="F23" s="16">
        <f t="shared" si="3"/>
        <v>-17.746979999999994</v>
      </c>
      <c r="G23" s="16">
        <f t="shared" si="3"/>
        <v>4.2530200000000065</v>
      </c>
      <c r="H23" s="16">
        <f t="shared" si="3"/>
        <v>-179.74698000000001</v>
      </c>
      <c r="I23" s="16">
        <f t="shared" si="3"/>
        <v>-179.74698000000001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INCREASE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c r="T27" s="107"/>
      <c r="U27" s="107"/>
    </row>
    <row r="28" spans="1:40" s="57" customFormat="1" x14ac:dyDescent="0.35">
      <c r="A28" s="108"/>
      <c r="B28" s="24">
        <v>0.67</v>
      </c>
      <c r="C28" s="15">
        <v>0.04</v>
      </c>
      <c r="D28" s="15">
        <v>140</v>
      </c>
      <c r="E28" s="15">
        <v>282</v>
      </c>
      <c r="F28" s="15">
        <v>34.4</v>
      </c>
      <c r="G28" s="15">
        <v>1.63</v>
      </c>
      <c r="H28" s="15">
        <v>0.5</v>
      </c>
      <c r="I28" s="15">
        <v>0.5</v>
      </c>
      <c r="J28" s="15">
        <v>0.01</v>
      </c>
      <c r="K28" s="23">
        <v>0.05</v>
      </c>
      <c r="L28" s="15">
        <v>0.2</v>
      </c>
      <c r="M28" s="15">
        <v>0.2</v>
      </c>
      <c r="N28" s="15"/>
      <c r="O28" s="15"/>
      <c r="P28" s="15">
        <v>888</v>
      </c>
      <c r="Q28" s="15">
        <v>44.5</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v>
      </c>
      <c r="B31" s="15">
        <v>142</v>
      </c>
      <c r="C31" s="77">
        <f>IF(C$27="%w/w SAR",((C$28*10)*$B31),IF(C$27="%w/w DM",(((C$28*10)*($B$28/100))*$B31),IF(C$27="kg/t SAR",(C$28*$B31),IF(C$27="kg/t DM",((C$28*($B$28/100))*$B31),IF(C$27="mg/kg SAR",((C$28*0.001)*$B31),IF(C$27="mg/kg DM",(((C$28*0.001)*($B$28/100))*$B31),0))))))</f>
        <v>56.800000000000004</v>
      </c>
      <c r="D31" s="77">
        <f>(IF(D$27="%w/w SAR",((D$28*10)*$B31),IF(D$27="%w/w DM",(((D$28*10)*($B$28/100))*$B31),IF(D$27="kg/t SAR",(D$28*$B31),IF(D$27="kg/t DM",((D$28*($B$28/100))*$B31),IF(D$27="mg/kg SAR",((D$28*0.001)*$B31),IF(D$27="mg/kg DM",(((D$28*0.001)*($B$28/100))*$B31),"0")))))))*2.291</f>
        <v>45.545080000000006</v>
      </c>
      <c r="E31" s="77">
        <f>(IF(E$27="%w/w SAR",((E$28*10)*$B31),IF(E$27="%w/w DM",(((E$28*10)*($B$28/100))*$B31),IF(E$27="kg/t SAR",(E$28*$B31),IF(E$27="kg/t DM",((E$28*($B$28/100))*$B31),IF(E$27="mg/kg SAR",((E$28*0.001)*$B31),IF(E$27="mg/kg DM",(((E$28*0.001)*($B$28/100))*$B31),"0")))))))*1.205</f>
        <v>48.253020000000006</v>
      </c>
      <c r="F31" s="77">
        <f>(IF(F$27="%w/w SAR",((F$28*10)*$B31),IF(F$27="%w/w DM",(((F$28*10)*($B$28/100))*$B31),IF(F$27="kg/t SAR",(F$28*$B31),IF(F$27="kg/t DM",((F$28*($B$28/100))*$B31),IF(F$27="mg/kg SAR",((F$28*0.001)*$B31),IF(F$27="mg/kg DM",(((F$28*0.001)*($B$28/100))*$B31),"0")))))))*1.658</f>
        <v>8.0989983999999993</v>
      </c>
      <c r="G31" s="77">
        <f t="shared" ref="G31:P46" si="5">IF(G$27="%w/w SAR",((G$28*10)*$B31),IF(G$27="%w/w DM",(((G$28*10)*($B$28/100))*$B31),IF(G$27="kg/t SAR",(G$28*$B31),IF(G$27="kg/t DM",((G$28*($B$28/100))*$B31),IF(G$27="mg/kg SAR",((G$28*0.001)*$B31),IF(G$27="mg/kg DM",(((G$28*0.001)*($B$28/100))*$B31),0))))))</f>
        <v>0.23146</v>
      </c>
      <c r="H31" s="77">
        <f t="shared" si="5"/>
        <v>7.1000000000000008E-2</v>
      </c>
      <c r="I31" s="77">
        <f t="shared" si="5"/>
        <v>7.1000000000000008E-2</v>
      </c>
      <c r="J31" s="77">
        <f t="shared" si="5"/>
        <v>1.42E-3</v>
      </c>
      <c r="K31" s="77">
        <f t="shared" si="5"/>
        <v>7.1000000000000004E-3</v>
      </c>
      <c r="L31" s="77">
        <f t="shared" si="5"/>
        <v>2.8400000000000002E-2</v>
      </c>
      <c r="M31" s="77">
        <f t="shared" si="5"/>
        <v>2.8400000000000002E-2</v>
      </c>
      <c r="N31" s="77">
        <f t="shared" si="5"/>
        <v>0</v>
      </c>
      <c r="O31" s="77">
        <f t="shared" si="5"/>
        <v>0</v>
      </c>
      <c r="P31" s="77">
        <f t="shared" si="5"/>
        <v>126.096</v>
      </c>
      <c r="Q31" s="77">
        <f>(IF(Q$27="%w/w SAR",((Q$28*10)*$B31),IF(Q$27="%w/w DM",(((Q$28*10)*($B$28/100))*$B31),IF(Q$27="kg/t SAR",(Q$28*$B31),IF(Q$27="kg/t DM",((Q$28*($B$28/100))*$B31),IF(Q$27="mg/kg SAR",((Q$28*0.001)*$B31),IF(Q$27="mg/kg DM",(((Q$28*0.001)*($B$28/100))*$B31),0)))))))*2.5</f>
        <v>15.797499999999999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6 7</v>
      </c>
      <c r="B32" s="15">
        <v>142</v>
      </c>
      <c r="C32" s="77">
        <f t="shared" ref="C32:C50" si="6">IF(C$27="%w/w SAR",((C$28*10)*$B32),IF(C$27="%w/w DM",(((C$28*10)*($B$28/100))*$B32),IF(C$27="kg/t SAR",(C$28*$B32),IF(C$27="kg/t DM",((C$28*($B$28/100))*$B32),IF(C$27="mg/kg SAR",((C$28*0.001)*$B32),IF(C$27="mg/kg DM",(((C$28*0.001)*($B$28/100))*$B32),0))))))</f>
        <v>56.800000000000004</v>
      </c>
      <c r="D32" s="77">
        <f t="shared" ref="D32:D50" si="7">(IF(D$27="%w/w SAR",((D$28*10)*$B32),IF(D$27="%w/w DM",(((D$28*10)*($B$28/100))*$B32),IF(D$27="kg/t SAR",(D$28*$B32),IF(D$27="kg/t DM",((D$28*($B$28/100))*$B32),IF(D$27="mg/kg SAR",((D$28*0.001)*$B32),IF(D$27="mg/kg DM",(((D$28*0.001)*($B$28/100))*$B32),"0")))))))*2.291</f>
        <v>45.545080000000006</v>
      </c>
      <c r="E32" s="77">
        <f t="shared" ref="E32:E50" si="8">(IF(E$27="%w/w SAR",((E$28*10)*$B32),IF(E$27="%w/w DM",(((E$28*10)*($B$28/100))*$B32),IF(E$27="kg/t SAR",(E$28*$B32),IF(E$27="kg/t DM",((E$28*($B$28/100))*$B32),IF(E$27="mg/kg SAR",((E$28*0.001)*$B32),IF(E$27="mg/kg DM",(((E$28*0.001)*($B$28/100))*$B32),"0")))))))*1.205</f>
        <v>48.253020000000006</v>
      </c>
      <c r="F32" s="77">
        <f t="shared" ref="F32:F50" si="9">(IF(F$27="%w/w SAR",((F$28*10)*$B32),IF(F$27="%w/w DM",(((F$28*10)*($B$28/100))*$B32),IF(F$27="kg/t SAR",(F$28*$B32),IF(F$27="kg/t DM",((F$28*($B$28/100))*$B32),IF(F$27="mg/kg SAR",((F$28*0.001)*$B32),IF(F$27="mg/kg DM",(((F$28*0.001)*($B$28/100))*$B32),"0")))))))*1.658</f>
        <v>8.0989983999999993</v>
      </c>
      <c r="G32" s="77">
        <f t="shared" si="5"/>
        <v>0.23146</v>
      </c>
      <c r="H32" s="77">
        <f t="shared" si="5"/>
        <v>7.1000000000000008E-2</v>
      </c>
      <c r="I32" s="77">
        <f t="shared" si="5"/>
        <v>7.1000000000000008E-2</v>
      </c>
      <c r="J32" s="77">
        <f t="shared" si="5"/>
        <v>1.42E-3</v>
      </c>
      <c r="K32" s="77">
        <f t="shared" si="5"/>
        <v>7.1000000000000004E-3</v>
      </c>
      <c r="L32" s="77">
        <f t="shared" si="5"/>
        <v>2.8400000000000002E-2</v>
      </c>
      <c r="M32" s="77">
        <f t="shared" si="5"/>
        <v>2.8400000000000002E-2</v>
      </c>
      <c r="N32" s="77">
        <f t="shared" si="5"/>
        <v>0</v>
      </c>
      <c r="O32" s="77">
        <f t="shared" si="5"/>
        <v>0</v>
      </c>
      <c r="P32" s="77">
        <f t="shared" si="5"/>
        <v>126.096</v>
      </c>
      <c r="Q32" s="77">
        <f t="shared" ref="Q32:Q50" si="10">(IF(Q$27="%w/w SAR",((Q$28*10)*$B32),IF(Q$27="%w/w DM",(((Q$28*10)*($B$28/100))*$B32),IF(Q$27="kg/t SAR",(Q$28*$B32),IF(Q$27="kg/t DM",((Q$28*($B$28/100))*$B32),IF(Q$27="mg/kg SAR",((Q$28*0.001)*$B32),IF(Q$27="mg/kg DM",(((Q$28*0.001)*($B$28/100))*$B32),0)))))))*2.5</f>
        <v>15.797499999999999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8 9</v>
      </c>
      <c r="B33" s="15">
        <v>142</v>
      </c>
      <c r="C33" s="77">
        <f t="shared" si="6"/>
        <v>56.800000000000004</v>
      </c>
      <c r="D33" s="77">
        <f t="shared" si="7"/>
        <v>45.545080000000006</v>
      </c>
      <c r="E33" s="77">
        <f t="shared" si="8"/>
        <v>48.253020000000006</v>
      </c>
      <c r="F33" s="77">
        <f t="shared" si="9"/>
        <v>8.0989983999999993</v>
      </c>
      <c r="G33" s="77">
        <f t="shared" si="5"/>
        <v>0.23146</v>
      </c>
      <c r="H33" s="77">
        <f t="shared" si="5"/>
        <v>7.1000000000000008E-2</v>
      </c>
      <c r="I33" s="77">
        <f t="shared" si="5"/>
        <v>7.1000000000000008E-2</v>
      </c>
      <c r="J33" s="77">
        <f t="shared" si="5"/>
        <v>1.42E-3</v>
      </c>
      <c r="K33" s="77">
        <f t="shared" si="5"/>
        <v>7.1000000000000004E-3</v>
      </c>
      <c r="L33" s="77">
        <f t="shared" si="5"/>
        <v>2.8400000000000002E-2</v>
      </c>
      <c r="M33" s="77">
        <f t="shared" si="5"/>
        <v>2.8400000000000002E-2</v>
      </c>
      <c r="N33" s="77">
        <f t="shared" si="5"/>
        <v>0</v>
      </c>
      <c r="O33" s="77">
        <f t="shared" si="5"/>
        <v>0</v>
      </c>
      <c r="P33" s="77">
        <f t="shared" si="5"/>
        <v>126.096</v>
      </c>
      <c r="Q33" s="77">
        <f t="shared" si="10"/>
        <v>15.797499999999999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10 11</v>
      </c>
      <c r="B34" s="15">
        <v>142</v>
      </c>
      <c r="C34" s="77">
        <f t="shared" si="6"/>
        <v>56.800000000000004</v>
      </c>
      <c r="D34" s="77">
        <f t="shared" si="7"/>
        <v>45.545080000000006</v>
      </c>
      <c r="E34" s="77">
        <f t="shared" si="8"/>
        <v>48.253020000000006</v>
      </c>
      <c r="F34" s="77">
        <f t="shared" si="9"/>
        <v>8.0989983999999993</v>
      </c>
      <c r="G34" s="77">
        <f t="shared" si="5"/>
        <v>0.23146</v>
      </c>
      <c r="H34" s="77">
        <f t="shared" si="5"/>
        <v>7.1000000000000008E-2</v>
      </c>
      <c r="I34" s="77">
        <f t="shared" si="5"/>
        <v>7.1000000000000008E-2</v>
      </c>
      <c r="J34" s="77">
        <f t="shared" si="5"/>
        <v>1.42E-3</v>
      </c>
      <c r="K34" s="77">
        <f t="shared" si="5"/>
        <v>7.1000000000000004E-3</v>
      </c>
      <c r="L34" s="77">
        <f t="shared" si="5"/>
        <v>2.8400000000000002E-2</v>
      </c>
      <c r="M34" s="77">
        <f t="shared" si="5"/>
        <v>2.8400000000000002E-2</v>
      </c>
      <c r="N34" s="77">
        <f t="shared" si="5"/>
        <v>0</v>
      </c>
      <c r="O34" s="77">
        <f t="shared" si="5"/>
        <v>0</v>
      </c>
      <c r="P34" s="77">
        <f t="shared" si="5"/>
        <v>126.096</v>
      </c>
      <c r="Q34" s="77">
        <f t="shared" si="10"/>
        <v>15.797499999999999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14</v>
      </c>
      <c r="B35" s="15">
        <v>142</v>
      </c>
      <c r="C35" s="77">
        <f t="shared" si="6"/>
        <v>56.800000000000004</v>
      </c>
      <c r="D35" s="77">
        <f t="shared" si="7"/>
        <v>45.545080000000006</v>
      </c>
      <c r="E35" s="77">
        <f t="shared" si="8"/>
        <v>48.253020000000006</v>
      </c>
      <c r="F35" s="77">
        <f t="shared" si="9"/>
        <v>8.0989983999999993</v>
      </c>
      <c r="G35" s="77">
        <f t="shared" si="5"/>
        <v>0.23146</v>
      </c>
      <c r="H35" s="77">
        <f t="shared" si="5"/>
        <v>7.1000000000000008E-2</v>
      </c>
      <c r="I35" s="77">
        <f t="shared" si="5"/>
        <v>7.1000000000000008E-2</v>
      </c>
      <c r="J35" s="77">
        <f t="shared" si="5"/>
        <v>1.42E-3</v>
      </c>
      <c r="K35" s="77">
        <f t="shared" si="5"/>
        <v>7.1000000000000004E-3</v>
      </c>
      <c r="L35" s="77">
        <f t="shared" si="5"/>
        <v>2.8400000000000002E-2</v>
      </c>
      <c r="M35" s="77">
        <f t="shared" si="5"/>
        <v>2.8400000000000002E-2</v>
      </c>
      <c r="N35" s="77">
        <f t="shared" si="5"/>
        <v>0</v>
      </c>
      <c r="O35" s="77">
        <f t="shared" si="5"/>
        <v>0</v>
      </c>
      <c r="P35" s="77">
        <f t="shared" si="5"/>
        <v>126.096</v>
      </c>
      <c r="Q35" s="77">
        <f t="shared" si="10"/>
        <v>15.797499999999999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20</v>
      </c>
      <c r="B36" s="15">
        <v>142</v>
      </c>
      <c r="C36" s="77">
        <f t="shared" si="6"/>
        <v>56.800000000000004</v>
      </c>
      <c r="D36" s="77">
        <f t="shared" si="7"/>
        <v>45.545080000000006</v>
      </c>
      <c r="E36" s="77">
        <f t="shared" si="8"/>
        <v>48.253020000000006</v>
      </c>
      <c r="F36" s="77">
        <f t="shared" si="9"/>
        <v>8.0989983999999993</v>
      </c>
      <c r="G36" s="77">
        <f t="shared" si="5"/>
        <v>0.23146</v>
      </c>
      <c r="H36" s="77">
        <f t="shared" si="5"/>
        <v>7.1000000000000008E-2</v>
      </c>
      <c r="I36" s="77">
        <f t="shared" si="5"/>
        <v>7.1000000000000008E-2</v>
      </c>
      <c r="J36" s="77">
        <f t="shared" si="5"/>
        <v>1.42E-3</v>
      </c>
      <c r="K36" s="77">
        <f t="shared" si="5"/>
        <v>7.1000000000000004E-3</v>
      </c>
      <c r="L36" s="77">
        <f t="shared" si="5"/>
        <v>2.8400000000000002E-2</v>
      </c>
      <c r="M36" s="77">
        <f t="shared" si="5"/>
        <v>2.8400000000000002E-2</v>
      </c>
      <c r="N36" s="77">
        <f t="shared" si="5"/>
        <v>0</v>
      </c>
      <c r="O36" s="77">
        <f t="shared" si="5"/>
        <v>0</v>
      </c>
      <c r="P36" s="77">
        <f t="shared" si="5"/>
        <v>126.096</v>
      </c>
      <c r="Q36" s="77">
        <f t="shared" si="10"/>
        <v>15.797499999999999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21</v>
      </c>
      <c r="B37" s="15">
        <v>142</v>
      </c>
      <c r="C37" s="77">
        <f t="shared" si="6"/>
        <v>56.800000000000004</v>
      </c>
      <c r="D37" s="77">
        <f t="shared" si="7"/>
        <v>45.545080000000006</v>
      </c>
      <c r="E37" s="77">
        <f t="shared" si="8"/>
        <v>48.253020000000006</v>
      </c>
      <c r="F37" s="77">
        <f t="shared" si="9"/>
        <v>8.0989983999999993</v>
      </c>
      <c r="G37" s="77">
        <f t="shared" si="5"/>
        <v>0.23146</v>
      </c>
      <c r="H37" s="77">
        <f t="shared" si="5"/>
        <v>7.1000000000000008E-2</v>
      </c>
      <c r="I37" s="77">
        <f t="shared" si="5"/>
        <v>7.1000000000000008E-2</v>
      </c>
      <c r="J37" s="77">
        <f t="shared" si="5"/>
        <v>1.42E-3</v>
      </c>
      <c r="K37" s="77">
        <f t="shared" si="5"/>
        <v>7.1000000000000004E-3</v>
      </c>
      <c r="L37" s="77">
        <f t="shared" si="5"/>
        <v>2.8400000000000002E-2</v>
      </c>
      <c r="M37" s="77">
        <f t="shared" si="5"/>
        <v>2.8400000000000002E-2</v>
      </c>
      <c r="N37" s="77">
        <f t="shared" si="5"/>
        <v>0</v>
      </c>
      <c r="O37" s="77">
        <f t="shared" si="5"/>
        <v>0</v>
      </c>
      <c r="P37" s="77">
        <f t="shared" si="5"/>
        <v>126.096</v>
      </c>
      <c r="Q37" s="77">
        <f t="shared" si="10"/>
        <v>15.797499999999999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v>
      </c>
      <c r="C57" s="8" t="str">
        <f t="shared" ref="C57:U57" si="13">D8</f>
        <v>6 7</v>
      </c>
      <c r="D57" s="8" t="str">
        <f t="shared" si="13"/>
        <v>8 9</v>
      </c>
      <c r="E57" s="8" t="str">
        <f t="shared" si="13"/>
        <v>10 11</v>
      </c>
      <c r="F57" s="8">
        <f t="shared" si="13"/>
        <v>14</v>
      </c>
      <c r="G57" s="8">
        <f t="shared" si="13"/>
        <v>20</v>
      </c>
      <c r="H57" s="8">
        <f t="shared" si="13"/>
        <v>21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Arable</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6.7</v>
      </c>
      <c r="D59" s="76">
        <f>VLOOKUP(E$14,Table24567[],5,FALSE)</f>
        <v>6.7</v>
      </c>
      <c r="E59" s="76">
        <f>VLOOKUP(F$14,Table24567[],5,FALSE)</f>
        <v>6.7</v>
      </c>
      <c r="F59" s="76">
        <f>VLOOKUP(G$14,Table24567[],5,FALSE)</f>
        <v>6.7</v>
      </c>
      <c r="G59" s="76">
        <f>VLOOKUP(H$14,Table24567[],5,FALSE)</f>
        <v>6.2</v>
      </c>
      <c r="H59" s="76">
        <f>VLOOKUP(I$14,Table24567[],5,FALSE)</f>
        <v>6.2</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6.1</v>
      </c>
      <c r="C60" s="76">
        <f t="shared" ref="C60:U60" si="14">D10</f>
        <v>6.5</v>
      </c>
      <c r="D60" s="76">
        <f t="shared" si="14"/>
        <v>6.6</v>
      </c>
      <c r="E60" s="76">
        <f t="shared" si="14"/>
        <v>6</v>
      </c>
      <c r="F60" s="76">
        <f t="shared" si="14"/>
        <v>6.9</v>
      </c>
      <c r="G60" s="76">
        <f t="shared" si="14"/>
        <v>5.9</v>
      </c>
      <c r="H60" s="76">
        <f t="shared" si="14"/>
        <v>6.3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142</v>
      </c>
      <c r="C62" s="77">
        <f>B32</f>
        <v>142</v>
      </c>
      <c r="D62" s="77">
        <f>B33</f>
        <v>142</v>
      </c>
      <c r="E62" s="77">
        <f>B34</f>
        <v>142</v>
      </c>
      <c r="F62" s="77">
        <f>B35</f>
        <v>142</v>
      </c>
      <c r="G62" s="77">
        <f>B36</f>
        <v>142</v>
      </c>
      <c r="H62" s="77">
        <f>B37</f>
        <v>142</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1.6000000000000014</v>
      </c>
      <c r="D64" s="77">
        <f t="shared" si="17"/>
        <v>0.80000000000000426</v>
      </c>
      <c r="E64" s="77">
        <f t="shared" si="17"/>
        <v>5.6000000000000014</v>
      </c>
      <c r="F64" s="77">
        <f t="shared" si="17"/>
        <v>-1.6000000000000014</v>
      </c>
      <c r="G64" s="77">
        <f t="shared" si="17"/>
        <v>1.7999999999999989</v>
      </c>
      <c r="H64" s="77">
        <f t="shared" si="17"/>
        <v>-0.59999999999999787</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-1.6000000000000014</v>
      </c>
      <c r="D65" s="77">
        <f t="shared" si="18"/>
        <v>-0.80000000000000426</v>
      </c>
      <c r="E65" s="77">
        <f t="shared" si="18"/>
        <v>-5.6000000000000014</v>
      </c>
      <c r="F65" s="77">
        <f t="shared" si="18"/>
        <v>1.6000000000000014</v>
      </c>
      <c r="G65" s="77">
        <f t="shared" si="18"/>
        <v>-1.7999999999999989</v>
      </c>
      <c r="H65" s="77">
        <f t="shared" si="18"/>
        <v>0.59999999999999787</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06" priority="39" operator="equal">
      <formula>"DECREASE"</formula>
    </cfRule>
    <cfRule type="cellIs" dxfId="105" priority="40" operator="equal">
      <formula>"INCREASE"</formula>
    </cfRule>
  </conditionalFormatting>
  <conditionalFormatting sqref="B62:U66 B31:B50">
    <cfRule type="cellIs" dxfId="104" priority="38" operator="greaterThan">
      <formula>$B$51</formula>
    </cfRule>
  </conditionalFormatting>
  <conditionalFormatting sqref="C31:C50">
    <cfRule type="cellIs" dxfId="103" priority="37" operator="greaterThan">
      <formula>$C$51</formula>
    </cfRule>
  </conditionalFormatting>
  <conditionalFormatting sqref="C18:V18">
    <cfRule type="cellIs" dxfId="102" priority="36" operator="equal">
      <formula>0</formula>
    </cfRule>
  </conditionalFormatting>
  <conditionalFormatting sqref="C17:V17">
    <cfRule type="cellIs" dxfId="101" priority="35" operator="equal">
      <formula>0</formula>
    </cfRule>
  </conditionalFormatting>
  <conditionalFormatting sqref="C19:V19">
    <cfRule type="cellIs" dxfId="100" priority="34" operator="equal">
      <formula>0</formula>
    </cfRule>
  </conditionalFormatting>
  <conditionalFormatting sqref="G31:G50">
    <cfRule type="cellIs" dxfId="99" priority="33" operator="greaterThan">
      <formula>$G$51</formula>
    </cfRule>
  </conditionalFormatting>
  <conditionalFormatting sqref="H31:H50">
    <cfRule type="cellIs" dxfId="98" priority="32" operator="greaterThan">
      <formula>$H$51</formula>
    </cfRule>
  </conditionalFormatting>
  <conditionalFormatting sqref="I31:I50">
    <cfRule type="cellIs" dxfId="97" priority="31" operator="greaterThan">
      <formula>$I$51</formula>
    </cfRule>
  </conditionalFormatting>
  <conditionalFormatting sqref="K31:K50">
    <cfRule type="cellIs" dxfId="96" priority="30" operator="greaterThan">
      <formula>$K$51</formula>
    </cfRule>
  </conditionalFormatting>
  <conditionalFormatting sqref="L31:L50">
    <cfRule type="cellIs" dxfId="95" priority="29" operator="greaterThan">
      <formula>$L$51</formula>
    </cfRule>
  </conditionalFormatting>
  <conditionalFormatting sqref="M31:M50">
    <cfRule type="cellIs" dxfId="94" priority="28" operator="greaterThan">
      <formula>$M$51</formula>
    </cfRule>
  </conditionalFormatting>
  <conditionalFormatting sqref="P31:P50">
    <cfRule type="cellIs" dxfId="93" priority="27" operator="greaterThan">
      <formula>$P$51</formula>
    </cfRule>
  </conditionalFormatting>
  <conditionalFormatting sqref="R31:R50">
    <cfRule type="cellIs" dxfId="92" priority="26" operator="greaterThan">
      <formula>$R$51</formula>
    </cfRule>
  </conditionalFormatting>
  <conditionalFormatting sqref="S31:S50">
    <cfRule type="cellIs" dxfId="91" priority="25" operator="greaterThan">
      <formula>$S$51</formula>
    </cfRule>
  </conditionalFormatting>
  <conditionalFormatting sqref="T31:T50">
    <cfRule type="cellIs" dxfId="90" priority="24" operator="greaterThan">
      <formula>$T$51</formula>
    </cfRule>
  </conditionalFormatting>
  <conditionalFormatting sqref="U31:U50">
    <cfRule type="cellIs" dxfId="89" priority="23" operator="greaterThan">
      <formula>$U$51</formula>
    </cfRule>
  </conditionalFormatting>
  <conditionalFormatting sqref="C22:V22">
    <cfRule type="cellIs" dxfId="88" priority="22" operator="equal">
      <formula>0</formula>
    </cfRule>
  </conditionalFormatting>
  <conditionalFormatting sqref="C24:V24">
    <cfRule type="cellIs" dxfId="87" priority="20" operator="equal">
      <formula>"DECREASE"</formula>
    </cfRule>
    <cfRule type="cellIs" dxfId="86" priority="21" operator="equal">
      <formula>"INCREASE"</formula>
    </cfRule>
  </conditionalFormatting>
  <conditionalFormatting sqref="C23:V23">
    <cfRule type="cellIs" dxfId="85" priority="19" operator="equal">
      <formula>0</formula>
    </cfRule>
  </conditionalFormatting>
  <conditionalFormatting sqref="C21:V21">
    <cfRule type="cellIs" dxfId="84" priority="15" operator="equal">
      <formula>0</formula>
    </cfRule>
  </conditionalFormatting>
  <conditionalFormatting sqref="B66:U66">
    <cfRule type="cellIs" dxfId="83" priority="13" operator="equal">
      <formula>"UNDER"</formula>
    </cfRule>
    <cfRule type="cellIs" dxfId="82" priority="14" operator="equal">
      <formula>"OVER"</formula>
    </cfRule>
  </conditionalFormatting>
  <conditionalFormatting sqref="J31:J50">
    <cfRule type="cellIs" dxfId="81" priority="10" operator="greaterThan">
      <formula>$J$51</formula>
    </cfRule>
  </conditionalFormatting>
  <conditionalFormatting sqref="L3">
    <cfRule type="cellIs" dxfId="80" priority="6" operator="lessThan">
      <formula>30</formula>
    </cfRule>
    <cfRule type="cellIs" dxfId="79" priority="7" operator="greaterThanOrEqual">
      <formula>30</formula>
    </cfRule>
  </conditionalFormatting>
  <conditionalFormatting sqref="I3">
    <cfRule type="cellIs" dxfId="76" priority="3" operator="greaterThan">
      <formula>40000.01</formula>
    </cfRule>
  </conditionalFormatting>
  <conditionalFormatting sqref="I1">
    <cfRule type="cellIs" dxfId="4" priority="2" operator="between">
      <formula>0.1</formula>
      <formula>5</formula>
    </cfRule>
  </conditionalFormatting>
  <conditionalFormatting sqref="I2">
    <cfRule type="cellIs" dxfId="3" priority="1" operator="greaterThan">
      <formula>5000.1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topLeftCell="A10" zoomScale="90" zoomScaleNormal="90" workbookViewId="0">
      <selection activeCell="B32" sqref="B32: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1" t="s">
        <v>41</v>
      </c>
      <c r="B1" s="121"/>
      <c r="C1" s="142" t="str">
        <f>'Field data and Waste 1'!C1:D1</f>
        <v>PAN-020020</v>
      </c>
      <c r="D1" s="143"/>
      <c r="E1" s="93" t="s">
        <v>45</v>
      </c>
      <c r="F1" s="39">
        <f>'Field data and Waste 1'!F1</f>
        <v>50</v>
      </c>
      <c r="G1" s="122" t="s">
        <v>43</v>
      </c>
      <c r="H1" s="123"/>
      <c r="I1" s="120">
        <v>3.82</v>
      </c>
      <c r="J1" s="121" t="s">
        <v>153</v>
      </c>
      <c r="K1" s="121"/>
      <c r="L1" s="120">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1" t="s">
        <v>87</v>
      </c>
      <c r="B2" s="121"/>
      <c r="C2" s="144" t="str">
        <f>'Field data and Waste 1'!C2:D2</f>
        <v>KP3594VE</v>
      </c>
      <c r="D2" s="145"/>
      <c r="E2" s="93" t="s">
        <v>109</v>
      </c>
      <c r="F2" s="120" t="s">
        <v>175</v>
      </c>
      <c r="G2" s="140" t="s">
        <v>110</v>
      </c>
      <c r="H2" s="141"/>
      <c r="I2" s="120">
        <v>598</v>
      </c>
      <c r="J2" s="121" t="s">
        <v>158</v>
      </c>
      <c r="K2" s="121"/>
      <c r="L2" s="120">
        <v>0.17</v>
      </c>
      <c r="AB2" s="30" t="s">
        <v>56</v>
      </c>
      <c r="AC2" s="17"/>
      <c r="AD2" s="30" t="s">
        <v>70</v>
      </c>
      <c r="AE2" s="17"/>
      <c r="AF2" s="17"/>
      <c r="AG2" s="44" t="s">
        <v>76</v>
      </c>
      <c r="AH2" s="18"/>
      <c r="AI2" s="45" t="s">
        <v>126</v>
      </c>
      <c r="AJ2" s="46">
        <v>0</v>
      </c>
      <c r="AK2" s="47">
        <v>0</v>
      </c>
      <c r="AL2" s="10">
        <v>0</v>
      </c>
      <c r="AM2" s="11">
        <v>0</v>
      </c>
      <c r="AN2" s="11">
        <v>0</v>
      </c>
    </row>
    <row r="3" spans="1:41" ht="13" x14ac:dyDescent="0.25">
      <c r="A3" s="122" t="s">
        <v>42</v>
      </c>
      <c r="B3" s="123"/>
      <c r="C3" s="144" t="str">
        <f>'Field data and Waste 1'!C3:D3</f>
        <v>TES</v>
      </c>
      <c r="D3" s="145"/>
      <c r="E3" s="93" t="s">
        <v>108</v>
      </c>
      <c r="F3" s="31" t="s">
        <v>78</v>
      </c>
      <c r="G3" s="121" t="s">
        <v>159</v>
      </c>
      <c r="H3" s="121"/>
      <c r="I3" s="120">
        <v>31020</v>
      </c>
      <c r="J3" s="122" t="s">
        <v>154</v>
      </c>
      <c r="K3" s="123"/>
      <c r="L3" s="97">
        <f>(L1/(L2*10000))*100</f>
        <v>1.4705882352941175</v>
      </c>
      <c r="AB3" s="30" t="s">
        <v>57</v>
      </c>
      <c r="AC3" s="17"/>
      <c r="AD3" s="30" t="s">
        <v>71</v>
      </c>
      <c r="AE3" s="17"/>
      <c r="AF3" s="17"/>
      <c r="AG3" s="44" t="s">
        <v>77</v>
      </c>
      <c r="AH3" s="18"/>
      <c r="AI3" s="48" t="s">
        <v>113</v>
      </c>
      <c r="AJ3" s="49">
        <v>1.7</v>
      </c>
      <c r="AK3" s="50">
        <v>6</v>
      </c>
      <c r="AL3" s="51">
        <v>1</v>
      </c>
      <c r="AM3" s="11">
        <v>6.2</v>
      </c>
      <c r="AN3" s="11" t="s">
        <v>112</v>
      </c>
    </row>
    <row r="4" spans="1:41" ht="13" x14ac:dyDescent="0.25">
      <c r="A4" s="121" t="s">
        <v>0</v>
      </c>
      <c r="B4" s="121"/>
      <c r="C4" s="142" t="str">
        <f>'Field data and Waste 1'!C4:D4</f>
        <v>Brookhouse Farm, Hanmer, SY13 3EQ</v>
      </c>
      <c r="D4" s="143"/>
      <c r="E4" s="94" t="s">
        <v>1</v>
      </c>
      <c r="F4" s="120" t="s">
        <v>184</v>
      </c>
      <c r="G4" s="122"/>
      <c r="H4" s="123"/>
      <c r="I4" s="39"/>
      <c r="J4" s="122"/>
      <c r="K4" s="123"/>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1" t="s">
        <v>47</v>
      </c>
      <c r="B5" s="121"/>
      <c r="C5" s="142">
        <f>'Field data and Waste 1'!C5:D5</f>
        <v>0</v>
      </c>
      <c r="D5" s="143"/>
      <c r="E5" s="93"/>
      <c r="F5" s="39"/>
      <c r="G5" s="122"/>
      <c r="H5" s="123"/>
      <c r="I5" s="39"/>
      <c r="J5" s="122"/>
      <c r="K5" s="123"/>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7" t="s">
        <v>63</v>
      </c>
      <c r="B7" s="12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1" t="s">
        <v>2</v>
      </c>
      <c r="B8" s="121"/>
      <c r="C8" s="60">
        <f>'Field data and Waste 1'!C8</f>
        <v>5</v>
      </c>
      <c r="D8" s="60" t="str">
        <f>'Field data and Waste 1'!D8</f>
        <v>6 7</v>
      </c>
      <c r="E8" s="60" t="str">
        <f>'Field data and Waste 1'!E8</f>
        <v>8 9</v>
      </c>
      <c r="F8" s="60" t="str">
        <f>'Field data and Waste 1'!F8</f>
        <v>10 11</v>
      </c>
      <c r="G8" s="60">
        <f>'Field data and Waste 1'!G8</f>
        <v>14</v>
      </c>
      <c r="H8" s="60">
        <f>'Field data and Waste 1'!H8</f>
        <v>20</v>
      </c>
      <c r="I8" s="60">
        <f>'Field data and Waste 1'!I8</f>
        <v>21</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1" t="s">
        <v>3</v>
      </c>
      <c r="B9" s="121"/>
      <c r="C9" s="60">
        <f>'Field data and Waste 1'!C9</f>
        <v>1</v>
      </c>
      <c r="D9" s="60">
        <f>'Field data and Waste 1'!D9</f>
        <v>1</v>
      </c>
      <c r="E9" s="60">
        <f>'Field data and Waste 1'!E9</f>
        <v>1</v>
      </c>
      <c r="F9" s="60">
        <f>'Field data and Waste 1'!F9</f>
        <v>1</v>
      </c>
      <c r="G9" s="60">
        <f>'Field data and Waste 1'!G9</f>
        <v>1</v>
      </c>
      <c r="H9" s="60" t="str">
        <f>'Field data and Waste 1'!H9</f>
        <v xml:space="preserve">Moderate </v>
      </c>
      <c r="I9" s="60" t="str">
        <f>'Field data and Waste 1'!I9</f>
        <v>Moderate</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1" t="s">
        <v>4</v>
      </c>
      <c r="B10" s="121"/>
      <c r="C10" s="60">
        <f>'Field data and Waste 1'!C10</f>
        <v>6.1</v>
      </c>
      <c r="D10" s="60">
        <f>'Field data and Waste 1'!D10</f>
        <v>6.5</v>
      </c>
      <c r="E10" s="60">
        <f>'Field data and Waste 1'!E10</f>
        <v>6.6</v>
      </c>
      <c r="F10" s="60">
        <f>'Field data and Waste 1'!F10</f>
        <v>6</v>
      </c>
      <c r="G10" s="60">
        <f>'Field data and Waste 1'!G10</f>
        <v>6.9</v>
      </c>
      <c r="H10" s="60">
        <f>'Field data and Waste 1'!H10</f>
        <v>5.9</v>
      </c>
      <c r="I10" s="60">
        <f>'Field data and Waste 1'!I10</f>
        <v>6.3</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1" t="s">
        <v>5</v>
      </c>
      <c r="B11" s="121"/>
      <c r="C11" s="60">
        <f>'Field data and Waste 1'!C11</f>
        <v>4</v>
      </c>
      <c r="D11" s="60">
        <f>'Field data and Waste 1'!D11</f>
        <v>4</v>
      </c>
      <c r="E11" s="60">
        <f>'Field data and Waste 1'!E11</f>
        <v>3</v>
      </c>
      <c r="F11" s="60">
        <f>'Field data and Waste 1'!F11</f>
        <v>4</v>
      </c>
      <c r="G11" s="60">
        <f>'Field data and Waste 1'!G11</f>
        <v>3</v>
      </c>
      <c r="H11" s="60">
        <f>'Field data and Waste 1'!H11</f>
        <v>4</v>
      </c>
      <c r="I11" s="60">
        <f>'Field data and Waste 1'!I11</f>
        <v>3</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1" t="s">
        <v>6</v>
      </c>
      <c r="B12" s="121"/>
      <c r="C12" s="60">
        <f>'Field data and Waste 1'!C12</f>
        <v>1</v>
      </c>
      <c r="D12" s="60">
        <f>'Field data and Waste 1'!D12</f>
        <v>0</v>
      </c>
      <c r="E12" s="60">
        <f>'Field data and Waste 1'!E12</f>
        <v>0</v>
      </c>
      <c r="F12" s="60">
        <f>'Field data and Waste 1'!F12</f>
        <v>3</v>
      </c>
      <c r="G12" s="60">
        <f>'Field data and Waste 1'!G12</f>
        <v>1</v>
      </c>
      <c r="H12" s="60">
        <f>'Field data and Waste 1'!H12</f>
        <v>2</v>
      </c>
      <c r="I12" s="60">
        <f>'Field data and Waste 1'!I12</f>
        <v>1</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1" t="s">
        <v>7</v>
      </c>
      <c r="B13" s="121"/>
      <c r="C13" s="60">
        <f>'Field data and Waste 1'!C13</f>
        <v>2</v>
      </c>
      <c r="D13" s="60">
        <f>'Field data and Waste 1'!D13</f>
        <v>1</v>
      </c>
      <c r="E13" s="60">
        <f>'Field data and Waste 1'!E13</f>
        <v>2</v>
      </c>
      <c r="F13" s="60">
        <f>'Field data and Waste 1'!F13</f>
        <v>2</v>
      </c>
      <c r="G13" s="60">
        <f>'Field data and Waste 1'!G13</f>
        <v>3</v>
      </c>
      <c r="H13" s="60">
        <f>'Field data and Waste 1'!H13</f>
        <v>3</v>
      </c>
      <c r="I13" s="60">
        <f>'Field data and Waste 1'!I13</f>
        <v>3</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3" t="s">
        <v>8</v>
      </c>
      <c r="B14" s="133"/>
      <c r="C14" s="102" t="str">
        <f>'Field data and Waste 1'!C14</f>
        <v>Maize- Silage (30% DM)</v>
      </c>
      <c r="D14" s="102" t="str">
        <f>'Field data and Waste 1'!D14</f>
        <v>Spring wheat/barley</v>
      </c>
      <c r="E14" s="102" t="str">
        <f>'Field data and Waste 1'!E14</f>
        <v>Maize- Silage (30% DM)</v>
      </c>
      <c r="F14" s="102" t="str">
        <f>'Field data and Waste 1'!F14</f>
        <v>Spring wheat/barley</v>
      </c>
      <c r="G14" s="102" t="str">
        <f>'Field data and Waste 1'!G14</f>
        <v xml:space="preserve">Winter wheat- grain only </v>
      </c>
      <c r="H14" s="102" t="str">
        <f>'Field data and Waste 1'!H14</f>
        <v xml:space="preserve">Grass Silage (25% DM) </v>
      </c>
      <c r="I14" s="102" t="str">
        <f>'Field data and Waste 1'!I14</f>
        <v xml:space="preserve">Grass Silage (25% DM) </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2" t="s">
        <v>9</v>
      </c>
      <c r="B15" s="132"/>
      <c r="C15" s="60">
        <f>'Field data and Waste 1'!C15</f>
        <v>40</v>
      </c>
      <c r="D15" s="60">
        <f>'Field data and Waste 1'!D15</f>
        <v>5.5</v>
      </c>
      <c r="E15" s="60">
        <f>'Field data and Waste 1'!E15</f>
        <v>40</v>
      </c>
      <c r="F15" s="60">
        <f>'Field data and Waste 1'!F15</f>
        <v>5.5</v>
      </c>
      <c r="G15" s="60">
        <f>'Field data and Waste 1'!G15</f>
        <v>8</v>
      </c>
      <c r="H15" s="60">
        <f>'Field data and Waste 1'!H15</f>
        <v>38</v>
      </c>
      <c r="I15" s="60">
        <f>'Field data and Waste 1'!I15</f>
        <v>38</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4" t="s">
        <v>44</v>
      </c>
      <c r="B16" s="134"/>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4" t="s">
        <v>69</v>
      </c>
      <c r="B17" s="125"/>
      <c r="C17" s="28">
        <f>(VLOOKUP(C$14,$AI2:$AK26,2,FALSE))*C$15</f>
        <v>56</v>
      </c>
      <c r="D17" s="28">
        <f t="shared" ref="D17:V17" si="0">(VLOOKUP(D$14,$AI2:$AK26,2,FALSE))*D$15</f>
        <v>46.75</v>
      </c>
      <c r="E17" s="28">
        <f t="shared" si="0"/>
        <v>56</v>
      </c>
      <c r="F17" s="28">
        <f t="shared" si="0"/>
        <v>46.75</v>
      </c>
      <c r="G17" s="28">
        <f t="shared" si="0"/>
        <v>52</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6" t="s">
        <v>23</v>
      </c>
      <c r="B18" s="127"/>
      <c r="C18" s="16">
        <f>$D31</f>
        <v>115.12275</v>
      </c>
      <c r="D18" s="16">
        <f>$D32</f>
        <v>115.12275</v>
      </c>
      <c r="E18" s="16">
        <f>$D33</f>
        <v>115.12275</v>
      </c>
      <c r="F18" s="16">
        <f>$D34</f>
        <v>115.12275</v>
      </c>
      <c r="G18" s="16">
        <f>$D35</f>
        <v>115.12275</v>
      </c>
      <c r="H18" s="16">
        <f>$D36</f>
        <v>115.12275</v>
      </c>
      <c r="I18" s="16">
        <f>$D37</f>
        <v>115.12275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6" t="s">
        <v>90</v>
      </c>
      <c r="B19" s="127"/>
      <c r="C19" s="16">
        <f>C18-C17</f>
        <v>59.122749999999996</v>
      </c>
      <c r="D19" s="16">
        <f t="shared" ref="D19:V19" si="1">D18-D17</f>
        <v>68.372749999999996</v>
      </c>
      <c r="E19" s="16">
        <f t="shared" si="1"/>
        <v>59.122749999999996</v>
      </c>
      <c r="F19" s="16">
        <f t="shared" si="1"/>
        <v>68.372749999999996</v>
      </c>
      <c r="G19" s="16">
        <f t="shared" si="1"/>
        <v>63.122749999999996</v>
      </c>
      <c r="H19" s="16">
        <f t="shared" si="1"/>
        <v>50.522750000000002</v>
      </c>
      <c r="I19" s="16">
        <f t="shared" si="1"/>
        <v>50.522750000000002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8" t="s">
        <v>91</v>
      </c>
      <c r="B20" s="129"/>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4" t="s">
        <v>88</v>
      </c>
      <c r="B21" s="125"/>
      <c r="C21" s="28">
        <f>(VLOOKUP(C$14,$AI2:$AK26,3,FALSE))*C$15</f>
        <v>176</v>
      </c>
      <c r="D21" s="28">
        <f t="shared" ref="D21:V21" si="2">(VLOOKUP(D$14,$AI2:$AK26,3,FALSE))*D$15</f>
        <v>66</v>
      </c>
      <c r="E21" s="28">
        <f t="shared" si="2"/>
        <v>176</v>
      </c>
      <c r="F21" s="28">
        <f t="shared" si="2"/>
        <v>66</v>
      </c>
      <c r="G21" s="28">
        <f t="shared" si="2"/>
        <v>44</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6" t="s">
        <v>89</v>
      </c>
      <c r="B22" s="127"/>
      <c r="C22" s="16">
        <f>$E31</f>
        <v>62.057500000000012</v>
      </c>
      <c r="D22" s="16">
        <f>$E32</f>
        <v>62.057500000000012</v>
      </c>
      <c r="E22" s="16">
        <f>$E33</f>
        <v>62.057500000000012</v>
      </c>
      <c r="F22" s="16">
        <f>$E34</f>
        <v>62.057500000000012</v>
      </c>
      <c r="G22" s="16">
        <f>$E35</f>
        <v>62.057500000000012</v>
      </c>
      <c r="H22" s="16">
        <f>$E36</f>
        <v>62.057500000000012</v>
      </c>
      <c r="I22" s="16">
        <f>$E37</f>
        <v>62.057500000000012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6" t="s">
        <v>92</v>
      </c>
      <c r="B23" s="127"/>
      <c r="C23" s="16">
        <f>C22-C21</f>
        <v>-113.9425</v>
      </c>
      <c r="D23" s="16">
        <f t="shared" ref="D23:V23" si="3">D22-D21</f>
        <v>-3.9424999999999883</v>
      </c>
      <c r="E23" s="16">
        <f t="shared" si="3"/>
        <v>-113.9425</v>
      </c>
      <c r="F23" s="16">
        <f t="shared" si="3"/>
        <v>-3.9424999999999883</v>
      </c>
      <c r="G23" s="16">
        <f t="shared" si="3"/>
        <v>18.057500000000012</v>
      </c>
      <c r="H23" s="16">
        <f t="shared" si="3"/>
        <v>-165.9425</v>
      </c>
      <c r="I23" s="16">
        <f t="shared" si="3"/>
        <v>-165.9425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INCREASE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c r="S27" s="107"/>
      <c r="T27" s="107"/>
      <c r="U27" s="107"/>
    </row>
    <row r="28" spans="1:40" s="57" customFormat="1" x14ac:dyDescent="0.35">
      <c r="A28" s="108"/>
      <c r="B28" s="24">
        <v>7.29</v>
      </c>
      <c r="C28" s="15">
        <v>0.17</v>
      </c>
      <c r="D28" s="15">
        <v>201</v>
      </c>
      <c r="E28" s="15">
        <v>206</v>
      </c>
      <c r="F28" s="15">
        <v>52.5</v>
      </c>
      <c r="G28" s="15">
        <v>0.35499999999999998</v>
      </c>
      <c r="H28" s="15">
        <v>2.33</v>
      </c>
      <c r="I28" s="15">
        <v>0.5</v>
      </c>
      <c r="J28" s="15">
        <v>0.01</v>
      </c>
      <c r="K28" s="23">
        <v>0.05</v>
      </c>
      <c r="L28" s="15">
        <v>0.214</v>
      </c>
      <c r="M28" s="15">
        <v>0.51400000000000001</v>
      </c>
      <c r="N28" s="15"/>
      <c r="O28" s="15"/>
      <c r="P28" s="15">
        <v>414</v>
      </c>
      <c r="Q28" s="15">
        <v>229</v>
      </c>
      <c r="R28" s="15"/>
      <c r="S28" s="15"/>
      <c r="T28" s="15"/>
      <c r="U28" s="15"/>
    </row>
    <row r="29" spans="1:40" s="7" customFormat="1" ht="28" x14ac:dyDescent="0.35">
      <c r="A29" s="13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5</v>
      </c>
      <c r="B31" s="15">
        <v>250</v>
      </c>
      <c r="C31" s="77">
        <f>IF(C$27="%w/w SAR",((C$28*10)*$B31),IF(C$27="%w/w DM",(((C$28*10)*($B$28/100))*$B31),IF(C$27="kg/t SAR",(C$28*$B31),IF(C$27="kg/t DM",((C$28*($B$28/100))*$B31),IF(C$27="mg/kg SAR",((C$28*0.001)*$B31),IF(C$27="mg/kg DM",(((C$28*0.001)*($B$28/100))*$B31),0))))))</f>
        <v>425.00000000000006</v>
      </c>
      <c r="D31" s="77">
        <f>(IF(D$27="%w/w SAR",((D$28*10)*$B31),IF(D$27="%w/w DM",(((D$28*10)*($B$28/100))*$B31),IF(D$27="kg/t SAR",(D$28*$B31),IF(D$27="kg/t DM",((D$28*($B$28/100))*$B31),IF(D$27="mg/kg SAR",((D$28*0.001)*$B31),IF(D$27="mg/kg DM",(((D$28*0.001)*($B$28/100))*$B31),"0")))))))*2.291</f>
        <v>115.12275</v>
      </c>
      <c r="E31" s="77">
        <f>(IF(E$27="%w/w SAR",((E$28*10)*$B31),IF(E$27="%w/w DM",(((E$28*10)*($B$28/100))*$B31),IF(E$27="kg/t SAR",(E$28*$B31),IF(E$27="kg/t DM",((E$28*($B$28/100))*$B31),IF(E$27="mg/kg SAR",((E$28*0.001)*$B31),IF(E$27="mg/kg DM",(((E$28*0.001)*($B$28/100))*$B31),"0")))))))*1.205</f>
        <v>62.057500000000012</v>
      </c>
      <c r="F31" s="77">
        <f>(IF(F$27="%w/w SAR",((F$28*10)*$B31),IF(F$27="%w/w DM",(((F$28*10)*($B$28/100))*$B31),IF(F$27="kg/t SAR",(F$28*$B31),IF(F$27="kg/t DM",((F$28*($B$28/100))*$B31),IF(F$27="mg/kg SAR",((F$28*0.001)*$B31),IF(F$27="mg/kg DM",(((F$28*0.001)*($B$28/100))*$B31),"0")))))))*1.658</f>
        <v>21.76125</v>
      </c>
      <c r="G31" s="77">
        <f t="shared" ref="G31:P46" si="5">IF(G$27="%w/w SAR",((G$28*10)*$B31),IF(G$27="%w/w DM",(((G$28*10)*($B$28/100))*$B31),IF(G$27="kg/t SAR",(G$28*$B31),IF(G$27="kg/t DM",((G$28*($B$28/100))*$B31),IF(G$27="mg/kg SAR",((G$28*0.001)*$B31),IF(G$27="mg/kg DM",(((G$28*0.001)*($B$28/100))*$B31),0))))))</f>
        <v>8.8749999999999996E-2</v>
      </c>
      <c r="H31" s="77">
        <f t="shared" si="5"/>
        <v>0.58250000000000002</v>
      </c>
      <c r="I31" s="77">
        <f t="shared" si="5"/>
        <v>0.125</v>
      </c>
      <c r="J31" s="77">
        <f t="shared" si="5"/>
        <v>2.5000000000000001E-3</v>
      </c>
      <c r="K31" s="77">
        <f t="shared" si="5"/>
        <v>1.2500000000000001E-2</v>
      </c>
      <c r="L31" s="77">
        <f t="shared" si="5"/>
        <v>5.3499999999999999E-2</v>
      </c>
      <c r="M31" s="77">
        <f t="shared" si="5"/>
        <v>0.1285</v>
      </c>
      <c r="N31" s="77">
        <f t="shared" si="5"/>
        <v>0</v>
      </c>
      <c r="O31" s="77">
        <f t="shared" si="5"/>
        <v>0</v>
      </c>
      <c r="P31" s="77">
        <f t="shared" si="5"/>
        <v>103.50000000000001</v>
      </c>
      <c r="Q31" s="77">
        <f>(IF(Q$27="%w/w SAR",((Q$28*10)*$B31),IF(Q$27="%w/w DM",(((Q$28*10)*($B$28/100))*$B31),IF(Q$27="kg/t SAR",(Q$28*$B31),IF(Q$27="kg/t DM",((Q$28*($B$28/100))*$B31),IF(Q$27="mg/kg SAR",((Q$28*0.001)*$B31),IF(Q$27="mg/kg DM",(((Q$28*0.001)*($B$28/100))*$B31),0)))))))*2.5</f>
        <v>143.125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6 7</v>
      </c>
      <c r="B32" s="15">
        <v>250</v>
      </c>
      <c r="C32" s="77">
        <f t="shared" ref="C32:C50" si="6">IF(C$27="%w/w SAR",((C$28*10)*$B32),IF(C$27="%w/w DM",(((C$28*10)*($B$28/100))*$B32),IF(C$27="kg/t SAR",(C$28*$B32),IF(C$27="kg/t DM",((C$28*($B$28/100))*$B32),IF(C$27="mg/kg SAR",((C$28*0.001)*$B32),IF(C$27="mg/kg DM",(((C$28*0.001)*($B$28/100))*$B32),0))))))</f>
        <v>425.00000000000006</v>
      </c>
      <c r="D32" s="77">
        <f t="shared" ref="D32:D50" si="7">(IF(D$27="%w/w SAR",((D$28*10)*$B32),IF(D$27="%w/w DM",(((D$28*10)*($B$28/100))*$B32),IF(D$27="kg/t SAR",(D$28*$B32),IF(D$27="kg/t DM",((D$28*($B$28/100))*$B32),IF(D$27="mg/kg SAR",((D$28*0.001)*$B32),IF(D$27="mg/kg DM",(((D$28*0.001)*($B$28/100))*$B32),"0")))))))*2.291</f>
        <v>115.12275</v>
      </c>
      <c r="E32" s="77">
        <f t="shared" ref="E32:E50" si="8">(IF(E$27="%w/w SAR",((E$28*10)*$B32),IF(E$27="%w/w DM",(((E$28*10)*($B$28/100))*$B32),IF(E$27="kg/t SAR",(E$28*$B32),IF(E$27="kg/t DM",((E$28*($B$28/100))*$B32),IF(E$27="mg/kg SAR",((E$28*0.001)*$B32),IF(E$27="mg/kg DM",(((E$28*0.001)*($B$28/100))*$B32),"0")))))))*1.205</f>
        <v>62.057500000000012</v>
      </c>
      <c r="F32" s="77">
        <f t="shared" ref="F32:F50" si="9">(IF(F$27="%w/w SAR",((F$28*10)*$B32),IF(F$27="%w/w DM",(((F$28*10)*($B$28/100))*$B32),IF(F$27="kg/t SAR",(F$28*$B32),IF(F$27="kg/t DM",((F$28*($B$28/100))*$B32),IF(F$27="mg/kg SAR",((F$28*0.001)*$B32),IF(F$27="mg/kg DM",(((F$28*0.001)*($B$28/100))*$B32),"0")))))))*1.658</f>
        <v>21.76125</v>
      </c>
      <c r="G32" s="77">
        <f t="shared" si="5"/>
        <v>8.8749999999999996E-2</v>
      </c>
      <c r="H32" s="77">
        <f t="shared" si="5"/>
        <v>0.58250000000000002</v>
      </c>
      <c r="I32" s="77">
        <f t="shared" si="5"/>
        <v>0.125</v>
      </c>
      <c r="J32" s="77">
        <f t="shared" si="5"/>
        <v>2.5000000000000001E-3</v>
      </c>
      <c r="K32" s="77">
        <f t="shared" si="5"/>
        <v>1.2500000000000001E-2</v>
      </c>
      <c r="L32" s="77">
        <f t="shared" si="5"/>
        <v>5.3499999999999999E-2</v>
      </c>
      <c r="M32" s="77">
        <f t="shared" si="5"/>
        <v>0.1285</v>
      </c>
      <c r="N32" s="77">
        <f t="shared" si="5"/>
        <v>0</v>
      </c>
      <c r="O32" s="77">
        <f t="shared" si="5"/>
        <v>0</v>
      </c>
      <c r="P32" s="77">
        <f t="shared" si="5"/>
        <v>103.50000000000001</v>
      </c>
      <c r="Q32" s="77">
        <f t="shared" ref="Q32:Q50" si="10">(IF(Q$27="%w/w SAR",((Q$28*10)*$B32),IF(Q$27="%w/w DM",(((Q$28*10)*($B$28/100))*$B32),IF(Q$27="kg/t SAR",(Q$28*$B32),IF(Q$27="kg/t DM",((Q$28*($B$28/100))*$B32),IF(Q$27="mg/kg SAR",((Q$28*0.001)*$B32),IF(Q$27="mg/kg DM",(((Q$28*0.001)*($B$28/100))*$B32),0)))))))*2.5</f>
        <v>143.125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8 9</v>
      </c>
      <c r="B33" s="15">
        <v>250</v>
      </c>
      <c r="C33" s="77">
        <f t="shared" si="6"/>
        <v>425.00000000000006</v>
      </c>
      <c r="D33" s="77">
        <f t="shared" si="7"/>
        <v>115.12275</v>
      </c>
      <c r="E33" s="77">
        <f t="shared" si="8"/>
        <v>62.057500000000012</v>
      </c>
      <c r="F33" s="77">
        <f t="shared" si="9"/>
        <v>21.76125</v>
      </c>
      <c r="G33" s="77">
        <f t="shared" si="5"/>
        <v>8.8749999999999996E-2</v>
      </c>
      <c r="H33" s="77">
        <f t="shared" si="5"/>
        <v>0.58250000000000002</v>
      </c>
      <c r="I33" s="77">
        <f t="shared" si="5"/>
        <v>0.125</v>
      </c>
      <c r="J33" s="77">
        <f t="shared" si="5"/>
        <v>2.5000000000000001E-3</v>
      </c>
      <c r="K33" s="77">
        <f t="shared" si="5"/>
        <v>1.2500000000000001E-2</v>
      </c>
      <c r="L33" s="77">
        <f t="shared" si="5"/>
        <v>5.3499999999999999E-2</v>
      </c>
      <c r="M33" s="77">
        <f t="shared" si="5"/>
        <v>0.1285</v>
      </c>
      <c r="N33" s="77">
        <f t="shared" si="5"/>
        <v>0</v>
      </c>
      <c r="O33" s="77">
        <f t="shared" si="5"/>
        <v>0</v>
      </c>
      <c r="P33" s="77">
        <f t="shared" si="5"/>
        <v>103.50000000000001</v>
      </c>
      <c r="Q33" s="77">
        <f t="shared" si="10"/>
        <v>143.125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10 11</v>
      </c>
      <c r="B34" s="15">
        <v>250</v>
      </c>
      <c r="C34" s="77">
        <f t="shared" si="6"/>
        <v>425.00000000000006</v>
      </c>
      <c r="D34" s="77">
        <f t="shared" si="7"/>
        <v>115.12275</v>
      </c>
      <c r="E34" s="77">
        <f t="shared" si="8"/>
        <v>62.057500000000012</v>
      </c>
      <c r="F34" s="77">
        <f t="shared" si="9"/>
        <v>21.76125</v>
      </c>
      <c r="G34" s="77">
        <f t="shared" si="5"/>
        <v>8.8749999999999996E-2</v>
      </c>
      <c r="H34" s="77">
        <f t="shared" si="5"/>
        <v>0.58250000000000002</v>
      </c>
      <c r="I34" s="77">
        <f t="shared" si="5"/>
        <v>0.125</v>
      </c>
      <c r="J34" s="77">
        <f t="shared" si="5"/>
        <v>2.5000000000000001E-3</v>
      </c>
      <c r="K34" s="77">
        <f t="shared" si="5"/>
        <v>1.2500000000000001E-2</v>
      </c>
      <c r="L34" s="77">
        <f t="shared" si="5"/>
        <v>5.3499999999999999E-2</v>
      </c>
      <c r="M34" s="77">
        <f t="shared" si="5"/>
        <v>0.1285</v>
      </c>
      <c r="N34" s="77">
        <f t="shared" si="5"/>
        <v>0</v>
      </c>
      <c r="O34" s="77">
        <f t="shared" si="5"/>
        <v>0</v>
      </c>
      <c r="P34" s="77">
        <f t="shared" si="5"/>
        <v>103.50000000000001</v>
      </c>
      <c r="Q34" s="77">
        <f t="shared" si="10"/>
        <v>143.125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14</v>
      </c>
      <c r="B35" s="15">
        <v>250</v>
      </c>
      <c r="C35" s="77">
        <f t="shared" si="6"/>
        <v>425.00000000000006</v>
      </c>
      <c r="D35" s="77">
        <f t="shared" si="7"/>
        <v>115.12275</v>
      </c>
      <c r="E35" s="77">
        <f t="shared" si="8"/>
        <v>62.057500000000012</v>
      </c>
      <c r="F35" s="77">
        <f t="shared" si="9"/>
        <v>21.76125</v>
      </c>
      <c r="G35" s="77">
        <f t="shared" si="5"/>
        <v>8.8749999999999996E-2</v>
      </c>
      <c r="H35" s="77">
        <f t="shared" si="5"/>
        <v>0.58250000000000002</v>
      </c>
      <c r="I35" s="77">
        <f t="shared" si="5"/>
        <v>0.125</v>
      </c>
      <c r="J35" s="77">
        <f t="shared" si="5"/>
        <v>2.5000000000000001E-3</v>
      </c>
      <c r="K35" s="77">
        <f t="shared" si="5"/>
        <v>1.2500000000000001E-2</v>
      </c>
      <c r="L35" s="77">
        <f t="shared" si="5"/>
        <v>5.3499999999999999E-2</v>
      </c>
      <c r="M35" s="77">
        <f t="shared" si="5"/>
        <v>0.1285</v>
      </c>
      <c r="N35" s="77">
        <f t="shared" si="5"/>
        <v>0</v>
      </c>
      <c r="O35" s="77">
        <f t="shared" si="5"/>
        <v>0</v>
      </c>
      <c r="P35" s="77">
        <f t="shared" si="5"/>
        <v>103.50000000000001</v>
      </c>
      <c r="Q35" s="77">
        <f t="shared" si="10"/>
        <v>143.125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20</v>
      </c>
      <c r="B36" s="15">
        <v>250</v>
      </c>
      <c r="C36" s="77">
        <f t="shared" si="6"/>
        <v>425.00000000000006</v>
      </c>
      <c r="D36" s="77">
        <f t="shared" si="7"/>
        <v>115.12275</v>
      </c>
      <c r="E36" s="77">
        <f t="shared" si="8"/>
        <v>62.057500000000012</v>
      </c>
      <c r="F36" s="77">
        <f t="shared" si="9"/>
        <v>21.76125</v>
      </c>
      <c r="G36" s="77">
        <f t="shared" si="5"/>
        <v>8.8749999999999996E-2</v>
      </c>
      <c r="H36" s="77">
        <f t="shared" si="5"/>
        <v>0.58250000000000002</v>
      </c>
      <c r="I36" s="77">
        <f t="shared" si="5"/>
        <v>0.125</v>
      </c>
      <c r="J36" s="77">
        <f t="shared" si="5"/>
        <v>2.5000000000000001E-3</v>
      </c>
      <c r="K36" s="77">
        <f t="shared" si="5"/>
        <v>1.2500000000000001E-2</v>
      </c>
      <c r="L36" s="77">
        <f t="shared" si="5"/>
        <v>5.3499999999999999E-2</v>
      </c>
      <c r="M36" s="77">
        <f t="shared" si="5"/>
        <v>0.1285</v>
      </c>
      <c r="N36" s="77">
        <f t="shared" si="5"/>
        <v>0</v>
      </c>
      <c r="O36" s="77">
        <f t="shared" si="5"/>
        <v>0</v>
      </c>
      <c r="P36" s="77">
        <f t="shared" si="5"/>
        <v>103.50000000000001</v>
      </c>
      <c r="Q36" s="77">
        <f t="shared" si="10"/>
        <v>143.125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21</v>
      </c>
      <c r="B37" s="15">
        <v>250</v>
      </c>
      <c r="C37" s="77">
        <f t="shared" si="6"/>
        <v>425.00000000000006</v>
      </c>
      <c r="D37" s="77">
        <f t="shared" si="7"/>
        <v>115.12275</v>
      </c>
      <c r="E37" s="77">
        <f t="shared" si="8"/>
        <v>62.057500000000012</v>
      </c>
      <c r="F37" s="77">
        <f t="shared" si="9"/>
        <v>21.76125</v>
      </c>
      <c r="G37" s="77">
        <f t="shared" si="5"/>
        <v>8.8749999999999996E-2</v>
      </c>
      <c r="H37" s="77">
        <f t="shared" si="5"/>
        <v>0.58250000000000002</v>
      </c>
      <c r="I37" s="77">
        <f t="shared" si="5"/>
        <v>0.125</v>
      </c>
      <c r="J37" s="77">
        <f t="shared" si="5"/>
        <v>2.5000000000000001E-3</v>
      </c>
      <c r="K37" s="77">
        <f t="shared" si="5"/>
        <v>1.2500000000000001E-2</v>
      </c>
      <c r="L37" s="77">
        <f t="shared" si="5"/>
        <v>5.3499999999999999E-2</v>
      </c>
      <c r="M37" s="77">
        <f t="shared" si="5"/>
        <v>0.1285</v>
      </c>
      <c r="N37" s="77">
        <f t="shared" si="5"/>
        <v>0</v>
      </c>
      <c r="O37" s="77">
        <f t="shared" si="5"/>
        <v>0</v>
      </c>
      <c r="P37" s="77">
        <f t="shared" si="5"/>
        <v>103.50000000000001</v>
      </c>
      <c r="Q37" s="77">
        <f t="shared" si="10"/>
        <v>143.125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5</v>
      </c>
      <c r="C57" s="8" t="str">
        <f t="shared" ref="C57:U57" si="13">D8</f>
        <v>6 7</v>
      </c>
      <c r="D57" s="8" t="str">
        <f t="shared" si="13"/>
        <v>8 9</v>
      </c>
      <c r="E57" s="8" t="str">
        <f t="shared" si="13"/>
        <v>10 11</v>
      </c>
      <c r="F57" s="8">
        <f t="shared" si="13"/>
        <v>14</v>
      </c>
      <c r="G57" s="8">
        <f t="shared" si="13"/>
        <v>20</v>
      </c>
      <c r="H57" s="8">
        <f t="shared" si="13"/>
        <v>21</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Arable</v>
      </c>
      <c r="G58" s="13" t="str">
        <f>H16&amp;" I "&amp;(VLOOKUP(H14,Table2456[],6,FALSE))</f>
        <v>Medium/Clay I Grass</v>
      </c>
      <c r="H58" s="13" t="str">
        <f>I16&amp;" I "&amp;(VLOOKUP(I14,Table2456[],6,FALSE))</f>
        <v>Medium/Clay I Grass</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6.7</v>
      </c>
      <c r="D59" s="76">
        <f>VLOOKUP(E$14,Table2456[],5,FALSE)</f>
        <v>6.7</v>
      </c>
      <c r="E59" s="76">
        <f>VLOOKUP(F$14,Table2456[],5,FALSE)</f>
        <v>6.7</v>
      </c>
      <c r="F59" s="76">
        <f>VLOOKUP(G$14,Table2456[],5,FALSE)</f>
        <v>6.7</v>
      </c>
      <c r="G59" s="76">
        <f>VLOOKUP(H$14,Table2456[],5,FALSE)</f>
        <v>6.2</v>
      </c>
      <c r="H59" s="76">
        <f>VLOOKUP(I$14,Table2456[],5,FALSE)</f>
        <v>6.2</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6.1</v>
      </c>
      <c r="C60" s="76">
        <f t="shared" ref="C60:U60" si="14">D10</f>
        <v>6.5</v>
      </c>
      <c r="D60" s="76">
        <f t="shared" si="14"/>
        <v>6.6</v>
      </c>
      <c r="E60" s="76">
        <f t="shared" si="14"/>
        <v>6</v>
      </c>
      <c r="F60" s="76">
        <f t="shared" si="14"/>
        <v>6.9</v>
      </c>
      <c r="G60" s="76">
        <f t="shared" si="14"/>
        <v>5.9</v>
      </c>
      <c r="H60" s="76">
        <f t="shared" si="14"/>
        <v>6.3</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8</v>
      </c>
      <c r="E61" s="76">
        <f t="shared" si="15"/>
        <v>8</v>
      </c>
      <c r="F61" s="76">
        <f t="shared" si="15"/>
        <v>8</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4.8000000000000043</v>
      </c>
      <c r="C64" s="77">
        <f t="shared" ref="C64:U64" si="17">(C59-C60)*C61</f>
        <v>1.6000000000000014</v>
      </c>
      <c r="D64" s="77">
        <f t="shared" si="17"/>
        <v>0.80000000000000426</v>
      </c>
      <c r="E64" s="77">
        <f t="shared" si="17"/>
        <v>5.6000000000000014</v>
      </c>
      <c r="F64" s="77">
        <f t="shared" si="17"/>
        <v>-1.6000000000000014</v>
      </c>
      <c r="G64" s="77">
        <f t="shared" si="17"/>
        <v>1.7999999999999989</v>
      </c>
      <c r="H64" s="77">
        <f t="shared" si="17"/>
        <v>-0.59999999999999787</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-4.8000000000000043</v>
      </c>
      <c r="C65" s="77">
        <f t="shared" ref="C65:U65" si="18">C63-C64</f>
        <v>-1.6000000000000014</v>
      </c>
      <c r="D65" s="77">
        <f t="shared" si="18"/>
        <v>-0.80000000000000426</v>
      </c>
      <c r="E65" s="77">
        <f t="shared" si="18"/>
        <v>-5.6000000000000014</v>
      </c>
      <c r="F65" s="77">
        <f t="shared" si="18"/>
        <v>1.6000000000000014</v>
      </c>
      <c r="G65" s="77">
        <f t="shared" si="18"/>
        <v>-1.7999999999999989</v>
      </c>
      <c r="H65" s="77">
        <f t="shared" si="18"/>
        <v>0.59999999999999787</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OVER</v>
      </c>
      <c r="G66" s="78" t="str">
        <f t="shared" si="19"/>
        <v>UNDER</v>
      </c>
      <c r="H66" s="78" t="str">
        <f t="shared" si="19"/>
        <v>OVER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64" priority="40" operator="equal">
      <formula>"DECREASE"</formula>
    </cfRule>
    <cfRule type="cellIs" dxfId="63" priority="41" operator="equal">
      <formula>"INCREASE"</formula>
    </cfRule>
  </conditionalFormatting>
  <conditionalFormatting sqref="B62:U66 B31:B50">
    <cfRule type="cellIs" dxfId="62" priority="39" operator="greaterThan">
      <formula>$B$51</formula>
    </cfRule>
  </conditionalFormatting>
  <conditionalFormatting sqref="C31:C50">
    <cfRule type="cellIs" dxfId="61" priority="38" operator="greaterThan">
      <formula>$C$51</formula>
    </cfRule>
  </conditionalFormatting>
  <conditionalFormatting sqref="C18:V18">
    <cfRule type="cellIs" dxfId="60" priority="37" operator="equal">
      <formula>0</formula>
    </cfRule>
  </conditionalFormatting>
  <conditionalFormatting sqref="C17:V17">
    <cfRule type="cellIs" dxfId="59" priority="36" operator="equal">
      <formula>0</formula>
    </cfRule>
  </conditionalFormatting>
  <conditionalFormatting sqref="C19:V19">
    <cfRule type="cellIs" dxfId="58" priority="35" operator="equal">
      <formula>0</formula>
    </cfRule>
  </conditionalFormatting>
  <conditionalFormatting sqref="G31:G50">
    <cfRule type="cellIs" dxfId="57" priority="34" operator="greaterThan">
      <formula>$G$51</formula>
    </cfRule>
  </conditionalFormatting>
  <conditionalFormatting sqref="H31:H50">
    <cfRule type="cellIs" dxfId="56" priority="33" operator="greaterThan">
      <formula>$H$51</formula>
    </cfRule>
  </conditionalFormatting>
  <conditionalFormatting sqref="I31:I50">
    <cfRule type="cellIs" dxfId="55" priority="32" operator="greaterThan">
      <formula>$I$51</formula>
    </cfRule>
  </conditionalFormatting>
  <conditionalFormatting sqref="K31:K50">
    <cfRule type="cellIs" dxfId="54" priority="31" operator="greaterThan">
      <formula>$K$51</formula>
    </cfRule>
  </conditionalFormatting>
  <conditionalFormatting sqref="L31:L50">
    <cfRule type="cellIs" dxfId="53" priority="30" operator="greaterThan">
      <formula>$L$51</formula>
    </cfRule>
  </conditionalFormatting>
  <conditionalFormatting sqref="M31:M50">
    <cfRule type="cellIs" dxfId="52" priority="29" operator="greaterThan">
      <formula>$M$51</formula>
    </cfRule>
  </conditionalFormatting>
  <conditionalFormatting sqref="P31:P50">
    <cfRule type="cellIs" dxfId="51" priority="28" operator="greaterThan">
      <formula>$P$51</formula>
    </cfRule>
  </conditionalFormatting>
  <conditionalFormatting sqref="R31:R50">
    <cfRule type="cellIs" dxfId="50" priority="27" operator="greaterThan">
      <formula>$R$51</formula>
    </cfRule>
  </conditionalFormatting>
  <conditionalFormatting sqref="S31:S50">
    <cfRule type="cellIs" dxfId="49" priority="26" operator="greaterThan">
      <formula>$S$51</formula>
    </cfRule>
  </conditionalFormatting>
  <conditionalFormatting sqref="T31:T50">
    <cfRule type="cellIs" dxfId="48" priority="25" operator="greaterThan">
      <formula>$T$51</formula>
    </cfRule>
  </conditionalFormatting>
  <conditionalFormatting sqref="U31:U50">
    <cfRule type="cellIs" dxfId="47" priority="24" operator="greaterThan">
      <formula>$U$51</formula>
    </cfRule>
  </conditionalFormatting>
  <conditionalFormatting sqref="C22:V22">
    <cfRule type="cellIs" dxfId="46" priority="23" operator="equal">
      <formula>0</formula>
    </cfRule>
  </conditionalFormatting>
  <conditionalFormatting sqref="C24:V24">
    <cfRule type="cellIs" dxfId="45" priority="21" operator="equal">
      <formula>"DECREASE"</formula>
    </cfRule>
    <cfRule type="cellIs" dxfId="44" priority="22" operator="equal">
      <formula>"INCREASE"</formula>
    </cfRule>
  </conditionalFormatting>
  <conditionalFormatting sqref="C23:V23">
    <cfRule type="cellIs" dxfId="43" priority="20" operator="equal">
      <formula>0</formula>
    </cfRule>
  </conditionalFormatting>
  <conditionalFormatting sqref="C21:V21">
    <cfRule type="cellIs" dxfId="42" priority="16" operator="equal">
      <formula>0</formula>
    </cfRule>
  </conditionalFormatting>
  <conditionalFormatting sqref="B66:U66">
    <cfRule type="cellIs" dxfId="41" priority="14" operator="equal">
      <formula>"UNDER"</formula>
    </cfRule>
    <cfRule type="cellIs" dxfId="40" priority="15" operator="equal">
      <formula>"OVER"</formula>
    </cfRule>
  </conditionalFormatting>
  <conditionalFormatting sqref="J31:J50">
    <cfRule type="cellIs" dxfId="39" priority="11" operator="greaterThan">
      <formula>$J$51</formula>
    </cfRule>
  </conditionalFormatting>
  <conditionalFormatting sqref="L3">
    <cfRule type="cellIs" dxfId="38" priority="7" operator="lessThan">
      <formula>30</formula>
    </cfRule>
    <cfRule type="cellIs" dxfId="37" priority="8" operator="greaterThanOrEqual">
      <formula>30</formula>
    </cfRule>
  </conditionalFormatting>
  <conditionalFormatting sqref="I1">
    <cfRule type="cellIs" dxfId="2" priority="3" operator="between">
      <formula>0.1</formula>
      <formula>5</formula>
    </cfRule>
  </conditionalFormatting>
  <conditionalFormatting sqref="I2">
    <cfRule type="cellIs" dxfId="1" priority="2" operator="greaterThan">
      <formula>5000.1</formula>
    </cfRule>
  </conditionalFormatting>
  <conditionalFormatting sqref="I3">
    <cfRule type="cellIs" dxfId="0"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6"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6"/>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17</v>
      </c>
      <c r="C3" s="33">
        <f>'Field data and Waste 1'!C31</f>
        <v>61.199999999999996</v>
      </c>
      <c r="D3" s="33">
        <f>'Field data and Waste 1'!D31</f>
        <v>45.529043000000001</v>
      </c>
      <c r="E3" s="33">
        <f>'Field data and Waste 1'!E31</f>
        <v>4.015060000000001</v>
      </c>
      <c r="F3" s="33">
        <f>'Field data and Waste 1'!F31</f>
        <v>1.2655514000000001</v>
      </c>
      <c r="G3" s="33">
        <f>'Field data and Waste 1'!G31</f>
        <v>5.6440000000000004E-2</v>
      </c>
      <c r="H3" s="33">
        <f>'Field data and Waste 1'!H31</f>
        <v>0.36550000000000005</v>
      </c>
      <c r="I3" s="33">
        <f>'Field data and Waste 1'!I31</f>
        <v>2.5840000000000002E-2</v>
      </c>
      <c r="J3" s="33">
        <f>'Field data and Waste 1'!J31</f>
        <v>1.1900000000000001E-3</v>
      </c>
      <c r="K3" s="33">
        <f>'Field data and Waste 1'!K31</f>
        <v>8.5000000000000006E-4</v>
      </c>
      <c r="L3" s="33">
        <f>'Field data and Waste 1'!L31</f>
        <v>1.2409999999999999E-2</v>
      </c>
      <c r="M3" s="33">
        <f>'Field data and Waste 1'!M31</f>
        <v>2.4140000000000002E-2</v>
      </c>
      <c r="N3" s="33">
        <f>'Field data and Waste 1'!N31</f>
        <v>0</v>
      </c>
      <c r="O3" s="33">
        <f>'Field data and Waste 1'!O31</f>
        <v>0</v>
      </c>
      <c r="P3" s="33">
        <f>'Field data and Waste 1'!P31</f>
        <v>13.226000000000001</v>
      </c>
      <c r="Q3" s="33">
        <f>'Field data and Waste 1'!Q31</f>
        <v>25.287500000000001</v>
      </c>
      <c r="R3" s="33">
        <f>'Field data and Waste 1'!R31</f>
        <v>0</v>
      </c>
      <c r="S3" s="33">
        <f>'Field data and Waste 1'!S31</f>
        <v>0</v>
      </c>
      <c r="T3" s="33">
        <f>'Field data and Waste 1'!T31</f>
        <v>0</v>
      </c>
      <c r="U3" s="33">
        <f>'Field data and Waste 1'!U31</f>
        <v>0</v>
      </c>
    </row>
    <row r="4" spans="1:21" x14ac:dyDescent="0.25">
      <c r="A4" s="36">
        <v>2</v>
      </c>
      <c r="B4" s="33">
        <f>'Waste 2'!B31</f>
        <v>200</v>
      </c>
      <c r="C4" s="33">
        <f>'Waste 2'!C31</f>
        <v>120</v>
      </c>
      <c r="D4" s="33">
        <f>'Waste 2'!D31</f>
        <v>45.270159999999997</v>
      </c>
      <c r="E4" s="33">
        <f>'Waste 2'!E31</f>
        <v>40.729000000000006</v>
      </c>
      <c r="F4" s="33">
        <f>'Waste 2'!F31</f>
        <v>8.4889600000000005</v>
      </c>
      <c r="G4" s="33">
        <f>'Waste 2'!G31</f>
        <v>4.4200000000000003E-2</v>
      </c>
      <c r="H4" s="33">
        <f>'Waste 2'!H31</f>
        <v>0.2</v>
      </c>
      <c r="I4" s="33">
        <f>'Waste 2'!I31</f>
        <v>0.1</v>
      </c>
      <c r="J4" s="33">
        <f>'Waste 2'!J31</f>
        <v>2E-3</v>
      </c>
      <c r="K4" s="33">
        <f>'Waste 2'!K31</f>
        <v>0.01</v>
      </c>
      <c r="L4" s="33">
        <f>'Waste 2'!L31</f>
        <v>0.04</v>
      </c>
      <c r="M4" s="33">
        <f>'Waste 2'!M31</f>
        <v>0.04</v>
      </c>
      <c r="N4" s="33">
        <f>'Waste 2'!N31</f>
        <v>0</v>
      </c>
      <c r="O4" s="33">
        <f>'Waste 2'!O31</f>
        <v>0</v>
      </c>
      <c r="P4" s="33">
        <f>'Waste 2'!P31</f>
        <v>67.400000000000006</v>
      </c>
      <c r="Q4" s="33">
        <f>'Waste 2'!Q31</f>
        <v>38.950000000000003</v>
      </c>
      <c r="R4" s="33">
        <f>'Waste 2'!R31</f>
        <v>0</v>
      </c>
      <c r="S4" s="33">
        <f>'Waste 2'!S31</f>
        <v>0</v>
      </c>
      <c r="T4" s="33">
        <f>'Waste 2'!T31</f>
        <v>0</v>
      </c>
      <c r="U4" s="33">
        <f>'Waste 2'!U31</f>
        <v>0</v>
      </c>
    </row>
    <row r="5" spans="1:21" x14ac:dyDescent="0.25">
      <c r="A5" s="36">
        <v>3</v>
      </c>
      <c r="B5" s="33">
        <f>'Waste 3'!B31</f>
        <v>38</v>
      </c>
      <c r="C5" s="33">
        <f>'Waste 3'!C31</f>
        <v>83.600000000000009</v>
      </c>
      <c r="D5" s="33">
        <f>'Waste 3'!D31</f>
        <v>45.792507999999998</v>
      </c>
      <c r="E5" s="33">
        <f>'Waste 3'!E31</f>
        <v>9.7990600000000008</v>
      </c>
      <c r="F5" s="33">
        <f>'Waste 3'!F31</f>
        <v>5.7963679999999993</v>
      </c>
      <c r="G5" s="33">
        <f>'Waste 3'!G31</f>
        <v>3.7239999999999995E-2</v>
      </c>
      <c r="H5" s="33">
        <f>'Waste 3'!H31</f>
        <v>0.42180000000000001</v>
      </c>
      <c r="I5" s="33">
        <f>'Waste 3'!I31</f>
        <v>1.9E-2</v>
      </c>
      <c r="J5" s="33">
        <f>'Waste 3'!J31</f>
        <v>3.8000000000000002E-4</v>
      </c>
      <c r="K5" s="33">
        <f>'Waste 3'!K31</f>
        <v>1.9E-3</v>
      </c>
      <c r="L5" s="33">
        <f>'Waste 3'!L31</f>
        <v>2.4814000000000003E-2</v>
      </c>
      <c r="M5" s="33">
        <f>'Waste 3'!M31</f>
        <v>0.19418000000000002</v>
      </c>
      <c r="N5" s="33">
        <f>'Waste 3'!N31</f>
        <v>0</v>
      </c>
      <c r="O5" s="33">
        <f>'Waste 3'!O31</f>
        <v>0</v>
      </c>
      <c r="P5" s="33">
        <f>'Waste 3'!P31</f>
        <v>166.17400000000001</v>
      </c>
      <c r="Q5" s="33">
        <f>'Waste 3'!Q31</f>
        <v>199.02500000000003</v>
      </c>
      <c r="R5" s="33">
        <f>'Waste 3'!R31</f>
        <v>0</v>
      </c>
      <c r="S5" s="33">
        <f>'Waste 3'!S31</f>
        <v>0</v>
      </c>
      <c r="T5" s="33">
        <f>'Waste 3'!T31</f>
        <v>0</v>
      </c>
      <c r="U5" s="33">
        <f>'Waste 3'!U31</f>
        <v>0</v>
      </c>
    </row>
    <row r="6" spans="1:21" x14ac:dyDescent="0.25">
      <c r="A6" s="36">
        <v>4</v>
      </c>
      <c r="B6" s="33">
        <f>'Waste 4'!B31</f>
        <v>29</v>
      </c>
      <c r="C6" s="33">
        <f>'Waste 4'!C31</f>
        <v>104.39999999999999</v>
      </c>
      <c r="D6" s="33">
        <f>'Waste 4'!D31</f>
        <v>45.244959000000001</v>
      </c>
      <c r="E6" s="33">
        <f>'Waste 4'!E31</f>
        <v>9.6098750000000006</v>
      </c>
      <c r="F6" s="33">
        <f>'Waste 4'!F31</f>
        <v>10.193383999999998</v>
      </c>
      <c r="G6" s="33">
        <f>'Waste 4'!G31</f>
        <v>4.292E-2</v>
      </c>
      <c r="H6" s="33">
        <f>'Waste 4'!H31</f>
        <v>0.32479999999999998</v>
      </c>
      <c r="I6" s="33">
        <f>'Waste 4'!I31</f>
        <v>1.4500000000000001E-2</v>
      </c>
      <c r="J6" s="33">
        <f>'Waste 4'!J31</f>
        <v>4.64E-4</v>
      </c>
      <c r="K6" s="33">
        <f>'Waste 4'!K31</f>
        <v>1.4500000000000001E-3</v>
      </c>
      <c r="L6" s="33">
        <f>'Waste 4'!L31</f>
        <v>9.222000000000001E-3</v>
      </c>
      <c r="M6" s="33">
        <f>'Waste 4'!M31</f>
        <v>1.5457000000000002E-2</v>
      </c>
      <c r="N6" s="33">
        <f>'Waste 4'!N31</f>
        <v>0</v>
      </c>
      <c r="O6" s="33">
        <f>'Waste 4'!O31</f>
        <v>0</v>
      </c>
      <c r="P6" s="33">
        <f>'Waste 4'!P31</f>
        <v>12.035</v>
      </c>
      <c r="Q6" s="33">
        <f>'Waste 4'!Q31</f>
        <v>51.547499999999999</v>
      </c>
      <c r="R6" s="33">
        <f>'Waste 4'!R31</f>
        <v>0</v>
      </c>
      <c r="S6" s="33">
        <f>'Waste 4'!S31</f>
        <v>0</v>
      </c>
      <c r="T6" s="33">
        <f>'Waste 4'!T31</f>
        <v>0</v>
      </c>
      <c r="U6" s="33">
        <f>'Waste 4'!U31</f>
        <v>0</v>
      </c>
    </row>
    <row r="7" spans="1:21" x14ac:dyDescent="0.25">
      <c r="A7" s="36">
        <v>5</v>
      </c>
      <c r="B7" s="33">
        <f>'Waste 5'!B31</f>
        <v>18</v>
      </c>
      <c r="C7" s="33">
        <f>'Waste 5'!C31</f>
        <v>194.83199999999999</v>
      </c>
      <c r="D7" s="33">
        <f>'Waste 5'!D31</f>
        <v>44.940347639999992</v>
      </c>
      <c r="E7" s="33">
        <f>'Waste 5'!E31</f>
        <v>16.078363199999998</v>
      </c>
      <c r="F7" s="33">
        <f>'Waste 5'!F31</f>
        <v>83.082711599999996</v>
      </c>
      <c r="G7" s="33">
        <f>'Waste 5'!G31</f>
        <v>3.1881599999999996E-2</v>
      </c>
      <c r="H7" s="33">
        <f>'Waste 5'!H31</f>
        <v>8.8412400000000002E-2</v>
      </c>
      <c r="I7" s="33">
        <f>'Waste 5'!I31</f>
        <v>1.4759999999999999E-2</v>
      </c>
      <c r="J7" s="33">
        <f>'Waste 5'!J31</f>
        <v>1.4760000000000001E-3</v>
      </c>
      <c r="K7" s="33">
        <f>'Waste 5'!K31</f>
        <v>1.4760000000000001E-3</v>
      </c>
      <c r="L7" s="33">
        <f>'Waste 5'!L31</f>
        <v>1.4759999999999999E-2</v>
      </c>
      <c r="M7" s="33">
        <f>'Waste 5'!M31</f>
        <v>2.9519999999999998E-2</v>
      </c>
      <c r="N7" s="33">
        <f>'Waste 5'!N31</f>
        <v>0</v>
      </c>
      <c r="O7" s="33">
        <f>'Waste 5'!O31</f>
        <v>0</v>
      </c>
      <c r="P7" s="33">
        <f>'Waste 5'!P31</f>
        <v>18.656639999999996</v>
      </c>
      <c r="Q7" s="33">
        <f>'Waste 5'!Q31</f>
        <v>68.412599999999998</v>
      </c>
      <c r="R7" s="33">
        <f>'Waste 5'!R31</f>
        <v>0</v>
      </c>
      <c r="S7" s="33">
        <f>'Waste 5'!S31</f>
        <v>0</v>
      </c>
      <c r="T7" s="33">
        <f>'Waste 5'!T31</f>
        <v>0</v>
      </c>
      <c r="U7" s="33">
        <f>'Waste 5'!U31</f>
        <v>0</v>
      </c>
    </row>
    <row r="8" spans="1:21" x14ac:dyDescent="0.25">
      <c r="A8" s="36">
        <v>6</v>
      </c>
      <c r="B8" s="33">
        <f>'Waste 6'!B31</f>
        <v>12</v>
      </c>
      <c r="C8" s="33">
        <f>'Waste 6'!C31</f>
        <v>85.738920000000007</v>
      </c>
      <c r="D8" s="33">
        <f>'Waste 6'!D31</f>
        <v>44.807836200000004</v>
      </c>
      <c r="E8" s="33">
        <f>'Waste 6'!E31</f>
        <v>9.2359635000000022</v>
      </c>
      <c r="F8" s="33">
        <f>'Waste 6'!F31</f>
        <v>4.539849384</v>
      </c>
      <c r="G8" s="33">
        <f>'Waste 6'!G31</f>
        <v>3.1398840000000004E-2</v>
      </c>
      <c r="H8" s="33">
        <f>'Waste 6'!H31</f>
        <v>0.35627640000000005</v>
      </c>
      <c r="I8" s="33">
        <f>'Waste 6'!I31</f>
        <v>4.4719560000000009E-3</v>
      </c>
      <c r="J8" s="33">
        <f>'Waste 6'!J31</f>
        <v>1.0572000000000002E-4</v>
      </c>
      <c r="K8" s="33">
        <f>'Waste 6'!K31</f>
        <v>1.0572000000000002E-4</v>
      </c>
      <c r="L8" s="33">
        <f>'Waste 6'!L31</f>
        <v>2.2306920000000004E-2</v>
      </c>
      <c r="M8" s="33">
        <f>'Waste 6'!M31</f>
        <v>6.9352319999999995E-2</v>
      </c>
      <c r="N8" s="33">
        <f>'Waste 6'!N31</f>
        <v>0</v>
      </c>
      <c r="O8" s="33">
        <f>'Waste 6'!O31</f>
        <v>0</v>
      </c>
      <c r="P8" s="33">
        <f>'Waste 6'!P31</f>
        <v>10.994880000000002</v>
      </c>
      <c r="Q8" s="33">
        <f>'Waste 6'!Q31</f>
        <v>44.666700000000006</v>
      </c>
      <c r="R8" s="33">
        <f>'Waste 6'!R31</f>
        <v>0</v>
      </c>
      <c r="S8" s="33">
        <f>'Waste 6'!S31</f>
        <v>0</v>
      </c>
      <c r="T8" s="33">
        <f>'Waste 6'!T31</f>
        <v>0</v>
      </c>
      <c r="U8" s="33">
        <f>'Waste 6'!U31</f>
        <v>0</v>
      </c>
    </row>
    <row r="9" spans="1:21" x14ac:dyDescent="0.25">
      <c r="A9" s="36">
        <v>7</v>
      </c>
      <c r="B9" s="33">
        <f>'Waste 7'!B31</f>
        <v>38</v>
      </c>
      <c r="C9" s="33">
        <f>'Waste 7'!C31</f>
        <v>121.60000000000001</v>
      </c>
      <c r="D9" s="33">
        <f>'Waste 7'!D31</f>
        <v>46.053682000000002</v>
      </c>
      <c r="E9" s="33">
        <f>'Waste 7'!E31</f>
        <v>11.539080000000002</v>
      </c>
      <c r="F9" s="33">
        <f>'Waste 7'!F31</f>
        <v>4.063758</v>
      </c>
      <c r="G9" s="33">
        <f>'Waste 7'!G31</f>
        <v>4.598E-2</v>
      </c>
      <c r="H9" s="33">
        <f>'Waste 7'!H31</f>
        <v>8.8540000000000008E-2</v>
      </c>
      <c r="I9" s="33">
        <f>'Waste 7'!I31</f>
        <v>1.9E-2</v>
      </c>
      <c r="J9" s="33">
        <f>'Waste 7'!J31</f>
        <v>3.8000000000000002E-4</v>
      </c>
      <c r="K9" s="33">
        <f>'Waste 7'!K31</f>
        <v>1.9E-3</v>
      </c>
      <c r="L9" s="33">
        <f>'Waste 7'!L31</f>
        <v>7.6E-3</v>
      </c>
      <c r="M9" s="33">
        <f>'Waste 7'!M31</f>
        <v>1.7860000000000001E-2</v>
      </c>
      <c r="N9" s="33">
        <f>'Waste 7'!N31</f>
        <v>0</v>
      </c>
      <c r="O9" s="33">
        <f>'Waste 7'!O31</f>
        <v>0</v>
      </c>
      <c r="P9" s="33">
        <f>'Waste 7'!P31</f>
        <v>2.3446000000000002</v>
      </c>
      <c r="Q9" s="33">
        <f>'Waste 7'!Q31</f>
        <v>16.815000000000001</v>
      </c>
      <c r="R9" s="33">
        <f>'Waste 7'!R31</f>
        <v>0</v>
      </c>
      <c r="S9" s="33">
        <f>'Waste 7'!S31</f>
        <v>0</v>
      </c>
      <c r="T9" s="33">
        <f>'Waste 7'!T31</f>
        <v>0</v>
      </c>
      <c r="U9" s="33">
        <f>'Waste 7'!U31</f>
        <v>0</v>
      </c>
    </row>
    <row r="10" spans="1:21" x14ac:dyDescent="0.25">
      <c r="A10" s="36">
        <v>8</v>
      </c>
      <c r="B10" s="33">
        <f>'Waste 8'!B31</f>
        <v>27</v>
      </c>
      <c r="C10" s="33">
        <f>'Waste 8'!C31</f>
        <v>99.9</v>
      </c>
      <c r="D10" s="33">
        <f>'Waste 8'!D31</f>
        <v>45.712322999999998</v>
      </c>
      <c r="E10" s="33">
        <f>'Waste 8'!E31</f>
        <v>5.6285550000000004</v>
      </c>
      <c r="F10" s="33">
        <f>'Waste 8'!F31</f>
        <v>10.29618</v>
      </c>
      <c r="G10" s="33">
        <f>'Waste 8'!G31</f>
        <v>8.7480000000000002E-2</v>
      </c>
      <c r="H10" s="33">
        <f>'Waste 8'!H31</f>
        <v>0.44010000000000005</v>
      </c>
      <c r="I10" s="33">
        <f>'Waste 8'!I31</f>
        <v>1.35E-2</v>
      </c>
      <c r="J10" s="33">
        <f>'Waste 8'!J31</f>
        <v>2.7E-4</v>
      </c>
      <c r="K10" s="33">
        <f>'Waste 8'!K31</f>
        <v>1.3500000000000001E-3</v>
      </c>
      <c r="L10" s="33">
        <f>'Waste 8'!L31</f>
        <v>2.3733000000000001E-2</v>
      </c>
      <c r="M10" s="33">
        <f>'Waste 8'!M31</f>
        <v>2.5029000000000003E-2</v>
      </c>
      <c r="N10" s="33">
        <f>'Waste 8'!N31</f>
        <v>0</v>
      </c>
      <c r="O10" s="33">
        <f>'Waste 8'!O31</f>
        <v>0</v>
      </c>
      <c r="P10" s="33">
        <f>'Waste 8'!P31</f>
        <v>19.844999999999999</v>
      </c>
      <c r="Q10" s="33">
        <f>'Waste 8'!Q31</f>
        <v>39.284999999999997</v>
      </c>
      <c r="R10" s="33">
        <f>'Waste 8'!R31</f>
        <v>0</v>
      </c>
      <c r="S10" s="33">
        <f>'Waste 8'!S31</f>
        <v>0</v>
      </c>
      <c r="T10" s="33">
        <f>'Waste 8'!T31</f>
        <v>0</v>
      </c>
      <c r="U10" s="33">
        <f>'Waste 8'!U31</f>
        <v>0</v>
      </c>
    </row>
    <row r="11" spans="1:21" x14ac:dyDescent="0.25">
      <c r="A11" s="36">
        <v>9</v>
      </c>
      <c r="B11" s="33">
        <f>'Waste 9'!B31</f>
        <v>142</v>
      </c>
      <c r="C11" s="33">
        <f>'Waste 9'!C31</f>
        <v>56.800000000000004</v>
      </c>
      <c r="D11" s="33">
        <f>'Waste 9'!D31</f>
        <v>45.545080000000006</v>
      </c>
      <c r="E11" s="33">
        <f>'Waste 9'!E31</f>
        <v>48.253020000000006</v>
      </c>
      <c r="F11" s="33">
        <f>'Waste 9'!F31</f>
        <v>8.0989983999999993</v>
      </c>
      <c r="G11" s="33">
        <f>'Waste 9'!G31</f>
        <v>0.23146</v>
      </c>
      <c r="H11" s="33">
        <f>'Waste 9'!H31</f>
        <v>7.1000000000000008E-2</v>
      </c>
      <c r="I11" s="33">
        <f>'Waste 9'!I31</f>
        <v>7.1000000000000008E-2</v>
      </c>
      <c r="J11" s="33">
        <f>'Waste 9'!J31</f>
        <v>1.42E-3</v>
      </c>
      <c r="K11" s="33">
        <f>'Waste 9'!K31</f>
        <v>7.1000000000000004E-3</v>
      </c>
      <c r="L11" s="33">
        <f>'Waste 9'!L31</f>
        <v>2.8400000000000002E-2</v>
      </c>
      <c r="M11" s="33">
        <f>'Waste 9'!M31</f>
        <v>2.8400000000000002E-2</v>
      </c>
      <c r="N11" s="33">
        <f>'Waste 9'!N31</f>
        <v>0</v>
      </c>
      <c r="O11" s="33">
        <f>'Waste 9'!O31</f>
        <v>0</v>
      </c>
      <c r="P11" s="33">
        <f>'Waste 9'!P31</f>
        <v>126.096</v>
      </c>
      <c r="Q11" s="33">
        <f>'Waste 9'!Q31</f>
        <v>15.797499999999999</v>
      </c>
      <c r="R11" s="33">
        <f>'Waste 9'!R31</f>
        <v>0</v>
      </c>
      <c r="S11" s="33">
        <f>'Waste 9'!S31</f>
        <v>0</v>
      </c>
      <c r="T11" s="33">
        <f>'Waste 9'!T31</f>
        <v>0</v>
      </c>
      <c r="U11" s="33">
        <f>'Waste 9'!U31</f>
        <v>0</v>
      </c>
    </row>
    <row r="12" spans="1:21" x14ac:dyDescent="0.25">
      <c r="A12" s="36">
        <v>10</v>
      </c>
      <c r="B12" s="33">
        <f>'Waste 10'!B31</f>
        <v>250</v>
      </c>
      <c r="C12" s="33">
        <f>'Waste 10'!C31</f>
        <v>425.00000000000006</v>
      </c>
      <c r="D12" s="33">
        <f>'Waste 10'!D31</f>
        <v>115.12275</v>
      </c>
      <c r="E12" s="33">
        <f>'Waste 10'!E31</f>
        <v>62.057500000000012</v>
      </c>
      <c r="F12" s="33">
        <f>'Waste 10'!F31</f>
        <v>21.76125</v>
      </c>
      <c r="G12" s="33">
        <f>'Waste 10'!G31</f>
        <v>8.8749999999999996E-2</v>
      </c>
      <c r="H12" s="33">
        <f>'Waste 10'!H31</f>
        <v>0.58250000000000002</v>
      </c>
      <c r="I12" s="33">
        <f>'Waste 10'!I31</f>
        <v>0.125</v>
      </c>
      <c r="J12" s="33">
        <f>'Waste 10'!J31</f>
        <v>2.5000000000000001E-3</v>
      </c>
      <c r="K12" s="33">
        <f>'Waste 10'!K31</f>
        <v>1.2500000000000001E-2</v>
      </c>
      <c r="L12" s="33">
        <f>'Waste 10'!L31</f>
        <v>5.3499999999999999E-2</v>
      </c>
      <c r="M12" s="33">
        <f>'Waste 10'!M31</f>
        <v>0.1285</v>
      </c>
      <c r="N12" s="33">
        <f>'Waste 10'!N31</f>
        <v>0</v>
      </c>
      <c r="O12" s="33">
        <f>'Waste 10'!O31</f>
        <v>0</v>
      </c>
      <c r="P12" s="33">
        <f>'Waste 10'!P31</f>
        <v>103.50000000000001</v>
      </c>
      <c r="Q12" s="33">
        <f>'Waste 10'!Q31</f>
        <v>143.125</v>
      </c>
      <c r="R12" s="33">
        <f>'Waste 10'!R31</f>
        <v>0</v>
      </c>
      <c r="S12" s="33">
        <f>'Waste 10'!S31</f>
        <v>0</v>
      </c>
      <c r="T12" s="33">
        <f>'Waste 10'!T31</f>
        <v>0</v>
      </c>
      <c r="U12" s="33">
        <f>'Waste 10'!U31</f>
        <v>0</v>
      </c>
    </row>
    <row r="13" spans="1:21" s="82" customFormat="1" ht="15.5" x14ac:dyDescent="0.35">
      <c r="A13" s="80" t="s">
        <v>85</v>
      </c>
      <c r="B13" s="81">
        <f>SUM(B3:B12)</f>
        <v>771</v>
      </c>
      <c r="C13" s="81">
        <f t="shared" ref="C13:U13" si="0">SUM(C3:C12)</f>
        <v>1353.0709199999999</v>
      </c>
      <c r="D13" s="81">
        <f t="shared" si="0"/>
        <v>524.01868883999998</v>
      </c>
      <c r="E13" s="81">
        <f t="shared" si="0"/>
        <v>216.94547670000003</v>
      </c>
      <c r="F13" s="81">
        <f t="shared" si="0"/>
        <v>157.58701078399997</v>
      </c>
      <c r="G13" s="81">
        <f t="shared" si="0"/>
        <v>0.69775043999999997</v>
      </c>
      <c r="H13" s="81">
        <f t="shared" si="0"/>
        <v>2.9389288000000002</v>
      </c>
      <c r="I13" s="81">
        <f t="shared" si="0"/>
        <v>0.40707195600000001</v>
      </c>
      <c r="J13" s="81">
        <f t="shared" si="0"/>
        <v>1.0185720000000001E-2</v>
      </c>
      <c r="K13" s="81">
        <f t="shared" si="0"/>
        <v>3.8631720000000008E-2</v>
      </c>
      <c r="L13" s="81">
        <f t="shared" si="0"/>
        <v>0.23674592</v>
      </c>
      <c r="M13" s="81">
        <f t="shared" si="0"/>
        <v>0.57243831999999994</v>
      </c>
      <c r="N13" s="81">
        <f t="shared" si="0"/>
        <v>0</v>
      </c>
      <c r="O13" s="81">
        <f t="shared" si="0"/>
        <v>0</v>
      </c>
      <c r="P13" s="81">
        <f t="shared" si="0"/>
        <v>540.27212000000009</v>
      </c>
      <c r="Q13" s="81">
        <f t="shared" si="0"/>
        <v>642.91180000000008</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7"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7"/>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17</v>
      </c>
      <c r="D3" s="33">
        <f>'Field data and Waste 1'!C31</f>
        <v>61.199999999999996</v>
      </c>
      <c r="E3" s="33">
        <f>'Field data and Waste 1'!D31</f>
        <v>45.529043000000001</v>
      </c>
      <c r="F3" s="33">
        <f>'Field data and Waste 1'!E31</f>
        <v>4.015060000000001</v>
      </c>
      <c r="G3" s="33">
        <f>'Field data and Waste 1'!F31</f>
        <v>1.2655514000000001</v>
      </c>
      <c r="H3" s="33">
        <f>'Field data and Waste 1'!G31</f>
        <v>5.6440000000000004E-2</v>
      </c>
      <c r="I3" s="33">
        <f>'Field data and Waste 1'!H31</f>
        <v>0.36550000000000005</v>
      </c>
      <c r="J3" s="33">
        <f>'Field data and Waste 1'!I31</f>
        <v>2.5840000000000002E-2</v>
      </c>
      <c r="K3" s="33">
        <f>'Field data and Waste 1'!J31</f>
        <v>1.1900000000000001E-3</v>
      </c>
      <c r="L3" s="33">
        <f>'Field data and Waste 1'!K31</f>
        <v>8.5000000000000006E-4</v>
      </c>
      <c r="M3" s="33">
        <f>'Field data and Waste 1'!L31</f>
        <v>1.2409999999999999E-2</v>
      </c>
      <c r="N3" s="33">
        <f>'Field data and Waste 1'!M31</f>
        <v>2.4140000000000002E-2</v>
      </c>
      <c r="O3" s="33">
        <f>'Field data and Waste 1'!N31</f>
        <v>0</v>
      </c>
      <c r="P3" s="33">
        <f>'Field data and Waste 1'!O31</f>
        <v>0</v>
      </c>
      <c r="Q3" s="33">
        <f>'Field data and Waste 1'!P31</f>
        <v>13.226000000000001</v>
      </c>
      <c r="R3" s="33">
        <f>'Field data and Waste 1'!Q31</f>
        <v>25.287500000000001</v>
      </c>
      <c r="S3" s="33">
        <f>'Field data and Waste 1'!R31</f>
        <v>0</v>
      </c>
      <c r="T3" s="33">
        <f>'Field data and Waste 1'!S31</f>
        <v>0</v>
      </c>
      <c r="U3" s="33">
        <f>'Field data and Waste 1'!T31</f>
        <v>0</v>
      </c>
      <c r="V3" s="33">
        <f>'Field data and Waste 1'!U31</f>
        <v>0</v>
      </c>
    </row>
    <row r="4" spans="1:22" x14ac:dyDescent="0.25">
      <c r="A4" s="36">
        <v>2</v>
      </c>
      <c r="B4" s="91"/>
      <c r="C4" s="33">
        <f>'Waste 2'!B31</f>
        <v>200</v>
      </c>
      <c r="D4" s="33">
        <f>'Waste 2'!C31</f>
        <v>120</v>
      </c>
      <c r="E4" s="33">
        <f>'Waste 2'!D31</f>
        <v>45.270159999999997</v>
      </c>
      <c r="F4" s="33">
        <f>'Waste 2'!E31</f>
        <v>40.729000000000006</v>
      </c>
      <c r="G4" s="33">
        <f>'Waste 2'!F31</f>
        <v>8.4889600000000005</v>
      </c>
      <c r="H4" s="33">
        <f>'Waste 2'!G31</f>
        <v>4.4200000000000003E-2</v>
      </c>
      <c r="I4" s="33">
        <f>'Waste 2'!H31</f>
        <v>0.2</v>
      </c>
      <c r="J4" s="33">
        <f>'Waste 2'!I31</f>
        <v>0.1</v>
      </c>
      <c r="K4" s="33">
        <f>'Waste 2'!J31</f>
        <v>2E-3</v>
      </c>
      <c r="L4" s="33">
        <f>'Waste 2'!K31</f>
        <v>0.01</v>
      </c>
      <c r="M4" s="33">
        <f>'Waste 2'!L31</f>
        <v>0.04</v>
      </c>
      <c r="N4" s="33">
        <f>'Waste 2'!M31</f>
        <v>0.04</v>
      </c>
      <c r="O4" s="33">
        <f>'Waste 2'!N31</f>
        <v>0</v>
      </c>
      <c r="P4" s="33">
        <f>'Waste 2'!O31</f>
        <v>0</v>
      </c>
      <c r="Q4" s="33">
        <f>'Waste 2'!P31</f>
        <v>67.400000000000006</v>
      </c>
      <c r="R4" s="33">
        <f>'Waste 2'!Q31</f>
        <v>38.950000000000003</v>
      </c>
      <c r="S4" s="33">
        <f>'Waste 2'!R31</f>
        <v>0</v>
      </c>
      <c r="T4" s="33">
        <f>'Waste 2'!S31</f>
        <v>0</v>
      </c>
      <c r="U4" s="33">
        <f>'Waste 2'!T31</f>
        <v>0</v>
      </c>
      <c r="V4" s="33">
        <f>'Waste 2'!U31</f>
        <v>0</v>
      </c>
    </row>
    <row r="5" spans="1:22" x14ac:dyDescent="0.25">
      <c r="A5" s="36">
        <v>3</v>
      </c>
      <c r="B5" s="91"/>
      <c r="C5" s="33">
        <f>'Waste 3'!B31</f>
        <v>38</v>
      </c>
      <c r="D5" s="33">
        <f>'Waste 3'!C31</f>
        <v>83.600000000000009</v>
      </c>
      <c r="E5" s="33">
        <f>'Waste 3'!D31</f>
        <v>45.792507999999998</v>
      </c>
      <c r="F5" s="33">
        <f>'Waste 3'!E31</f>
        <v>9.7990600000000008</v>
      </c>
      <c r="G5" s="33">
        <f>'Waste 3'!F31</f>
        <v>5.7963679999999993</v>
      </c>
      <c r="H5" s="33">
        <f>'Waste 3'!G31</f>
        <v>3.7239999999999995E-2</v>
      </c>
      <c r="I5" s="33">
        <f>'Waste 3'!H31</f>
        <v>0.42180000000000001</v>
      </c>
      <c r="J5" s="33">
        <f>'Waste 3'!I31</f>
        <v>1.9E-2</v>
      </c>
      <c r="K5" s="33">
        <f>'Waste 3'!J31</f>
        <v>3.8000000000000002E-4</v>
      </c>
      <c r="L5" s="33">
        <f>'Waste 3'!K31</f>
        <v>1.9E-3</v>
      </c>
      <c r="M5" s="33">
        <f>'Waste 3'!L31</f>
        <v>2.4814000000000003E-2</v>
      </c>
      <c r="N5" s="33">
        <f>'Waste 3'!M31</f>
        <v>0.19418000000000002</v>
      </c>
      <c r="O5" s="33">
        <f>'Waste 3'!N31</f>
        <v>0</v>
      </c>
      <c r="P5" s="33">
        <f>'Waste 3'!O31</f>
        <v>0</v>
      </c>
      <c r="Q5" s="33">
        <f>'Waste 3'!P31</f>
        <v>166.17400000000001</v>
      </c>
      <c r="R5" s="33">
        <f>'Waste 3'!Q31</f>
        <v>199.02500000000003</v>
      </c>
      <c r="S5" s="33">
        <f>'Waste 3'!R31</f>
        <v>0</v>
      </c>
      <c r="T5" s="33">
        <f>'Waste 3'!S31</f>
        <v>0</v>
      </c>
      <c r="U5" s="33">
        <f>'Waste 3'!T31</f>
        <v>0</v>
      </c>
      <c r="V5" s="33">
        <f>'Waste 3'!U31</f>
        <v>0</v>
      </c>
    </row>
    <row r="6" spans="1:22" x14ac:dyDescent="0.25">
      <c r="A6" s="36">
        <v>4</v>
      </c>
      <c r="B6" s="91"/>
      <c r="C6" s="33">
        <f>'Waste 4'!B31</f>
        <v>29</v>
      </c>
      <c r="D6" s="33">
        <f>'Waste 4'!C31</f>
        <v>104.39999999999999</v>
      </c>
      <c r="E6" s="33">
        <f>'Waste 4'!D31</f>
        <v>45.244959000000001</v>
      </c>
      <c r="F6" s="33">
        <f>'Waste 4'!E31</f>
        <v>9.6098750000000006</v>
      </c>
      <c r="G6" s="33">
        <f>'Waste 4'!F31</f>
        <v>10.193383999999998</v>
      </c>
      <c r="H6" s="33">
        <f>'Waste 4'!G31</f>
        <v>4.292E-2</v>
      </c>
      <c r="I6" s="33">
        <f>'Waste 4'!H31</f>
        <v>0.32479999999999998</v>
      </c>
      <c r="J6" s="33">
        <f>'Waste 4'!I31</f>
        <v>1.4500000000000001E-2</v>
      </c>
      <c r="K6" s="33">
        <f>'Waste 4'!J31</f>
        <v>4.64E-4</v>
      </c>
      <c r="L6" s="33">
        <f>'Waste 4'!K31</f>
        <v>1.4500000000000001E-3</v>
      </c>
      <c r="M6" s="33">
        <f>'Waste 4'!L31</f>
        <v>9.222000000000001E-3</v>
      </c>
      <c r="N6" s="33">
        <f>'Waste 4'!M31</f>
        <v>1.5457000000000002E-2</v>
      </c>
      <c r="O6" s="33">
        <f>'Waste 4'!N31</f>
        <v>0</v>
      </c>
      <c r="P6" s="33">
        <f>'Waste 4'!O31</f>
        <v>0</v>
      </c>
      <c r="Q6" s="33">
        <f>'Waste 4'!P31</f>
        <v>12.035</v>
      </c>
      <c r="R6" s="33">
        <f>'Waste 4'!Q31</f>
        <v>51.547499999999999</v>
      </c>
      <c r="S6" s="33">
        <f>'Waste 4'!R31</f>
        <v>0</v>
      </c>
      <c r="T6" s="33">
        <f>'Waste 4'!S31</f>
        <v>0</v>
      </c>
      <c r="U6" s="33">
        <f>'Waste 4'!T31</f>
        <v>0</v>
      </c>
      <c r="V6" s="33">
        <f>'Waste 4'!U31</f>
        <v>0</v>
      </c>
    </row>
    <row r="7" spans="1:22" x14ac:dyDescent="0.25">
      <c r="A7" s="36">
        <v>5</v>
      </c>
      <c r="B7" s="91"/>
      <c r="C7" s="33">
        <f>'Waste 5'!B31</f>
        <v>18</v>
      </c>
      <c r="D7" s="33">
        <f>'Waste 5'!C31</f>
        <v>194.83199999999999</v>
      </c>
      <c r="E7" s="33">
        <f>'Waste 5'!D31</f>
        <v>44.940347639999992</v>
      </c>
      <c r="F7" s="33">
        <f>'Waste 5'!E31</f>
        <v>16.078363199999998</v>
      </c>
      <c r="G7" s="33">
        <f>'Waste 5'!F31</f>
        <v>83.082711599999996</v>
      </c>
      <c r="H7" s="33">
        <f>'Waste 5'!G31</f>
        <v>3.1881599999999996E-2</v>
      </c>
      <c r="I7" s="33">
        <f>'Waste 5'!H31</f>
        <v>8.8412400000000002E-2</v>
      </c>
      <c r="J7" s="33">
        <f>'Waste 5'!I31</f>
        <v>1.4759999999999999E-2</v>
      </c>
      <c r="K7" s="33">
        <f>'Waste 5'!J31</f>
        <v>1.4760000000000001E-3</v>
      </c>
      <c r="L7" s="33">
        <f>'Waste 5'!K31</f>
        <v>1.4760000000000001E-3</v>
      </c>
      <c r="M7" s="33">
        <f>'Waste 5'!L31</f>
        <v>1.4759999999999999E-2</v>
      </c>
      <c r="N7" s="33">
        <f>'Waste 5'!M31</f>
        <v>2.9519999999999998E-2</v>
      </c>
      <c r="O7" s="33">
        <f>'Waste 5'!N31</f>
        <v>0</v>
      </c>
      <c r="P7" s="33">
        <f>'Waste 5'!O31</f>
        <v>0</v>
      </c>
      <c r="Q7" s="33">
        <f>'Waste 5'!P31</f>
        <v>18.656639999999996</v>
      </c>
      <c r="R7" s="33">
        <f>'Waste 5'!Q31</f>
        <v>68.412599999999998</v>
      </c>
      <c r="S7" s="33">
        <f>'Waste 5'!R31</f>
        <v>0</v>
      </c>
      <c r="T7" s="33">
        <f>'Waste 5'!S31</f>
        <v>0</v>
      </c>
      <c r="U7" s="33">
        <f>'Waste 5'!T31</f>
        <v>0</v>
      </c>
      <c r="V7" s="33">
        <f>'Waste 5'!U31</f>
        <v>0</v>
      </c>
    </row>
    <row r="8" spans="1:22" x14ac:dyDescent="0.25">
      <c r="A8" s="36">
        <v>6</v>
      </c>
      <c r="B8" s="91"/>
      <c r="C8" s="33">
        <f>'Waste 6'!B31</f>
        <v>12</v>
      </c>
      <c r="D8" s="33">
        <f>'Waste 6'!C31</f>
        <v>85.738920000000007</v>
      </c>
      <c r="E8" s="33">
        <f>'Waste 6'!D31</f>
        <v>44.807836200000004</v>
      </c>
      <c r="F8" s="33">
        <f>'Waste 6'!E31</f>
        <v>9.2359635000000022</v>
      </c>
      <c r="G8" s="33">
        <f>'Waste 6'!F31</f>
        <v>4.539849384</v>
      </c>
      <c r="H8" s="33">
        <f>'Waste 6'!G31</f>
        <v>3.1398840000000004E-2</v>
      </c>
      <c r="I8" s="33">
        <f>'Waste 6'!H31</f>
        <v>0.35627640000000005</v>
      </c>
      <c r="J8" s="33">
        <f>'Waste 6'!I31</f>
        <v>4.4719560000000009E-3</v>
      </c>
      <c r="K8" s="33">
        <f>'Waste 6'!J31</f>
        <v>1.0572000000000002E-4</v>
      </c>
      <c r="L8" s="33">
        <f>'Waste 6'!K31</f>
        <v>1.0572000000000002E-4</v>
      </c>
      <c r="M8" s="33">
        <f>'Waste 6'!L31</f>
        <v>2.2306920000000004E-2</v>
      </c>
      <c r="N8" s="33">
        <f>'Waste 6'!M31</f>
        <v>6.9352319999999995E-2</v>
      </c>
      <c r="O8" s="33">
        <f>'Waste 6'!N31</f>
        <v>0</v>
      </c>
      <c r="P8" s="33">
        <f>'Waste 6'!O31</f>
        <v>0</v>
      </c>
      <c r="Q8" s="33">
        <f>'Waste 6'!P31</f>
        <v>10.994880000000002</v>
      </c>
      <c r="R8" s="33">
        <f>'Waste 6'!Q31</f>
        <v>44.666700000000006</v>
      </c>
      <c r="S8" s="33">
        <f>'Waste 6'!R31</f>
        <v>0</v>
      </c>
      <c r="T8" s="33">
        <f>'Waste 6'!S31</f>
        <v>0</v>
      </c>
      <c r="U8" s="33">
        <f>'Waste 6'!T31</f>
        <v>0</v>
      </c>
      <c r="V8" s="33">
        <f>'Waste 6'!U31</f>
        <v>0</v>
      </c>
    </row>
    <row r="9" spans="1:22" x14ac:dyDescent="0.25">
      <c r="A9" s="36">
        <v>7</v>
      </c>
      <c r="B9" s="91"/>
      <c r="C9" s="33">
        <f>'Waste 7'!B31</f>
        <v>38</v>
      </c>
      <c r="D9" s="33">
        <f>'Waste 7'!C31</f>
        <v>121.60000000000001</v>
      </c>
      <c r="E9" s="33">
        <f>'Waste 7'!D31</f>
        <v>46.053682000000002</v>
      </c>
      <c r="F9" s="33">
        <f>'Waste 7'!E31</f>
        <v>11.539080000000002</v>
      </c>
      <c r="G9" s="33">
        <f>'Waste 7'!F31</f>
        <v>4.063758</v>
      </c>
      <c r="H9" s="33">
        <f>'Waste 7'!G31</f>
        <v>4.598E-2</v>
      </c>
      <c r="I9" s="33">
        <f>'Waste 7'!H31</f>
        <v>8.8540000000000008E-2</v>
      </c>
      <c r="J9" s="33">
        <f>'Waste 7'!I31</f>
        <v>1.9E-2</v>
      </c>
      <c r="K9" s="33">
        <f>'Waste 7'!J31</f>
        <v>3.8000000000000002E-4</v>
      </c>
      <c r="L9" s="33">
        <f>'Waste 7'!K31</f>
        <v>1.9E-3</v>
      </c>
      <c r="M9" s="33">
        <f>'Waste 7'!L31</f>
        <v>7.6E-3</v>
      </c>
      <c r="N9" s="33">
        <f>'Waste 7'!M31</f>
        <v>1.7860000000000001E-2</v>
      </c>
      <c r="O9" s="33">
        <f>'Waste 7'!N31</f>
        <v>0</v>
      </c>
      <c r="P9" s="33">
        <f>'Waste 7'!O31</f>
        <v>0</v>
      </c>
      <c r="Q9" s="33">
        <f>'Waste 7'!P31</f>
        <v>2.3446000000000002</v>
      </c>
      <c r="R9" s="33">
        <f>'Waste 7'!Q31</f>
        <v>16.815000000000001</v>
      </c>
      <c r="S9" s="33">
        <f>'Waste 7'!R31</f>
        <v>0</v>
      </c>
      <c r="T9" s="33">
        <f>'Waste 7'!S31</f>
        <v>0</v>
      </c>
      <c r="U9" s="33">
        <f>'Waste 7'!T31</f>
        <v>0</v>
      </c>
      <c r="V9" s="33">
        <f>'Waste 7'!U31</f>
        <v>0</v>
      </c>
    </row>
    <row r="10" spans="1:22" x14ac:dyDescent="0.25">
      <c r="A10" s="36">
        <v>8</v>
      </c>
      <c r="B10" s="91"/>
      <c r="C10" s="33">
        <f>'Waste 8'!B31</f>
        <v>27</v>
      </c>
      <c r="D10" s="33">
        <f>'Waste 8'!C31</f>
        <v>99.9</v>
      </c>
      <c r="E10" s="33">
        <f>'Waste 8'!D31</f>
        <v>45.712322999999998</v>
      </c>
      <c r="F10" s="33">
        <f>'Waste 8'!E31</f>
        <v>5.6285550000000004</v>
      </c>
      <c r="G10" s="33">
        <f>'Waste 8'!F31</f>
        <v>10.29618</v>
      </c>
      <c r="H10" s="33">
        <f>'Waste 8'!G31</f>
        <v>8.7480000000000002E-2</v>
      </c>
      <c r="I10" s="33">
        <f>'Waste 8'!H31</f>
        <v>0.44010000000000005</v>
      </c>
      <c r="J10" s="33">
        <f>'Waste 8'!I31</f>
        <v>1.35E-2</v>
      </c>
      <c r="K10" s="33">
        <f>'Waste 8'!J31</f>
        <v>2.7E-4</v>
      </c>
      <c r="L10" s="33">
        <f>'Waste 8'!K31</f>
        <v>1.3500000000000001E-3</v>
      </c>
      <c r="M10" s="33">
        <f>'Waste 8'!L31</f>
        <v>2.3733000000000001E-2</v>
      </c>
      <c r="N10" s="33">
        <f>'Waste 8'!M31</f>
        <v>2.5029000000000003E-2</v>
      </c>
      <c r="O10" s="33">
        <f>'Waste 8'!N31</f>
        <v>0</v>
      </c>
      <c r="P10" s="33">
        <f>'Waste 8'!O31</f>
        <v>0</v>
      </c>
      <c r="Q10" s="33">
        <f>'Waste 8'!P31</f>
        <v>19.844999999999999</v>
      </c>
      <c r="R10" s="33">
        <f>'Waste 8'!Q31</f>
        <v>39.284999999999997</v>
      </c>
      <c r="S10" s="33">
        <f>'Waste 8'!R31</f>
        <v>0</v>
      </c>
      <c r="T10" s="33">
        <f>'Waste 8'!S31</f>
        <v>0</v>
      </c>
      <c r="U10" s="33">
        <f>'Waste 8'!T31</f>
        <v>0</v>
      </c>
      <c r="V10" s="33">
        <f>'Waste 8'!U31</f>
        <v>0</v>
      </c>
    </row>
    <row r="11" spans="1:22" x14ac:dyDescent="0.25">
      <c r="A11" s="36">
        <v>9</v>
      </c>
      <c r="B11" s="91"/>
      <c r="C11" s="33">
        <f>'Waste 9'!B31</f>
        <v>142</v>
      </c>
      <c r="D11" s="33">
        <f>'Waste 9'!C31</f>
        <v>56.800000000000004</v>
      </c>
      <c r="E11" s="33">
        <f>'Waste 9'!D31</f>
        <v>45.545080000000006</v>
      </c>
      <c r="F11" s="33">
        <f>'Waste 9'!E31</f>
        <v>48.253020000000006</v>
      </c>
      <c r="G11" s="33">
        <f>'Waste 9'!F31</f>
        <v>8.0989983999999993</v>
      </c>
      <c r="H11" s="33">
        <f>'Waste 9'!G31</f>
        <v>0.23146</v>
      </c>
      <c r="I11" s="33">
        <f>'Waste 9'!H31</f>
        <v>7.1000000000000008E-2</v>
      </c>
      <c r="J11" s="33">
        <f>'Waste 9'!I31</f>
        <v>7.1000000000000008E-2</v>
      </c>
      <c r="K11" s="33">
        <f>'Waste 9'!J31</f>
        <v>1.42E-3</v>
      </c>
      <c r="L11" s="33">
        <f>'Waste 9'!K31</f>
        <v>7.1000000000000004E-3</v>
      </c>
      <c r="M11" s="33">
        <f>'Waste 9'!L31</f>
        <v>2.8400000000000002E-2</v>
      </c>
      <c r="N11" s="33">
        <f>'Waste 9'!M31</f>
        <v>2.8400000000000002E-2</v>
      </c>
      <c r="O11" s="33">
        <f>'Waste 9'!N31</f>
        <v>0</v>
      </c>
      <c r="P11" s="33">
        <f>'Waste 9'!O31</f>
        <v>0</v>
      </c>
      <c r="Q11" s="33">
        <f>'Waste 9'!P31</f>
        <v>126.096</v>
      </c>
      <c r="R11" s="33">
        <f>'Waste 9'!Q31</f>
        <v>15.797499999999999</v>
      </c>
      <c r="S11" s="33">
        <f>'Waste 9'!R31</f>
        <v>0</v>
      </c>
      <c r="T11" s="33">
        <f>'Waste 9'!S31</f>
        <v>0</v>
      </c>
      <c r="U11" s="33">
        <f>'Waste 9'!T31</f>
        <v>0</v>
      </c>
      <c r="V11" s="33">
        <f>'Waste 9'!U31</f>
        <v>0</v>
      </c>
    </row>
    <row r="12" spans="1:22" x14ac:dyDescent="0.25">
      <c r="A12" s="36">
        <v>10</v>
      </c>
      <c r="B12" s="91"/>
      <c r="C12" s="33">
        <f>'Waste 10'!B31</f>
        <v>250</v>
      </c>
      <c r="D12" s="33">
        <f>'Waste 10'!C31</f>
        <v>425.00000000000006</v>
      </c>
      <c r="E12" s="33">
        <f>'Waste 10'!D31</f>
        <v>115.12275</v>
      </c>
      <c r="F12" s="33">
        <f>'Waste 10'!E31</f>
        <v>62.057500000000012</v>
      </c>
      <c r="G12" s="33">
        <f>'Waste 10'!F31</f>
        <v>21.76125</v>
      </c>
      <c r="H12" s="33">
        <f>'Waste 10'!G31</f>
        <v>8.8749999999999996E-2</v>
      </c>
      <c r="I12" s="33">
        <f>'Waste 10'!H31</f>
        <v>0.58250000000000002</v>
      </c>
      <c r="J12" s="33">
        <f>'Waste 10'!I31</f>
        <v>0.125</v>
      </c>
      <c r="K12" s="33">
        <f>'Waste 10'!J31</f>
        <v>2.5000000000000001E-3</v>
      </c>
      <c r="L12" s="33">
        <f>'Waste 10'!K31</f>
        <v>1.2500000000000001E-2</v>
      </c>
      <c r="M12" s="33">
        <f>'Waste 10'!L31</f>
        <v>5.3499999999999999E-2</v>
      </c>
      <c r="N12" s="33">
        <f>'Waste 10'!M31</f>
        <v>0.1285</v>
      </c>
      <c r="O12" s="33">
        <f>'Waste 10'!N31</f>
        <v>0</v>
      </c>
      <c r="P12" s="33">
        <f>'Waste 10'!O31</f>
        <v>0</v>
      </c>
      <c r="Q12" s="33">
        <f>'Waste 10'!P31</f>
        <v>103.50000000000001</v>
      </c>
      <c r="R12" s="33">
        <f>'Waste 10'!Q31</f>
        <v>143.125</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6"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6"/>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17</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200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38</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29</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18</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12</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38</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27</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142</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250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8" t="s">
        <v>85</v>
      </c>
      <c r="B27" s="148"/>
      <c r="C27" s="148"/>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REGU-204-2747147</_dlc_DocId>
    <_dlc_DocIdUrl xmlns="9be56660-2c31-41ef-bc00-23e72f632f2a">
      <Url>https://cyfoethnaturiolcymru.sharepoint.com/teams/Regulatory/Permitting/_layouts/15/DocIdRedir.aspx?ID=REGU-204-2747147</Url>
      <Description>REGU-204-2747147</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2023-02-09T00:00:00+00:00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5" ma:contentTypeDescription="Permitting &amp; Compliance Word Document" ma:contentTypeScope="" ma:versionID="8ba88060f42494261e4271c878bf935d">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287d418a8936ff9e71a08ef7d19d076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elements/1.1/"/>
  </ds:schemaRefs>
</ds:datastoreItem>
</file>

<file path=customXml/itemProps3.xml><?xml version="1.0" encoding="utf-8"?>
<ds:datastoreItem xmlns:ds="http://schemas.openxmlformats.org/officeDocument/2006/customXml" ds:itemID="{1FF988ED-5593-4728-A409-918C38890370}"/>
</file>

<file path=customXml/itemProps4.xml><?xml version="1.0" encoding="utf-8"?>
<ds:datastoreItem xmlns:ds="http://schemas.openxmlformats.org/officeDocument/2006/customXml" ds:itemID="{CD60AA42-EABB-4AA6-9968-36BEAA60F209}"/>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2023-02-01T17:39:31Z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6cb009de-44cc-45da-b022-1af4dd9c4036</vt:lpwstr>
  </property>
  <property fmtid="{D5CDD505-2E9C-101B-9397-08002B2CF9AE}" pid="4" name="Order">
    <vt:r8>274714700</vt:r8>
  </property>
  <property fmtid="{D5CDD505-2E9C-101B-9397-08002B2CF9AE}" pid="5" name="MediaServiceImageTags">
    <vt:lpwstr/>
  </property>
</Properties>
</file>