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20670/"/>
    </mc:Choice>
  </mc:AlternateContent>
  <xr:revisionPtr revIDLastSave="0" documentId="13_ncr:1_{324F5C0D-DE5C-4F3B-A493-5C8D65B27C33}" xr6:coauthVersionLast="47" xr6:coauthVersionMax="47" xr10:uidLastSave="{00000000-0000-0000-0000-000000000000}"/>
  <bookViews>
    <workbookView xWindow="-28920" yWindow="-120" windowWidth="29040" windowHeight="15840" tabRatio="870" xr2:uid="{00000000-000D-0000-FFFF-FFFF00000000}"/>
  </bookViews>
  <sheets>
    <sheet name="Bryngwyn" sheetId="1" r:id="rId1"/>
    <sheet name="Capel Dewi" sheetId="21" r:id="rId2"/>
    <sheet name="Cefn Dryscoed" sheetId="27" r:id="rId3"/>
    <sheet name="Crai" sheetId="28" r:id="rId4"/>
    <sheet name="Elan Valley" sheetId="30" r:id="rId5"/>
    <sheet name="Hirwaun" sheetId="26" r:id="rId6"/>
    <sheet name="Whitebourne" sheetId="24" r:id="rId7"/>
    <sheet name="Additions" sheetId="20" r:id="rId8"/>
    <sheet name="Ratios" sheetId="19" r:id="rId9"/>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1" l="1"/>
  <c r="L3" i="24"/>
  <c r="L3" i="26"/>
  <c r="L3" i="30"/>
  <c r="L3" i="28"/>
  <c r="L3" i="27"/>
  <c r="L3" i="2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S22" i="30"/>
  <c r="Q22" i="30"/>
  <c r="K22" i="30"/>
  <c r="I22" i="30"/>
  <c r="T18" i="30"/>
  <c r="I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T10" i="19"/>
  <c r="T24" i="19" s="1"/>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O22" i="28"/>
  <c r="R18" i="28"/>
  <c r="I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Q22" i="27"/>
  <c r="O22" i="27"/>
  <c r="I22" i="27"/>
  <c r="T18" i="27"/>
  <c r="S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18" i="21"/>
  <c r="U63" i="30" l="1"/>
  <c r="U63" i="27"/>
  <c r="N58" i="21"/>
  <c r="N61" i="21"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V20" i="26" s="1"/>
  <c r="C8" i="20"/>
  <c r="D8" i="19"/>
  <c r="D22" i="19" s="1"/>
  <c r="K8" i="20"/>
  <c r="L8" i="19"/>
  <c r="L22" i="19" s="1"/>
  <c r="S8" i="20"/>
  <c r="T8" i="19"/>
  <c r="T22" i="19" s="1"/>
  <c r="O4" i="20"/>
  <c r="P4" i="19"/>
  <c r="P18" i="19" s="1"/>
  <c r="G6" i="20"/>
  <c r="H6" i="19"/>
  <c r="H20" i="19" s="1"/>
  <c r="O6" i="20"/>
  <c r="P6" i="19"/>
  <c r="P20" i="19" s="1"/>
  <c r="G4" i="20"/>
  <c r="H4" i="19"/>
  <c r="H18" i="19" s="1"/>
  <c r="G12" i="19"/>
  <c r="G26" i="19" s="1"/>
  <c r="O12" i="19"/>
  <c r="O26" i="19" s="1"/>
  <c r="U63" i="24"/>
  <c r="F63" i="24"/>
  <c r="N63" i="24"/>
  <c r="D59" i="28"/>
  <c r="E17" i="28"/>
  <c r="E21" i="28"/>
  <c r="E23" i="28" s="1"/>
  <c r="E24" i="28" s="1"/>
  <c r="L59" i="28"/>
  <c r="M17" i="28"/>
  <c r="M19" i="28" s="1"/>
  <c r="M20" i="28" s="1"/>
  <c r="M21" i="28"/>
  <c r="T59" i="28"/>
  <c r="U17" i="28"/>
  <c r="U19" i="28" s="1"/>
  <c r="U20" i="28" s="1"/>
  <c r="U21" i="28"/>
  <c r="U23" i="28" s="1"/>
  <c r="U24" i="28" s="1"/>
  <c r="I4" i="20"/>
  <c r="J4" i="19"/>
  <c r="J18" i="19" s="1"/>
  <c r="I59" i="21"/>
  <c r="J17" i="21"/>
  <c r="J19" i="21" s="1"/>
  <c r="J20" i="21" s="1"/>
  <c r="J21" i="21"/>
  <c r="P12" i="19"/>
  <c r="P26" i="19" s="1"/>
  <c r="Q9" i="20"/>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I9" i="20"/>
  <c r="J9" i="19"/>
  <c r="J23" i="19" s="1"/>
  <c r="R4" i="20"/>
  <c r="S4" i="19"/>
  <c r="S18" i="19" s="1"/>
  <c r="S11" i="19"/>
  <c r="S25" i="19" s="1"/>
  <c r="I59" i="24"/>
  <c r="J21" i="24"/>
  <c r="J17" i="24"/>
  <c r="J19" i="24" s="1"/>
  <c r="J20" i="24" s="1"/>
  <c r="Q59" i="24"/>
  <c r="R21" i="24"/>
  <c r="R17" i="24"/>
  <c r="R19" i="24" s="1"/>
  <c r="R20" i="24" s="1"/>
  <c r="M10" i="19"/>
  <c r="M24" i="19" s="1"/>
  <c r="U10" i="19"/>
  <c r="U24" i="19" s="1"/>
  <c r="K11" i="19"/>
  <c r="K25" i="19" s="1"/>
  <c r="E10" i="19"/>
  <c r="E24" i="19" s="1"/>
  <c r="C22" i="21"/>
  <c r="F4" i="19"/>
  <c r="F18" i="19" s="1"/>
  <c r="M4" i="20"/>
  <c r="N4" i="19"/>
  <c r="N18" i="19" s="1"/>
  <c r="U4" i="20"/>
  <c r="V4" i="19"/>
  <c r="V18" i="19" s="1"/>
  <c r="K59" i="21"/>
  <c r="L17" i="21"/>
  <c r="L21" i="21"/>
  <c r="M57" i="21"/>
  <c r="R59" i="21"/>
  <c r="S21" i="21"/>
  <c r="S23" i="21" s="1"/>
  <c r="S24" i="21" s="1"/>
  <c r="S17" i="21"/>
  <c r="J59" i="21"/>
  <c r="K21" i="21"/>
  <c r="K23" i="21" s="1"/>
  <c r="K24" i="21" s="1"/>
  <c r="K17" i="21"/>
  <c r="H21" i="24"/>
  <c r="H17" i="24"/>
  <c r="H19" i="24" s="1"/>
  <c r="H20" i="24" s="1"/>
  <c r="P17" i="24"/>
  <c r="P21" i="24"/>
  <c r="P23" i="24" s="1"/>
  <c r="P24" i="24" s="1"/>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K23" i="28" s="1"/>
  <c r="K24" i="28" s="1"/>
  <c r="R59" i="28"/>
  <c r="S17" i="28"/>
  <c r="S21" i="28"/>
  <c r="S23" i="28" s="1"/>
  <c r="S24" i="28" s="1"/>
  <c r="H59" i="30"/>
  <c r="I17" i="30"/>
  <c r="I19" i="30" s="1"/>
  <c r="I20" i="30" s="1"/>
  <c r="I21" i="30"/>
  <c r="I23" i="30" s="1"/>
  <c r="I24" i="30" s="1"/>
  <c r="Q17" i="30"/>
  <c r="Q19" i="30" s="1"/>
  <c r="Q20" i="30" s="1"/>
  <c r="Q21" i="3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U20" i="26" s="1"/>
  <c r="C59" i="27"/>
  <c r="D17" i="27"/>
  <c r="K59" i="27"/>
  <c r="L17" i="27"/>
  <c r="S59" i="27"/>
  <c r="T17" i="27"/>
  <c r="T19" i="27" s="1"/>
  <c r="T20" i="27" s="1"/>
  <c r="C59" i="28"/>
  <c r="D21" i="28"/>
  <c r="D23" i="28" s="1"/>
  <c r="D24" i="28" s="1"/>
  <c r="D17" i="28"/>
  <c r="D19" i="28" s="1"/>
  <c r="D20" i="28" s="1"/>
  <c r="K59" i="28"/>
  <c r="L21" i="28"/>
  <c r="L17" i="28"/>
  <c r="S59" i="28"/>
  <c r="T21" i="28"/>
  <c r="T23" i="28" s="1"/>
  <c r="T24" i="28" s="1"/>
  <c r="T17" i="28"/>
  <c r="T19" i="28" s="1"/>
  <c r="T20" i="28" s="1"/>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23" i="21" s="1"/>
  <c r="H24" i="21" s="1"/>
  <c r="H17" i="21"/>
  <c r="H19" i="21" s="1"/>
  <c r="H20" i="21" s="1"/>
  <c r="J59" i="24"/>
  <c r="K21" i="24"/>
  <c r="K17" i="24"/>
  <c r="K19" i="24" s="1"/>
  <c r="K20" i="24" s="1"/>
  <c r="R59" i="24"/>
  <c r="S21" i="24"/>
  <c r="S23" i="24" s="1"/>
  <c r="S24" i="24" s="1"/>
  <c r="S17" i="24"/>
  <c r="S19" i="24" s="1"/>
  <c r="S20" i="24" s="1"/>
  <c r="G21" i="26"/>
  <c r="G23" i="26" s="1"/>
  <c r="G24" i="26" s="1"/>
  <c r="G17" i="26"/>
  <c r="O17" i="26"/>
  <c r="O21" i="26"/>
  <c r="E59" i="27"/>
  <c r="F17" i="27"/>
  <c r="F19" i="27" s="1"/>
  <c r="F20" i="27" s="1"/>
  <c r="M59" i="27"/>
  <c r="N17" i="27"/>
  <c r="U59" i="27"/>
  <c r="V17" i="27"/>
  <c r="E59" i="28"/>
  <c r="F17" i="28"/>
  <c r="F21" i="28"/>
  <c r="M59" i="28"/>
  <c r="N17" i="28"/>
  <c r="N19" i="28" s="1"/>
  <c r="N20" i="28" s="1"/>
  <c r="N21" i="28"/>
  <c r="U59" i="28"/>
  <c r="V17" i="28"/>
  <c r="V21" i="28"/>
  <c r="C59" i="30"/>
  <c r="D17" i="30"/>
  <c r="D19" i="30" s="1"/>
  <c r="D20" i="30" s="1"/>
  <c r="D21" i="30"/>
  <c r="D23" i="30" s="1"/>
  <c r="D24" i="30" s="1"/>
  <c r="K59" i="30"/>
  <c r="L17" i="30"/>
  <c r="L19" i="30" s="1"/>
  <c r="L20" i="30" s="1"/>
  <c r="L21" i="30"/>
  <c r="L23" i="30" s="1"/>
  <c r="L24" i="30" s="1"/>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19" i="30" s="1"/>
  <c r="S20" i="30" s="1"/>
  <c r="S21" i="30"/>
  <c r="S23" i="30" s="1"/>
  <c r="S24" i="30" s="1"/>
  <c r="A34" i="21"/>
  <c r="N59" i="21"/>
  <c r="N64" i="21" s="1"/>
  <c r="O21" i="21"/>
  <c r="O23" i="21" s="1"/>
  <c r="O24" i="21" s="1"/>
  <c r="O17" i="21"/>
  <c r="O19" i="21" s="1"/>
  <c r="O20" i="21" s="1"/>
  <c r="F59" i="21"/>
  <c r="G21" i="21"/>
  <c r="G23" i="21" s="1"/>
  <c r="G24" i="21" s="1"/>
  <c r="G17" i="21"/>
  <c r="C59" i="24"/>
  <c r="D17" i="24"/>
  <c r="D19" i="24" s="1"/>
  <c r="D20" i="24" s="1"/>
  <c r="D21" i="24"/>
  <c r="K59" i="24"/>
  <c r="L21" i="24"/>
  <c r="L17" i="24"/>
  <c r="L19" i="24" s="1"/>
  <c r="L20" i="24" s="1"/>
  <c r="S59" i="24"/>
  <c r="T21" i="24"/>
  <c r="T17" i="24"/>
  <c r="T19" i="24" s="1"/>
  <c r="T20" i="24" s="1"/>
  <c r="H21" i="26"/>
  <c r="H23" i="26" s="1"/>
  <c r="H24" i="26" s="1"/>
  <c r="H17" i="26"/>
  <c r="P21" i="26"/>
  <c r="P23" i="26" s="1"/>
  <c r="P24" i="26" s="1"/>
  <c r="P17" i="26"/>
  <c r="P19" i="26" s="1"/>
  <c r="P20" i="26" s="1"/>
  <c r="F59" i="28"/>
  <c r="G17" i="28"/>
  <c r="G19" i="28" s="1"/>
  <c r="G20" i="28" s="1"/>
  <c r="G21" i="28"/>
  <c r="G23" i="28" s="1"/>
  <c r="G24" i="28" s="1"/>
  <c r="N59" i="28"/>
  <c r="O17" i="28"/>
  <c r="O19" i="28" s="1"/>
  <c r="O20" i="28" s="1"/>
  <c r="O21" i="28"/>
  <c r="D59" i="30"/>
  <c r="E17" i="30"/>
  <c r="E21" i="30"/>
  <c r="E23" i="30" s="1"/>
  <c r="E24" i="30" s="1"/>
  <c r="L59" i="30"/>
  <c r="M17" i="30"/>
  <c r="M21" i="30"/>
  <c r="M23" i="30" s="1"/>
  <c r="M24" i="30" s="1"/>
  <c r="T59" i="30"/>
  <c r="U17" i="30"/>
  <c r="U19" i="30" s="1"/>
  <c r="U20" i="30" s="1"/>
  <c r="U21" i="30"/>
  <c r="U23" i="30" s="1"/>
  <c r="U24" i="30" s="1"/>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D59" i="24"/>
  <c r="E17" i="24"/>
  <c r="E21" i="24"/>
  <c r="L59" i="24"/>
  <c r="M17" i="24"/>
  <c r="M19" i="24" s="1"/>
  <c r="M20" i="24" s="1"/>
  <c r="M21" i="24"/>
  <c r="M23" i="24" s="1"/>
  <c r="M24" i="24" s="1"/>
  <c r="T59" i="24"/>
  <c r="U21" i="24"/>
  <c r="U17" i="24"/>
  <c r="H59" i="26"/>
  <c r="I17" i="26"/>
  <c r="I21" i="26"/>
  <c r="I23" i="26" s="1"/>
  <c r="I24" i="26" s="1"/>
  <c r="P59" i="26"/>
  <c r="Q17" i="26"/>
  <c r="Q19" i="26" s="1"/>
  <c r="Q20" i="26" s="1"/>
  <c r="Q21" i="26"/>
  <c r="E63" i="26"/>
  <c r="H17" i="27"/>
  <c r="P17" i="27"/>
  <c r="P19" i="27" s="1"/>
  <c r="P20" i="27" s="1"/>
  <c r="H21" i="28"/>
  <c r="H23" i="28" s="1"/>
  <c r="H24" i="28" s="1"/>
  <c r="H17" i="28"/>
  <c r="P21" i="28"/>
  <c r="P17" i="28"/>
  <c r="P19" i="28" s="1"/>
  <c r="P20" i="28" s="1"/>
  <c r="E59" i="30"/>
  <c r="F21" i="30"/>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0" i="21" s="1"/>
  <c r="V21" i="21"/>
  <c r="V23" i="21" s="1"/>
  <c r="V24" i="21" s="1"/>
  <c r="E59" i="21"/>
  <c r="F17" i="21"/>
  <c r="F19" i="21" s="1"/>
  <c r="F20" i="21" s="1"/>
  <c r="F21" i="21"/>
  <c r="F23" i="21" s="1"/>
  <c r="F24" i="21" s="1"/>
  <c r="T59" i="21"/>
  <c r="T64" i="21" s="1"/>
  <c r="U17" i="21"/>
  <c r="U19" i="21" s="1"/>
  <c r="U20" i="21" s="1"/>
  <c r="U21" i="21"/>
  <c r="U23" i="21" s="1"/>
  <c r="U24" i="21" s="1"/>
  <c r="M17" i="21"/>
  <c r="M19" i="21" s="1"/>
  <c r="M20" i="21" s="1"/>
  <c r="M21" i="21"/>
  <c r="M23" i="21" s="1"/>
  <c r="M24" i="21" s="1"/>
  <c r="E17" i="21"/>
  <c r="E21" i="21"/>
  <c r="E23" i="21" s="1"/>
  <c r="E24" i="21" s="1"/>
  <c r="E59" i="24"/>
  <c r="F21" i="24"/>
  <c r="F17" i="24"/>
  <c r="M59" i="24"/>
  <c r="N21" i="24"/>
  <c r="N23" i="24" s="1"/>
  <c r="N24" i="24" s="1"/>
  <c r="N17" i="24"/>
  <c r="N19" i="24" s="1"/>
  <c r="N20" i="24" s="1"/>
  <c r="U59" i="24"/>
  <c r="V21" i="24"/>
  <c r="V17" i="24"/>
  <c r="V19" i="24" s="1"/>
  <c r="V20"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D23" i="21" s="1"/>
  <c r="D24" i="21" s="1"/>
  <c r="G17" i="24"/>
  <c r="G19" i="24" s="1"/>
  <c r="G20" i="24" s="1"/>
  <c r="G21" i="24"/>
  <c r="G23" i="24" s="1"/>
  <c r="G24" i="24" s="1"/>
  <c r="O17" i="24"/>
  <c r="O21" i="24"/>
  <c r="J59" i="26"/>
  <c r="K17" i="26"/>
  <c r="K19" i="26" s="1"/>
  <c r="K20" i="26" s="1"/>
  <c r="K21" i="26"/>
  <c r="R59" i="26"/>
  <c r="S17" i="26"/>
  <c r="S19" i="26" s="1"/>
  <c r="S20" i="26" s="1"/>
  <c r="S21" i="26"/>
  <c r="S23" i="26" s="1"/>
  <c r="S24" i="26" s="1"/>
  <c r="M63" i="26"/>
  <c r="I59" i="27"/>
  <c r="J17" i="27"/>
  <c r="Q59" i="27"/>
  <c r="R17" i="27"/>
  <c r="R19" i="27" s="1"/>
  <c r="R20" i="27" s="1"/>
  <c r="I59" i="28"/>
  <c r="J17" i="28"/>
  <c r="J19" i="28" s="1"/>
  <c r="J20" i="28" s="1"/>
  <c r="J21" i="28"/>
  <c r="J23" i="28" s="1"/>
  <c r="J24" i="28" s="1"/>
  <c r="Q59" i="28"/>
  <c r="R21" i="28"/>
  <c r="R23" i="28" s="1"/>
  <c r="R24" i="28" s="1"/>
  <c r="R17" i="28"/>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30"/>
  <c r="C21" i="30"/>
  <c r="C23" i="30" s="1"/>
  <c r="C24" i="30" s="1"/>
  <c r="C17" i="30"/>
  <c r="C19" i="30" s="1"/>
  <c r="C20" i="30" s="1"/>
  <c r="B59" i="24"/>
  <c r="C17" i="24"/>
  <c r="C19" i="24" s="1"/>
  <c r="C20" i="24" s="1"/>
  <c r="C21" i="24"/>
  <c r="C23" i="24" s="1"/>
  <c r="C24" i="24" s="1"/>
  <c r="B59" i="26"/>
  <c r="C21" i="26"/>
  <c r="C23" i="26" s="1"/>
  <c r="C24" i="26" s="1"/>
  <c r="C17" i="26"/>
  <c r="B59" i="21"/>
  <c r="C21" i="21"/>
  <c r="C17" i="21"/>
  <c r="C19" i="21" s="1"/>
  <c r="C20" i="21" s="1"/>
  <c r="S58" i="21"/>
  <c r="S61" i="21" s="1"/>
  <c r="C58" i="21"/>
  <c r="C61" i="21" s="1"/>
  <c r="K58" i="21"/>
  <c r="K61" i="21" s="1"/>
  <c r="K64" i="21" s="1"/>
  <c r="K65" i="21" s="1"/>
  <c r="I21" i="27"/>
  <c r="I23" i="27" s="1"/>
  <c r="I24" i="27" s="1"/>
  <c r="Q21" i="27"/>
  <c r="Q23" i="27" s="1"/>
  <c r="Q24" i="27" s="1"/>
  <c r="R58" i="21"/>
  <c r="R61" i="21" s="1"/>
  <c r="R64" i="21" s="1"/>
  <c r="O57" i="21"/>
  <c r="A43" i="21"/>
  <c r="J58" i="21"/>
  <c r="J61" i="21" s="1"/>
  <c r="E19" i="21"/>
  <c r="E20" i="21" s="1"/>
  <c r="G21" i="27"/>
  <c r="G23" i="27" s="1"/>
  <c r="G24" i="27" s="1"/>
  <c r="O21" i="27"/>
  <c r="O23" i="27" s="1"/>
  <c r="O24" i="27" s="1"/>
  <c r="D58" i="30"/>
  <c r="D61" i="30" s="1"/>
  <c r="D64" i="30" s="1"/>
  <c r="L58" i="30"/>
  <c r="L61" i="30" s="1"/>
  <c r="H21" i="27"/>
  <c r="H23" i="27" s="1"/>
  <c r="H24" i="27" s="1"/>
  <c r="P21" i="27"/>
  <c r="J58" i="26"/>
  <c r="J61" i="26" s="1"/>
  <c r="J58" i="27"/>
  <c r="J61" i="27" s="1"/>
  <c r="J64" i="27" s="1"/>
  <c r="R58" i="27"/>
  <c r="R61" i="27" s="1"/>
  <c r="R64" i="27" s="1"/>
  <c r="R58" i="28"/>
  <c r="R61" i="28" s="1"/>
  <c r="D19" i="27"/>
  <c r="D20" i="27" s="1"/>
  <c r="L21" i="27"/>
  <c r="L23" i="27" s="1"/>
  <c r="L24" i="27" s="1"/>
  <c r="T21" i="27"/>
  <c r="P58" i="21"/>
  <c r="P61" i="21" s="1"/>
  <c r="P64" i="21" s="1"/>
  <c r="H58" i="21"/>
  <c r="H61" i="21" s="1"/>
  <c r="R58" i="26"/>
  <c r="R61" i="26" s="1"/>
  <c r="R57" i="21"/>
  <c r="Q23" i="30"/>
  <c r="Q24" i="30" s="1"/>
  <c r="J58" i="28"/>
  <c r="J61" i="28" s="1"/>
  <c r="J58" i="24"/>
  <c r="J61" i="24" s="1"/>
  <c r="J64" i="24" s="1"/>
  <c r="R58" i="24"/>
  <c r="R61" i="24" s="1"/>
  <c r="F57" i="24"/>
  <c r="T58" i="30"/>
  <c r="T61" i="30" s="1"/>
  <c r="T64" i="30" s="1"/>
  <c r="F58" i="26"/>
  <c r="F61" i="26" s="1"/>
  <c r="D58" i="27"/>
  <c r="D61" i="27" s="1"/>
  <c r="D64" i="27" s="1"/>
  <c r="L58" i="27"/>
  <c r="L61" i="27" s="1"/>
  <c r="T58" i="27"/>
  <c r="T61" i="27" s="1"/>
  <c r="T64" i="27" s="1"/>
  <c r="J58" i="30"/>
  <c r="J61" i="30" s="1"/>
  <c r="J64" i="30" s="1"/>
  <c r="R58" i="30"/>
  <c r="R61" i="30" s="1"/>
  <c r="P57" i="30"/>
  <c r="J57" i="21"/>
  <c r="H59" i="21"/>
  <c r="J19" i="27"/>
  <c r="J20" i="27" s="1"/>
  <c r="R21" i="27"/>
  <c r="R23" i="27" s="1"/>
  <c r="R24" i="27" s="1"/>
  <c r="E58" i="27"/>
  <c r="E61" i="27" s="1"/>
  <c r="E64" i="27" s="1"/>
  <c r="E65" i="27" s="1"/>
  <c r="M58" i="27"/>
  <c r="M61" i="27" s="1"/>
  <c r="U58" i="27"/>
  <c r="U61" i="27" s="1"/>
  <c r="F58" i="30"/>
  <c r="F61" i="30" s="1"/>
  <c r="N58" i="30"/>
  <c r="N61" i="30" s="1"/>
  <c r="G59" i="21"/>
  <c r="C58" i="24"/>
  <c r="C61" i="24" s="1"/>
  <c r="K58" i="24"/>
  <c r="K61" i="24" s="1"/>
  <c r="S58" i="24"/>
  <c r="S61" i="24" s="1"/>
  <c r="N57" i="24"/>
  <c r="G58" i="26"/>
  <c r="G61" i="26" s="1"/>
  <c r="O58" i="26"/>
  <c r="O61" i="26" s="1"/>
  <c r="F58" i="27"/>
  <c r="F61" i="27" s="1"/>
  <c r="N58" i="27"/>
  <c r="N61" i="27" s="1"/>
  <c r="C58" i="28"/>
  <c r="C61" i="28" s="1"/>
  <c r="K58" i="28"/>
  <c r="K61" i="28" s="1"/>
  <c r="K64" i="28" s="1"/>
  <c r="K65" i="28" s="1"/>
  <c r="S58" i="28"/>
  <c r="S61" i="28" s="1"/>
  <c r="T23" i="30"/>
  <c r="T24" i="30" s="1"/>
  <c r="G58" i="30"/>
  <c r="G61" i="30" s="1"/>
  <c r="O58" i="30"/>
  <c r="O61" i="30" s="1"/>
  <c r="Q57" i="30"/>
  <c r="G58" i="27"/>
  <c r="G61" i="27" s="1"/>
  <c r="T58" i="28"/>
  <c r="T61" i="28" s="1"/>
  <c r="T64" i="28" s="1"/>
  <c r="T65" i="28" s="1"/>
  <c r="H58" i="30"/>
  <c r="H61" i="30" s="1"/>
  <c r="H64" i="30" s="1"/>
  <c r="N59" i="30"/>
  <c r="K19" i="21"/>
  <c r="K20" i="21" s="1"/>
  <c r="Q57" i="21"/>
  <c r="B58" i="21"/>
  <c r="B61" i="21" s="1"/>
  <c r="E58" i="24"/>
  <c r="E61" i="24" s="1"/>
  <c r="M58" i="24"/>
  <c r="M61" i="24" s="1"/>
  <c r="U58" i="24"/>
  <c r="U61" i="24" s="1"/>
  <c r="N59" i="26"/>
  <c r="H58" i="27"/>
  <c r="H61" i="27" s="1"/>
  <c r="P58" i="27"/>
  <c r="P61" i="27" s="1"/>
  <c r="F57" i="27"/>
  <c r="E58" i="28"/>
  <c r="E61" i="28" s="1"/>
  <c r="M58" i="28"/>
  <c r="M61" i="28" s="1"/>
  <c r="U58" i="28"/>
  <c r="U61" i="28" s="1"/>
  <c r="I58" i="30"/>
  <c r="I61" i="30" s="1"/>
  <c r="I64" i="30" s="1"/>
  <c r="I65" i="30" s="1"/>
  <c r="Q58" i="30"/>
  <c r="Q61" i="30" s="1"/>
  <c r="Q64" i="30" s="1"/>
  <c r="Q65" i="30" s="1"/>
  <c r="P59" i="30"/>
  <c r="L58" i="24"/>
  <c r="L61" i="24" s="1"/>
  <c r="P58" i="26"/>
  <c r="P61" i="26" s="1"/>
  <c r="F59" i="26"/>
  <c r="O58" i="27"/>
  <c r="O61" i="27" s="1"/>
  <c r="A38" i="21"/>
  <c r="O23" i="24"/>
  <c r="O24" i="24" s="1"/>
  <c r="F58" i="24"/>
  <c r="F61" i="24" s="1"/>
  <c r="N58" i="24"/>
  <c r="N61" i="24" s="1"/>
  <c r="F59" i="24"/>
  <c r="I58" i="27"/>
  <c r="I61" i="27" s="1"/>
  <c r="I64" i="27" s="1"/>
  <c r="Q58" i="27"/>
  <c r="Q61" i="27" s="1"/>
  <c r="Q64" i="27" s="1"/>
  <c r="H57" i="27"/>
  <c r="F59" i="27"/>
  <c r="O23" i="28"/>
  <c r="O24" i="28" s="1"/>
  <c r="F58" i="28"/>
  <c r="F61" i="28" s="1"/>
  <c r="N58" i="28"/>
  <c r="N61" i="28" s="1"/>
  <c r="F57" i="30"/>
  <c r="N58" i="26"/>
  <c r="N61" i="26" s="1"/>
  <c r="T58" i="24"/>
  <c r="T61" i="24" s="1"/>
  <c r="T64" i="24" s="1"/>
  <c r="H58" i="26"/>
  <c r="H61" i="26" s="1"/>
  <c r="H64" i="26" s="1"/>
  <c r="L58" i="28"/>
  <c r="L61" i="28" s="1"/>
  <c r="P19" i="21"/>
  <c r="P20" i="21" s="1"/>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C58" i="30"/>
  <c r="C61" i="30" s="1"/>
  <c r="C64" i="30" s="1"/>
  <c r="C65" i="30" s="1"/>
  <c r="K58" i="30"/>
  <c r="K61" i="30" s="1"/>
  <c r="K64" i="30" s="1"/>
  <c r="K65" i="30" s="1"/>
  <c r="S58" i="30"/>
  <c r="S61" i="30" s="1"/>
  <c r="H57" i="30"/>
  <c r="D58" i="24"/>
  <c r="D61" i="24" s="1"/>
  <c r="D64" i="24" s="1"/>
  <c r="D58" i="28"/>
  <c r="D61" i="28" s="1"/>
  <c r="D64" i="28" s="1"/>
  <c r="P58" i="30"/>
  <c r="P61" i="30" s="1"/>
  <c r="Q58" i="21"/>
  <c r="Q61" i="21" s="1"/>
  <c r="I58" i="21"/>
  <c r="I61" i="21" s="1"/>
  <c r="I23" i="24"/>
  <c r="I24" i="24" s="1"/>
  <c r="H58" i="24"/>
  <c r="H61" i="24" s="1"/>
  <c r="P58" i="24"/>
  <c r="P61" i="24" s="1"/>
  <c r="Q23" i="26"/>
  <c r="Q24" i="26" s="1"/>
  <c r="D58" i="26"/>
  <c r="D61" i="26" s="1"/>
  <c r="L58" i="26"/>
  <c r="L61" i="26" s="1"/>
  <c r="T58" i="26"/>
  <c r="T61" i="26" s="1"/>
  <c r="F57" i="26"/>
  <c r="C58" i="27"/>
  <c r="C61" i="27" s="1"/>
  <c r="C64" i="27" s="1"/>
  <c r="C65" i="27" s="1"/>
  <c r="K58" i="27"/>
  <c r="K61" i="27" s="1"/>
  <c r="S58" i="27"/>
  <c r="S61" i="27" s="1"/>
  <c r="S64" i="27" s="1"/>
  <c r="P57" i="27"/>
  <c r="N59" i="27"/>
  <c r="H58" i="28"/>
  <c r="H61" i="28" s="1"/>
  <c r="P58" i="28"/>
  <c r="P61" i="28" s="1"/>
  <c r="N57" i="28"/>
  <c r="I57" i="30"/>
  <c r="G57" i="21"/>
  <c r="I58" i="24"/>
  <c r="I61" i="24" s="1"/>
  <c r="Q58" i="24"/>
  <c r="Q61" i="24" s="1"/>
  <c r="Q64" i="24" s="1"/>
  <c r="E58" i="26"/>
  <c r="E61" i="26" s="1"/>
  <c r="M58" i="26"/>
  <c r="M61" i="26" s="1"/>
  <c r="U58" i="26"/>
  <c r="U61" i="26" s="1"/>
  <c r="U64" i="26" s="1"/>
  <c r="N57" i="26"/>
  <c r="P59" i="27"/>
  <c r="I58" i="28"/>
  <c r="I61" i="28" s="1"/>
  <c r="I64" i="28" s="1"/>
  <c r="Q58" i="28"/>
  <c r="Q61" i="28" s="1"/>
  <c r="Q64" i="28" s="1"/>
  <c r="P23" i="28"/>
  <c r="P24" i="28" s="1"/>
  <c r="E58" i="30"/>
  <c r="E61" i="30" s="1"/>
  <c r="E64" i="30" s="1"/>
  <c r="M58" i="30"/>
  <c r="M61" i="30" s="1"/>
  <c r="U58" i="30"/>
  <c r="U61" i="30" s="1"/>
  <c r="N57" i="30"/>
  <c r="F59" i="30"/>
  <c r="B58" i="30"/>
  <c r="B61" i="30" s="1"/>
  <c r="B64" i="30" s="1"/>
  <c r="B58" i="24"/>
  <c r="B61" i="24" s="1"/>
  <c r="B64" i="24" s="1"/>
  <c r="B58" i="26"/>
  <c r="B61" i="26" s="1"/>
  <c r="B58" i="27"/>
  <c r="B61" i="27" s="1"/>
  <c r="B58" i="28"/>
  <c r="B61" i="28" s="1"/>
  <c r="D5" i="20"/>
  <c r="D6" i="20"/>
  <c r="D4" i="20"/>
  <c r="E9" i="20"/>
  <c r="D9" i="20"/>
  <c r="E8" i="20"/>
  <c r="D8" i="20"/>
  <c r="E7" i="20"/>
  <c r="D7" i="20"/>
  <c r="E6" i="20"/>
  <c r="E5" i="20"/>
  <c r="E4" i="20"/>
  <c r="O23" i="30"/>
  <c r="O24" i="30" s="1"/>
  <c r="H23" i="30"/>
  <c r="H24" i="30" s="1"/>
  <c r="G23" i="30"/>
  <c r="G24" i="30" s="1"/>
  <c r="R19" i="30"/>
  <c r="R20" i="30" s="1"/>
  <c r="F63" i="30"/>
  <c r="N63" i="30"/>
  <c r="K19" i="30"/>
  <c r="K20" i="30" s="1"/>
  <c r="A31" i="30"/>
  <c r="A33" i="30"/>
  <c r="A39" i="30"/>
  <c r="A41" i="30"/>
  <c r="A47" i="30"/>
  <c r="A49" i="30"/>
  <c r="G57" i="30"/>
  <c r="O57" i="30"/>
  <c r="G59" i="30"/>
  <c r="O59" i="30"/>
  <c r="G63" i="30"/>
  <c r="O63" i="30"/>
  <c r="P63" i="30"/>
  <c r="I63" i="30"/>
  <c r="Q63" i="30"/>
  <c r="T19" i="30"/>
  <c r="T20" i="30" s="1"/>
  <c r="E19" i="30"/>
  <c r="E20" i="30" s="1"/>
  <c r="N19" i="30"/>
  <c r="N20" i="30" s="1"/>
  <c r="V19" i="30"/>
  <c r="V20" i="30" s="1"/>
  <c r="F23" i="30"/>
  <c r="F24" i="30" s="1"/>
  <c r="N23" i="30"/>
  <c r="N24" i="30" s="1"/>
  <c r="B63" i="30"/>
  <c r="J63" i="30"/>
  <c r="R63" i="30"/>
  <c r="M19" i="30"/>
  <c r="M20" i="30" s="1"/>
  <c r="G19" i="30"/>
  <c r="G20" i="30" s="1"/>
  <c r="A32" i="30"/>
  <c r="A34" i="30"/>
  <c r="A40" i="30"/>
  <c r="A42" i="30"/>
  <c r="A48" i="30"/>
  <c r="A50" i="30"/>
  <c r="C63" i="30"/>
  <c r="K63" i="30"/>
  <c r="S63" i="30"/>
  <c r="P19" i="30"/>
  <c r="P20" i="30" s="1"/>
  <c r="D63" i="30"/>
  <c r="L63" i="30"/>
  <c r="T63" i="30"/>
  <c r="H63" i="30"/>
  <c r="E63" i="30"/>
  <c r="M63" i="30"/>
  <c r="K19" i="28"/>
  <c r="K20" i="28" s="1"/>
  <c r="S19" i="28"/>
  <c r="S20" i="28" s="1"/>
  <c r="A31" i="28"/>
  <c r="A33" i="28"/>
  <c r="A37" i="28"/>
  <c r="A39" i="28"/>
  <c r="A41" i="28"/>
  <c r="A45" i="28"/>
  <c r="A47" i="28"/>
  <c r="A49" i="28"/>
  <c r="G57" i="28"/>
  <c r="O57" i="28"/>
  <c r="G59" i="28"/>
  <c r="O59" i="28"/>
  <c r="G63" i="28"/>
  <c r="O63" i="28"/>
  <c r="L19" i="28"/>
  <c r="L20" i="28" s="1"/>
  <c r="L23" i="28"/>
  <c r="L24" i="28" s="1"/>
  <c r="H59" i="28"/>
  <c r="P59" i="28"/>
  <c r="H63" i="28"/>
  <c r="P63" i="28"/>
  <c r="E19" i="28"/>
  <c r="E20" i="28" s="1"/>
  <c r="M23" i="28"/>
  <c r="M24" i="28" s="1"/>
  <c r="I57" i="28"/>
  <c r="Q57" i="28"/>
  <c r="I63" i="28"/>
  <c r="Q63" i="28"/>
  <c r="R19" i="28"/>
  <c r="R20" i="28" s="1"/>
  <c r="F19" i="28"/>
  <c r="F20" i="28" s="1"/>
  <c r="V19" i="28"/>
  <c r="V20" i="28" s="1"/>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T23" i="27"/>
  <c r="T24"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U20" i="27" s="1"/>
  <c r="E21" i="27"/>
  <c r="E23" i="27" s="1"/>
  <c r="E24" i="27" s="1"/>
  <c r="M21" i="27"/>
  <c r="M23" i="27" s="1"/>
  <c r="M24" i="27" s="1"/>
  <c r="U21" i="27"/>
  <c r="U23" i="27" s="1"/>
  <c r="U24" i="27" s="1"/>
  <c r="I57" i="27"/>
  <c r="Q57" i="27"/>
  <c r="I63" i="27"/>
  <c r="Q63" i="27"/>
  <c r="N19" i="27"/>
  <c r="N20" i="27" s="1"/>
  <c r="V19" i="27"/>
  <c r="V20" i="27" s="1"/>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O23" i="26"/>
  <c r="O24" i="26" s="1"/>
  <c r="J23" i="26"/>
  <c r="J24" i="26" s="1"/>
  <c r="C19" i="26"/>
  <c r="C20" i="26" s="1"/>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M23" i="26"/>
  <c r="M24" i="26" s="1"/>
  <c r="I57" i="26"/>
  <c r="Q57" i="26"/>
  <c r="I59" i="26"/>
  <c r="I64" i="26" s="1"/>
  <c r="Q59" i="26"/>
  <c r="Q64" i="26" s="1"/>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D63" i="26"/>
  <c r="L63" i="26"/>
  <c r="I19" i="26"/>
  <c r="I20" i="26" s="1"/>
  <c r="J23" i="24"/>
  <c r="J24" i="24" s="1"/>
  <c r="H23" i="24"/>
  <c r="H24" i="24" s="1"/>
  <c r="K23" i="24"/>
  <c r="K24" i="24" s="1"/>
  <c r="A31" i="24"/>
  <c r="A33" i="24"/>
  <c r="A37" i="24"/>
  <c r="A39" i="24"/>
  <c r="A41" i="24"/>
  <c r="A45" i="24"/>
  <c r="A47" i="24"/>
  <c r="A49" i="24"/>
  <c r="G57" i="24"/>
  <c r="O57" i="24"/>
  <c r="G59" i="24"/>
  <c r="O59" i="24"/>
  <c r="G63" i="24"/>
  <c r="O63" i="24"/>
  <c r="H59" i="24"/>
  <c r="P59" i="24"/>
  <c r="H63" i="24"/>
  <c r="P63" i="24"/>
  <c r="E19" i="24"/>
  <c r="E20" i="24" s="1"/>
  <c r="U19" i="24"/>
  <c r="U20" i="24" s="1"/>
  <c r="E23" i="24"/>
  <c r="E24" i="24" s="1"/>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L23" i="21"/>
  <c r="L24" i="21" s="1"/>
  <c r="N23" i="21"/>
  <c r="N24" i="21" s="1"/>
  <c r="A33" i="21"/>
  <c r="A37" i="21"/>
  <c r="A41" i="21"/>
  <c r="A45" i="21"/>
  <c r="A49" i="21"/>
  <c r="E58" i="21"/>
  <c r="E61" i="21" s="1"/>
  <c r="M58" i="21"/>
  <c r="M61" i="21" s="1"/>
  <c r="U58" i="21"/>
  <c r="U61" i="21" s="1"/>
  <c r="U64" i="21" s="1"/>
  <c r="S19" i="21"/>
  <c r="S20" i="21" s="1"/>
  <c r="I23" i="21"/>
  <c r="I24" i="21" s="1"/>
  <c r="C57" i="21"/>
  <c r="K57" i="21"/>
  <c r="S57" i="21"/>
  <c r="G19" i="21"/>
  <c r="G20" i="21" s="1"/>
  <c r="Q19" i="21"/>
  <c r="Q20" i="21" s="1"/>
  <c r="J23" i="21"/>
  <c r="J24" i="21" s="1"/>
  <c r="R23" i="21"/>
  <c r="R24" i="21" s="1"/>
  <c r="I19" i="21"/>
  <c r="I20" i="21" s="1"/>
  <c r="L19" i="21"/>
  <c r="L20" i="21" s="1"/>
  <c r="R19" i="21"/>
  <c r="R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T65" i="27" l="1"/>
  <c r="S65" i="27"/>
  <c r="K64" i="27"/>
  <c r="K66" i="27" s="1"/>
  <c r="L64" i="26"/>
  <c r="J64" i="28"/>
  <c r="J65" i="28" s="1"/>
  <c r="G64" i="30"/>
  <c r="G65" i="30" s="1"/>
  <c r="L64" i="24"/>
  <c r="C64" i="21"/>
  <c r="C66" i="21" s="1"/>
  <c r="C23" i="21"/>
  <c r="C24" i="21" s="1"/>
  <c r="B65" i="24"/>
  <c r="Q65" i="26"/>
  <c r="C65" i="26"/>
  <c r="I65" i="26"/>
  <c r="L65" i="26"/>
  <c r="H65" i="26"/>
  <c r="S65" i="26"/>
  <c r="D65" i="30"/>
  <c r="E65" i="30"/>
  <c r="T65" i="30"/>
  <c r="H65" i="30"/>
  <c r="J65" i="30"/>
  <c r="B65" i="30"/>
  <c r="Q65" i="28"/>
  <c r="D65" i="28"/>
  <c r="I65" i="28"/>
  <c r="D65" i="27"/>
  <c r="Q65" i="27"/>
  <c r="R65" i="27"/>
  <c r="I65" i="27"/>
  <c r="J65" i="27"/>
  <c r="P65" i="21"/>
  <c r="R65" i="21"/>
  <c r="O65" i="21"/>
  <c r="T65" i="21"/>
  <c r="Q65" i="24"/>
  <c r="T65" i="24"/>
  <c r="J65" i="24"/>
  <c r="L65" i="24"/>
  <c r="D65" i="24"/>
  <c r="U66" i="26"/>
  <c r="U65" i="26"/>
  <c r="F64" i="26"/>
  <c r="R64" i="28"/>
  <c r="R65" i="28" s="1"/>
  <c r="R64" i="30"/>
  <c r="R65" i="30" s="1"/>
  <c r="N66" i="21"/>
  <c r="N65" i="21"/>
  <c r="L64" i="28"/>
  <c r="L65" i="28" s="1"/>
  <c r="U64" i="30"/>
  <c r="U66" i="21"/>
  <c r="U65" i="21"/>
  <c r="M64" i="26"/>
  <c r="Q64" i="21"/>
  <c r="Q65" i="21" s="1"/>
  <c r="L64" i="30"/>
  <c r="L65" i="30"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S64" i="30"/>
  <c r="F64" i="30"/>
  <c r="R64" i="26"/>
  <c r="R65" i="26" s="1"/>
  <c r="E64" i="24"/>
  <c r="H64" i="21"/>
  <c r="H65" i="21" s="1"/>
  <c r="H64" i="28"/>
  <c r="G64" i="28"/>
  <c r="P64" i="26"/>
  <c r="P65" i="26" s="1"/>
  <c r="E64" i="28"/>
  <c r="J64" i="26"/>
  <c r="J65" i="26" s="1"/>
  <c r="M64" i="27"/>
  <c r="H64" i="27"/>
  <c r="G64" i="24"/>
  <c r="H64" i="24"/>
  <c r="K64" i="24"/>
  <c r="K65" i="24" s="1"/>
  <c r="P64" i="24"/>
  <c r="P65" i="24" s="1"/>
  <c r="O66" i="21"/>
  <c r="M64" i="30"/>
  <c r="K64" i="26"/>
  <c r="C64" i="28"/>
  <c r="C64" i="24"/>
  <c r="L64" i="27"/>
  <c r="R64" i="24"/>
  <c r="M64" i="21"/>
  <c r="M65" i="21" s="1"/>
  <c r="P64" i="28"/>
  <c r="I64" i="21"/>
  <c r="U64" i="28"/>
  <c r="U64" i="24"/>
  <c r="U64" i="27"/>
  <c r="S66" i="27"/>
  <c r="D66" i="30"/>
  <c r="Q66" i="30"/>
  <c r="B64" i="28"/>
  <c r="B64" i="27"/>
  <c r="B64" i="26"/>
  <c r="B64" i="21"/>
  <c r="O64" i="27"/>
  <c r="O64" i="28"/>
  <c r="N64" i="27"/>
  <c r="N64" i="30"/>
  <c r="G64" i="26"/>
  <c r="O64" i="26"/>
  <c r="T66" i="24"/>
  <c r="P64" i="30"/>
  <c r="P66" i="21"/>
  <c r="Q66" i="24"/>
  <c r="R66" i="27"/>
  <c r="C66" i="27"/>
  <c r="J66" i="27"/>
  <c r="G64" i="27"/>
  <c r="G66" i="30"/>
  <c r="J66" i="30"/>
  <c r="F64" i="27"/>
  <c r="T66" i="27"/>
  <c r="T66" i="21"/>
  <c r="H66" i="30"/>
  <c r="E66" i="30"/>
  <c r="L66" i="21"/>
  <c r="S66" i="26"/>
  <c r="L66" i="26"/>
  <c r="T66" i="30"/>
  <c r="N64" i="26"/>
  <c r="S64" i="1"/>
  <c r="D66" i="27"/>
  <c r="R64" i="1"/>
  <c r="Q64" i="1"/>
  <c r="Q65" i="1" s="1"/>
  <c r="U64" i="1"/>
  <c r="P64" i="1"/>
  <c r="E66" i="27"/>
  <c r="J66" i="24"/>
  <c r="O64" i="30"/>
  <c r="N64" i="24"/>
  <c r="B66" i="30"/>
  <c r="B66" i="24"/>
  <c r="K66" i="30"/>
  <c r="C66" i="30"/>
  <c r="I66" i="30"/>
  <c r="T66" i="28"/>
  <c r="D66" i="28"/>
  <c r="Q66" i="28"/>
  <c r="I66" i="28"/>
  <c r="K66" i="28"/>
  <c r="Q66" i="27"/>
  <c r="I66" i="27"/>
  <c r="Q66" i="26"/>
  <c r="C66" i="26"/>
  <c r="I66" i="26"/>
  <c r="H66" i="26"/>
  <c r="L66" i="24"/>
  <c r="D66" i="24"/>
  <c r="K66" i="21"/>
  <c r="D66" i="21"/>
  <c r="R66" i="21"/>
  <c r="N64" i="1"/>
  <c r="N65" i="1" s="1"/>
  <c r="M64" i="1"/>
  <c r="T64" i="1"/>
  <c r="L64" i="1"/>
  <c r="J64" i="1"/>
  <c r="K64" i="1"/>
  <c r="O64" i="1"/>
  <c r="C64" i="1"/>
  <c r="C65" i="1" s="1"/>
  <c r="I64" i="1"/>
  <c r="I65" i="1" s="1"/>
  <c r="H64" i="1"/>
  <c r="G64" i="1"/>
  <c r="G65" i="1" s="1"/>
  <c r="F64" i="1"/>
  <c r="E64" i="1"/>
  <c r="D64" i="1"/>
  <c r="B64" i="1"/>
  <c r="D63" i="1"/>
  <c r="L63" i="1"/>
  <c r="F63" i="1"/>
  <c r="R63" i="1"/>
  <c r="J63" i="1"/>
  <c r="Q63" i="1"/>
  <c r="I63" i="1"/>
  <c r="C63" i="1"/>
  <c r="K63" i="1"/>
  <c r="P63" i="1"/>
  <c r="H63" i="1"/>
  <c r="T63" i="1"/>
  <c r="S63" i="1"/>
  <c r="O63" i="1"/>
  <c r="G63" i="1"/>
  <c r="N63" i="1"/>
  <c r="E63" i="1"/>
  <c r="B63" i="1"/>
  <c r="U63" i="1"/>
  <c r="M63" i="1"/>
  <c r="K65" i="27" l="1"/>
  <c r="M66" i="24"/>
  <c r="K66" i="24"/>
  <c r="J66" i="28"/>
  <c r="U65" i="1"/>
  <c r="Q66" i="21"/>
  <c r="C65" i="21"/>
  <c r="T65" i="1"/>
  <c r="H65" i="1"/>
  <c r="O65" i="1"/>
  <c r="S65" i="1"/>
  <c r="M65" i="1"/>
  <c r="R65" i="1"/>
  <c r="K65" i="1"/>
  <c r="J65" i="1"/>
  <c r="D65" i="1"/>
  <c r="E65" i="1"/>
  <c r="F65" i="1"/>
  <c r="L65" i="1"/>
  <c r="P65" i="1"/>
  <c r="B65" i="1"/>
  <c r="T66" i="1"/>
  <c r="S66" i="28"/>
  <c r="M66" i="28"/>
  <c r="L66" i="28"/>
  <c r="J66" i="26"/>
  <c r="P66" i="27"/>
  <c r="R66" i="28"/>
  <c r="Q66" i="1"/>
  <c r="P66" i="26"/>
  <c r="H66" i="21"/>
  <c r="R66" i="30"/>
  <c r="P66" i="24"/>
  <c r="F66" i="21"/>
  <c r="F65" i="21"/>
  <c r="M66" i="21"/>
  <c r="D66" i="26"/>
  <c r="S66" i="24"/>
  <c r="N66" i="27"/>
  <c r="N65" i="27"/>
  <c r="R66" i="24"/>
  <c r="R65" i="24"/>
  <c r="G66" i="28"/>
  <c r="G65" i="28"/>
  <c r="F66" i="28"/>
  <c r="F65" i="28"/>
  <c r="O66" i="24"/>
  <c r="O65" i="24"/>
  <c r="T66" i="26"/>
  <c r="T65" i="26"/>
  <c r="R66" i="26"/>
  <c r="N66" i="30"/>
  <c r="N65" i="30"/>
  <c r="N66" i="26"/>
  <c r="N65" i="26"/>
  <c r="G66" i="27"/>
  <c r="G65" i="27"/>
  <c r="P66" i="30"/>
  <c r="P65" i="30"/>
  <c r="O66" i="28"/>
  <c r="O65" i="28"/>
  <c r="L66" i="27"/>
  <c r="L65" i="27"/>
  <c r="H66" i="24"/>
  <c r="H65" i="24"/>
  <c r="H66" i="28"/>
  <c r="H65" i="28"/>
  <c r="F66" i="24"/>
  <c r="F65" i="24"/>
  <c r="K66" i="26"/>
  <c r="K65" i="26"/>
  <c r="O66" i="27"/>
  <c r="O65" i="27"/>
  <c r="U66" i="27"/>
  <c r="U65" i="27"/>
  <c r="G66" i="24"/>
  <c r="G65" i="24"/>
  <c r="J66" i="21"/>
  <c r="J65" i="21"/>
  <c r="G66" i="26"/>
  <c r="G65" i="26"/>
  <c r="U66" i="28"/>
  <c r="U65" i="28"/>
  <c r="G66" i="21"/>
  <c r="G65" i="21"/>
  <c r="O66" i="26"/>
  <c r="O65" i="26"/>
  <c r="U66" i="24"/>
  <c r="U65" i="24"/>
  <c r="H66" i="27"/>
  <c r="H65" i="27"/>
  <c r="E66" i="24"/>
  <c r="E65" i="24"/>
  <c r="N66" i="28"/>
  <c r="N65" i="28"/>
  <c r="E66" i="26"/>
  <c r="E65" i="26"/>
  <c r="M66" i="26"/>
  <c r="M65" i="26"/>
  <c r="F66" i="26"/>
  <c r="F65" i="26"/>
  <c r="M66" i="27"/>
  <c r="M65" i="27"/>
  <c r="N66" i="24"/>
  <c r="N65" i="24"/>
  <c r="I66" i="21"/>
  <c r="I65" i="21"/>
  <c r="M66" i="30"/>
  <c r="M65" i="30"/>
  <c r="F66" i="30"/>
  <c r="F65" i="30"/>
  <c r="E66" i="21"/>
  <c r="E65" i="21"/>
  <c r="I66" i="24"/>
  <c r="O66" i="30"/>
  <c r="O65" i="30"/>
  <c r="F66" i="27"/>
  <c r="F65" i="27"/>
  <c r="L66" i="30"/>
  <c r="P66" i="28"/>
  <c r="P65" i="28"/>
  <c r="E66" i="28"/>
  <c r="E65" i="28"/>
  <c r="S66" i="30"/>
  <c r="S65" i="30"/>
  <c r="S66" i="21"/>
  <c r="S65" i="21"/>
  <c r="U66" i="30"/>
  <c r="U65" i="30"/>
  <c r="C66" i="24"/>
  <c r="C65" i="24"/>
  <c r="C66" i="28"/>
  <c r="C65" i="28"/>
  <c r="B66" i="21"/>
  <c r="B65" i="21"/>
  <c r="B66" i="27"/>
  <c r="B65" i="27"/>
  <c r="B66" i="26"/>
  <c r="B65" i="26"/>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<sst xmlns="http://schemas.openxmlformats.org/spreadsheetml/2006/main" count="1623" uniqueCount="185">
  <si>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</si>
  <si>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</si>
  <si>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</si>
  <si>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</si>
  <si>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</si>
  <si>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</si>
  <si>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</si>
  <si>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</si>
  <si>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</si>
  <si>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</si>
  <si>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</si>
  <si>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</si>
  <si>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</si>
  <si>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</si>
  <si>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</si>
  <si>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</si>
  <si>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</si>
  <si>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</si>
  <si>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</si>
  <si>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</si>
  <si>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</si>
  <si>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</si>
  <si>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</si>
  <si>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</si>
  <si>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</si>
  <si>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</si>
  <si>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</si>
  <si>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</si>
  <si>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</si>
  <si>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</si>
  <si>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</si>
  <si>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</si>
  <si>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</si>
  <si>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</si>
  <si>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</si>
  <si>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</si>
  <si>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</si>
  <si>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</si>
  <si>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</si>
  <si>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</si>
  <si>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</si>
  <si>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</si>
  <si>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</si>
  <si>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</si>
  <si>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</si>
  <si>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</si>
  <si>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</si>
  <si>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</si>
  <si>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</si>
  <si>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</si>
  <si>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</si>
  <si>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</si>
  <si>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</si>
  <si>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</si>
  <si>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</si>
  <si>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</si>
  <si>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</si>
  <si>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</si>
  <si>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</si>
  <si>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</si>
  <si>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</si>
  <si>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</si>
  <si>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</si>
  <si>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</si>
  <si>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</si>
  <si>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</si>
  <si>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</si>
  <si>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</si>
  <si>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</si>
  <si>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</si>
  <si>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</si>
  <si>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</si>
  <si>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</si>
  <si>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</si>
  <si>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</si>
  <si>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</si>
  <si>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</si>
  <si>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</si>
  <si>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</si>
  <si>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</si>
  <si>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</si>
  <si>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</si>
  <si>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</si>
  <si>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</si>
  <si>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</si>
  <si>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</si>
  <si>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</si>
  <si>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</si>
  <si>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</si>
  <si>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</si>
  <si>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</si>
  <si>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</si>
  <si>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</si>
  <si>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</si>
  <si>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</si>
  <si>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</si>
  <si>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</si>
  <si>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</si>
  <si>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</si>
  <si>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</si>
  <si>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</si>
  <si>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</si>
  <si>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</si>
  <si>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</si>
  <si>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</si>
  <si>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</si>
  <si>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</si>
  <si>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</si>
  <si>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</si>
  <si>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</si>
  <si>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</si>
  <si>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</si>
  <si>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</si>
  <si>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</si>
  <si>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</si>
  <si>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</si>
  <si>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</si>
  <si>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</si>
  <si>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</si>
  <si>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</si>
  <si>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</si>
  <si>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</si>
  <si>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</si>
  <si>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</si>
  <si>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</si>
  <si>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</si>
  <si>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</si>
  <si>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</si>
  <si>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</si>
  <si>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</si>
  <si>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</si>
  <si>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</si>
  <si>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</si>
  <si>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</si>
  <si>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</si>
  <si>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</si>
  <si>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</si>
  <si>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</si>
  <si>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</si>
  <si>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</si>
  <si>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</si>
  <si>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</si>
  <si>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</si>
  <si>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</si>
  <si>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</si>
  <si>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</si>
  <si>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</si>
  <si>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</si>
  <si>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</si>
  <si>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</si>
  <si>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</si>
  <si>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</si>
  <si>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</si>
  <si>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</si>
  <si>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</si>
  <si>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</si>
  <si>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</si>
  <si>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</si>
  <si>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</si>
  <si>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</si>
  <si>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PAN-020670</t>
  </si>
  <si>
    <t>EPR/GP3792SK</t>
  </si>
  <si>
    <t>Mr Richard Evans</t>
  </si>
  <si>
    <t>Nantywenynen, Aberdare,CF44 9JD</t>
  </si>
  <si>
    <t xml:space="preserve">Owen Clee </t>
  </si>
  <si>
    <t xml:space="preserve">19 09 02 </t>
  </si>
  <si>
    <t>Potable water treatment
sludge</t>
  </si>
  <si>
    <t>N3</t>
  </si>
  <si>
    <t>N5</t>
  </si>
  <si>
    <t>N17</t>
  </si>
  <si>
    <t>BG1</t>
  </si>
  <si>
    <t>BG2</t>
  </si>
  <si>
    <t>BG3</t>
  </si>
  <si>
    <t>BG4</t>
  </si>
  <si>
    <t>BG5</t>
  </si>
  <si>
    <t>Peny1</t>
  </si>
  <si>
    <t>G1</t>
  </si>
  <si>
    <t>G2</t>
  </si>
  <si>
    <t>G3</t>
  </si>
  <si>
    <t>G4A</t>
  </si>
  <si>
    <t>G4B</t>
  </si>
  <si>
    <t>Moderate</t>
  </si>
  <si>
    <t>G5</t>
  </si>
  <si>
    <t>G9</t>
  </si>
  <si>
    <t>G12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</si>
</sst>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
      <sz val="8"/>
      <name val="Calibri"/>
      <family val="2"/>
      <scheme val="minor"/>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294">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18"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360F44E4-7249-415F-8D5E-41D249F9A162}" name="Crop" dataDxfId="257"/>
    <tableColumn id="2" xr3:uid="{55E07717-B4EC-4E8A-B9A9-34F3CF85E32D}" name="P Offtake" dataDxfId="256"/>
    <tableColumn id="3" xr3:uid="{7B25FA52-8104-4FE3-AED4-B53CBFDF89B2}" name="K Offtake" dataDxfId="255"/>
    <tableColumn id="4" xr3:uid="{0DBAE461-2D09-43C8-9342-3980D552AE4D}" name="Order" dataDxfId="254"/>
    <tableColumn id="5" xr3:uid="{52CACE7B-0CBA-46FC-9F24-02CBD6100239}" name="Lime pH requirement" dataDxfId="253"/>
    <tableColumn id="6" xr3:uid="{F1432630-9B16-4266-8147-CE754A715307}" name="Column1" dataDxfId="25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06008BA1-A1E9-4286-B67A-352533C06A26}" name="Crop" dataDxfId="173"/>
    <tableColumn id="2" xr3:uid="{2AEB5EEB-C9D1-41DC-913E-953A33D1A4AF}" name="P Offtake" dataDxfId="172"/>
    <tableColumn id="3" xr3:uid="{8FA16A0B-1017-4CEE-862E-0A8CBD8EB3D3}" name="K Offtake" dataDxfId="171"/>
    <tableColumn id="4" xr3:uid="{E7A3B8CD-4036-47F4-B818-C3F22E80C749}" name="Order" dataDxfId="170"/>
    <tableColumn id="5" xr3:uid="{8F3EBD84-7904-4559-9B5C-63088B792C98}" name="Lime pH requirement" dataDxfId="169"/>
    <tableColumn id="6" xr3:uid="{A21DD95A-C955-4510-9114-E3F1CB645370}" name="Column1" dataDxfId="1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1579FCC-3D9F-49AD-888D-5D79B801F6AE}" name="Crop" dataDxfId="131"/>
    <tableColumn id="2" xr3:uid="{05C08116-56D5-4CC6-A649-B06AF891B931}" name="P Offtake" dataDxfId="130"/>
    <tableColumn id="3" xr3:uid="{59CDE959-192B-4757-9203-A0F691CF0F96}" name="K Offtake" dataDxfId="129"/>
    <tableColumn id="4" xr3:uid="{9FB8E4F7-B91F-4CE0-AF39-D4895D0ECF2F}" name="Order" dataDxfId="128"/>
    <tableColumn id="5" xr3:uid="{688FF2A4-D7C6-4425-A915-A9ADD700A9EE}" name="Lime pH requirement" dataDxfId="127"/>
    <tableColumn id="6" xr3:uid="{05FC5CFF-3D81-4B5F-87C7-2364076F2714}" name="Column1" dataDxfId="12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973D7FFB-D248-4199-9B2E-B3C6CC09D382}" name="Crop" dataDxfId="89"/>
    <tableColumn id="2" xr3:uid="{7F2A3986-EC86-4CF9-BD10-791170BA6682}" name="P Offtake" dataDxfId="88"/>
    <tableColumn id="3" xr3:uid="{D6129C35-9DC6-42E5-AE3F-EA3A083168E6}" name="K Offtake" dataDxfId="87"/>
    <tableColumn id="4" xr3:uid="{C1CC42B5-564A-4DE7-B817-B7D686FE9A11}" name="Order" dataDxfId="86"/>
    <tableColumn id="5" xr3:uid="{620F3ABD-564C-411A-8DEA-CE1A34F9FC36}" name="Lime pH requirement" dataDxfId="85"/>
    <tableColumn id="6" xr3:uid="{76C9BC4F-4FF3-4AFB-8E7B-16DC0CC3E97C}" name="Column1" dataDxfId="8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D13A12FC-EAE6-4280-A219-C2622262E5F4}" name="Crop" dataDxfId="47"/>
    <tableColumn id="2" xr3:uid="{FD06C4A3-4B75-490D-88CF-232C7DC3EFC6}" name="P Offtake" dataDxfId="46"/>
    <tableColumn id="3" xr3:uid="{B043BEFF-10D4-4840-989B-BB13A502ECDF}" name="K Offtake" dataDxfId="45"/>
    <tableColumn id="4" xr3:uid="{48481FDC-5D20-466C-B554-D45886EA366A}" name="Order" dataDxfId="44"/>
    <tableColumn id="5" xr3:uid="{9E0852D2-9D0D-44AB-98B7-FBA51F331ACF}" name="Lime pH requirement" dataDxfId="43"/>
    <tableColumn id="6" xr3:uid="{29F9C4A5-6854-4F37-8BD1-0DD9B6024A55}" name="Column1" dataDxfId="42"/>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1B554ED3-7AAF-4192-827C-B071945474B8}" name="Crop" dataDxfId="5"/>
    <tableColumn id="2" xr3:uid="{35F435E0-8D8E-44D1-84BD-C2FF51C3F944}" name="P Offtake" dataDxfId="4"/>
    <tableColumn id="3" xr3:uid="{38465C9D-AA8F-443A-80F5-96D1F6258317}" name="K Offtake" dataDxfId="3"/>
    <tableColumn id="4" xr3:uid="{E0C0E6AF-5628-4BC3-9625-81A87B93D279}" name="Order" dataDxfId="2"/>
    <tableColumn id="5" xr3:uid="{ACDE1D9A-7F94-4404-BDDC-1235C32C758F}" name="Lime pH requirement" dataDxfId="1"/>
    <tableColumn id="6" xr3:uid="{B093C9DF-C4CF-4906-9658-89F446EB9C12}"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90" zoomScaleNormal="90" workbookViewId="0">
      <selection activeCell="F2" sqref="F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0" t="s">
        <v>41</v>
      </c>
      <c r="B1" s="120"/>
      <c r="C1" s="139" t="s">
        <v>160</v>
      </c>
      <c r="D1" s="137"/>
      <c r="E1" s="92" t="s">
        <v>45</v>
      </c>
      <c r="F1" s="95">
        <v>34</v>
      </c>
      <c r="G1" s="121" t="s">
        <v>43</v>
      </c>
      <c r="H1" s="122"/>
      <c r="I1" s="95">
        <v>6.8</v>
      </c>
      <c r="J1" s="120" t="s">
        <v>153</v>
      </c>
      <c r="K1" s="120"/>
      <c r="L1" s="95">
        <v>324</v>
      </c>
      <c r="AB1" s="18"/>
      <c r="AC1" s="18"/>
      <c r="AD1" s="29" t="s">
        <v>126</v>
      </c>
      <c r="AE1" s="17"/>
      <c r="AF1" s="17"/>
      <c r="AG1" s="18"/>
      <c r="AH1" s="18"/>
      <c r="AI1" s="39" t="s">
        <v>79</v>
      </c>
      <c r="AJ1" s="40" t="s">
        <v>94</v>
      </c>
      <c r="AK1" s="41" t="s">
        <v>95</v>
      </c>
      <c r="AL1" s="42" t="s">
        <v>125</v>
      </c>
      <c r="AM1" s="42" t="s">
        <v>131</v>
      </c>
      <c r="AN1" s="42" t="s">
        <v>111</v>
      </c>
    </row>
    <row r="2" spans="1:40" ht="13" x14ac:dyDescent="0.3">
      <c r="A2" s="120" t="s">
        <v>87</v>
      </c>
      <c r="B2" s="120"/>
      <c r="C2" s="134" t="s">
        <v>161</v>
      </c>
      <c r="D2" s="135"/>
      <c r="E2" s="92" t="s">
        <v>109</v>
      </c>
      <c r="F2" s="95" t="s">
        <v>165</v>
      </c>
      <c r="G2" s="140" t="s">
        <v>110</v>
      </c>
      <c r="H2" s="141"/>
      <c r="I2" s="95"/>
      <c r="J2" s="120" t="s">
        <v>158</v>
      </c>
      <c r="K2" s="120"/>
      <c r="L2" s="95">
        <v>0.73599999999999999</v>
      </c>
      <c r="AB2" s="29" t="s">
        <v>56</v>
      </c>
      <c r="AC2" s="17"/>
      <c r="AD2" s="29" t="s">
        <v>70</v>
      </c>
      <c r="AE2" s="17"/>
      <c r="AF2" s="17"/>
      <c r="AG2" s="43" t="s">
        <v>76</v>
      </c>
      <c r="AH2" s="18"/>
      <c r="AI2" s="44" t="s">
        <v>126</v>
      </c>
      <c r="AJ2" s="45">
        <v>0</v>
      </c>
      <c r="AK2" s="46">
        <v>0</v>
      </c>
      <c r="AL2" s="10">
        <v>0</v>
      </c>
      <c r="AM2" s="11">
        <v>0</v>
      </c>
      <c r="AN2" s="11">
        <v>0</v>
      </c>
    </row>
    <row r="3" spans="1:40" ht="13" x14ac:dyDescent="0.25">
      <c r="A3" s="121" t="s">
        <v>42</v>
      </c>
      <c r="B3" s="122"/>
      <c r="C3" s="134" t="s">
        <v>162</v>
      </c>
      <c r="D3" s="135"/>
      <c r="E3" s="92" t="s">
        <v>108</v>
      </c>
      <c r="F3" s="30" t="s">
        <v>78</v>
      </c>
      <c r="G3" s="120" t="s">
        <v>159</v>
      </c>
      <c r="H3" s="120"/>
      <c r="I3" s="95"/>
      <c r="J3" s="121" t="s">
        <v>154</v>
      </c>
      <c r="K3" s="122"/>
      <c r="L3" s="95">
        <f>(L1/(L2*10000))*100</f>
        <v>4.4021739130434785</v>
      </c>
      <c r="AB3" s="29" t="s">
        <v>57</v>
      </c>
      <c r="AC3" s="17"/>
      <c r="AD3" s="29" t="s">
        <v>71</v>
      </c>
      <c r="AE3" s="17"/>
      <c r="AF3" s="17"/>
      <c r="AG3" s="43" t="s">
        <v>77</v>
      </c>
      <c r="AH3" s="18"/>
      <c r="AI3" s="47" t="s">
        <v>113</v>
      </c>
      <c r="AJ3" s="48">
        <v>1.7</v>
      </c>
      <c r="AK3" s="49">
        <v>6</v>
      </c>
      <c r="AL3" s="50">
        <v>1</v>
      </c>
      <c r="AM3" s="11">
        <v>6.2</v>
      </c>
      <c r="AN3" s="11" t="s">
        <v>112</v>
      </c>
    </row>
    <row r="4" spans="1:40" ht="25" x14ac:dyDescent="0.25">
      <c r="A4" s="120" t="s">
        <v>0</v>
      </c>
      <c r="B4" s="120"/>
      <c r="C4" s="136" t="s">
        <v>163</v>
      </c>
      <c r="D4" s="137"/>
      <c r="E4" s="93" t="s">
        <v>1</v>
      </c>
      <c r="F4" s="119" t="s">
        <v>166</v>
      </c>
      <c r="G4" s="120"/>
      <c r="H4" s="120"/>
      <c r="I4" s="95"/>
      <c r="J4" s="121"/>
      <c r="K4" s="122"/>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0" t="s">
        <v>47</v>
      </c>
      <c r="B5" s="120"/>
      <c r="C5" s="138" t="s">
        <v>164</v>
      </c>
      <c r="D5" s="138"/>
      <c r="E5" s="93"/>
      <c r="F5" s="94"/>
      <c r="G5" s="120"/>
      <c r="H5" s="120"/>
      <c r="I5" s="95"/>
      <c r="J5" s="121"/>
      <c r="K5" s="122"/>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0" t="s">
        <v>2</v>
      </c>
      <c r="B8" s="120"/>
      <c r="C8" s="15" t="s">
        <v>167</v>
      </c>
      <c r="D8" s="15" t="s">
        <v>168</v>
      </c>
      <c r="E8" s="15" t="s">
        <v>169</v>
      </c>
      <c r="F8" s="15" t="s">
        <v>170</v>
      </c>
      <c r="G8" s="15" t="s">
        <v>171</v>
      </c>
      <c r="H8" s="15" t="s">
        <v>172</v>
      </c>
      <c r="I8" s="15" t="s">
        <v>173</v>
      </c>
      <c r="J8" s="15" t="s">
        <v>174</v>
      </c>
      <c r="K8" s="15" t="s">
        <v>175</v>
      </c>
      <c r="L8" s="15" t="s">
        <v>176</v>
      </c>
      <c r="M8" s="15" t="s">
        <v>177</v>
      </c>
      <c r="N8" s="15" t="s">
        <v>178</v>
      </c>
      <c r="O8" s="15" t="s">
        <v>179</v>
      </c>
      <c r="P8" s="15" t="s">
        <v>180</v>
      </c>
      <c r="Q8" s="15" t="s">
        <v>182</v>
      </c>
      <c r="R8" s="15" t="s">
        <v>183</v>
      </c>
      <c r="S8" s="15" t="s">
        <v>184</v>
      </c>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0" t="s">
        <v>3</v>
      </c>
      <c r="B9" s="120"/>
      <c r="C9" s="15" t="s">
        <v>181</v>
      </c>
      <c r="D9" s="15" t="s">
        <v>181</v>
      </c>
      <c r="E9" s="15" t="s">
        <v>181</v>
      </c>
      <c r="F9" s="15" t="s">
        <v>181</v>
      </c>
      <c r="G9" s="15" t="s">
        <v>181</v>
      </c>
      <c r="H9" s="15" t="s">
        <v>181</v>
      </c>
      <c r="I9" s="15" t="s">
        <v>181</v>
      </c>
      <c r="J9" s="15" t="s">
        <v>181</v>
      </c>
      <c r="K9" s="15" t="s">
        <v>181</v>
      </c>
      <c r="L9" s="15" t="s">
        <v>181</v>
      </c>
      <c r="M9" s="15" t="s">
        <v>181</v>
      </c>
      <c r="N9" s="15" t="s">
        <v>181</v>
      </c>
      <c r="O9" s="15" t="s">
        <v>181</v>
      </c>
      <c r="P9" s="15" t="s">
        <v>181</v>
      </c>
      <c r="Q9" s="15" t="s">
        <v>181</v>
      </c>
      <c r="R9" s="15" t="s">
        <v>181</v>
      </c>
      <c r="S9" s="15" t="s">
        <v>181</v>
      </c>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0" t="s">
        <v>4</v>
      </c>
      <c r="B10" s="120"/>
      <c r="C10" s="15">
        <v>7.2</v>
      </c>
      <c r="D10" s="15">
        <v>7</v>
      </c>
      <c r="E10" s="15">
        <v>7.1</v>
      </c>
      <c r="F10" s="15">
        <v>7.2</v>
      </c>
      <c r="G10" s="15">
        <v>6.9</v>
      </c>
      <c r="H10" s="15">
        <v>6.3</v>
      </c>
      <c r="I10" s="15">
        <v>6.8</v>
      </c>
      <c r="J10" s="15">
        <v>6.5</v>
      </c>
      <c r="K10" s="15">
        <v>5.8</v>
      </c>
      <c r="L10" s="15">
        <v>7.1</v>
      </c>
      <c r="M10" s="15">
        <v>6.4</v>
      </c>
      <c r="N10" s="15">
        <v>6.7</v>
      </c>
      <c r="O10" s="15">
        <v>6.9</v>
      </c>
      <c r="P10" s="15">
        <v>7.1</v>
      </c>
      <c r="Q10" s="15">
        <v>7.1</v>
      </c>
      <c r="R10" s="15">
        <v>7.1</v>
      </c>
      <c r="S10" s="15">
        <v>7.1</v>
      </c>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0" t="s">
        <v>5</v>
      </c>
      <c r="B11" s="120"/>
      <c r="C11" s="15">
        <v>3</v>
      </c>
      <c r="D11" s="15">
        <v>3</v>
      </c>
      <c r="E11" s="15">
        <v>3</v>
      </c>
      <c r="F11" s="15">
        <v>3</v>
      </c>
      <c r="G11" s="15">
        <v>3</v>
      </c>
      <c r="H11" s="15">
        <v>3</v>
      </c>
      <c r="I11" s="15">
        <v>3</v>
      </c>
      <c r="J11" s="15">
        <v>3</v>
      </c>
      <c r="K11" s="15">
        <v>1</v>
      </c>
      <c r="L11" s="15">
        <v>4</v>
      </c>
      <c r="M11" s="15">
        <v>4</v>
      </c>
      <c r="N11" s="15">
        <v>4</v>
      </c>
      <c r="O11" s="15">
        <v>4</v>
      </c>
      <c r="P11" s="15">
        <v>4</v>
      </c>
      <c r="Q11" s="15">
        <v>4</v>
      </c>
      <c r="R11" s="15">
        <v>4</v>
      </c>
      <c r="S11" s="15">
        <v>4</v>
      </c>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0" t="s">
        <v>6</v>
      </c>
      <c r="B12" s="120"/>
      <c r="C12" s="15">
        <v>0</v>
      </c>
      <c r="D12" s="15">
        <v>0</v>
      </c>
      <c r="E12" s="15">
        <v>0</v>
      </c>
      <c r="F12" s="15">
        <v>2</v>
      </c>
      <c r="G12" s="15">
        <v>1</v>
      </c>
      <c r="H12" s="15">
        <v>1</v>
      </c>
      <c r="I12" s="15">
        <v>2</v>
      </c>
      <c r="J12" s="15">
        <v>2</v>
      </c>
      <c r="K12" s="15">
        <v>0</v>
      </c>
      <c r="L12" s="15">
        <v>2</v>
      </c>
      <c r="M12" s="15">
        <v>2</v>
      </c>
      <c r="N12" s="15">
        <v>2</v>
      </c>
      <c r="O12" s="15">
        <v>2</v>
      </c>
      <c r="P12" s="15">
        <v>2</v>
      </c>
      <c r="Q12" s="15">
        <v>2</v>
      </c>
      <c r="R12" s="15">
        <v>2</v>
      </c>
      <c r="S12" s="15">
        <v>2</v>
      </c>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0" t="s">
        <v>7</v>
      </c>
      <c r="B13" s="120"/>
      <c r="C13" s="15">
        <v>1</v>
      </c>
      <c r="D13" s="15">
        <v>2</v>
      </c>
      <c r="E13" s="15">
        <v>1</v>
      </c>
      <c r="F13" s="15">
        <v>2</v>
      </c>
      <c r="G13" s="15">
        <v>2</v>
      </c>
      <c r="H13" s="15">
        <v>2</v>
      </c>
      <c r="I13" s="15">
        <v>2</v>
      </c>
      <c r="J13" s="15">
        <v>2</v>
      </c>
      <c r="K13" s="15">
        <v>2</v>
      </c>
      <c r="L13" s="15">
        <v>2</v>
      </c>
      <c r="M13" s="15">
        <v>2</v>
      </c>
      <c r="N13" s="15">
        <v>2</v>
      </c>
      <c r="O13" s="15">
        <v>2</v>
      </c>
      <c r="P13" s="15">
        <v>2</v>
      </c>
      <c r="Q13" s="15">
        <v>3</v>
      </c>
      <c r="R13" s="15">
        <v>3</v>
      </c>
      <c r="S13" s="15">
        <v>2</v>
      </c>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2" t="s">
        <v>8</v>
      </c>
      <c r="B14" s="132"/>
      <c r="C14" s="99" t="s">
        <v>113</v>
      </c>
      <c r="D14" s="99" t="s">
        <v>113</v>
      </c>
      <c r="E14" s="99" t="s">
        <v>113</v>
      </c>
      <c r="F14" s="99" t="s">
        <v>113</v>
      </c>
      <c r="G14" s="99" t="s">
        <v>113</v>
      </c>
      <c r="H14" s="99" t="s">
        <v>113</v>
      </c>
      <c r="I14" s="99" t="s">
        <v>113</v>
      </c>
      <c r="J14" s="99" t="s">
        <v>113</v>
      </c>
      <c r="K14" s="99" t="s">
        <v>113</v>
      </c>
      <c r="L14" s="99" t="s">
        <v>113</v>
      </c>
      <c r="M14" s="99" t="s">
        <v>113</v>
      </c>
      <c r="N14" s="99" t="s">
        <v>113</v>
      </c>
      <c r="O14" s="99" t="s">
        <v>113</v>
      </c>
      <c r="P14" s="99" t="s">
        <v>113</v>
      </c>
      <c r="Q14" s="99" t="s">
        <v>113</v>
      </c>
      <c r="R14" s="99" t="s">
        <v>113</v>
      </c>
      <c r="S14" s="99" t="s">
        <v>113</v>
      </c>
      <c r="T14" s="99"/>
      <c r="U14" s="99"/>
      <c r="V14" s="99"/>
      <c r="AD14" s="29" t="s">
        <v>138</v>
      </c>
      <c r="AE14" s="29">
        <v>6</v>
      </c>
      <c r="AI14" s="52" t="s">
        <v>119</v>
      </c>
      <c r="AJ14" s="53">
        <v>0.8</v>
      </c>
      <c r="AK14" s="54">
        <v>1.7</v>
      </c>
      <c r="AL14" s="11">
        <v>12</v>
      </c>
      <c r="AM14" s="11">
        <v>6.7</v>
      </c>
      <c r="AN14" s="11" t="s">
        <v>135</v>
      </c>
    </row>
    <row r="15" spans="1:40" ht="13" x14ac:dyDescent="0.25">
      <c r="A15" s="131" t="s">
        <v>9</v>
      </c>
      <c r="B15" s="131"/>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c r="U15" s="15"/>
      <c r="V15" s="15"/>
      <c r="AD15" s="29" t="s">
        <v>144</v>
      </c>
      <c r="AE15" s="29">
        <v>7</v>
      </c>
      <c r="AI15" s="52" t="s">
        <v>101</v>
      </c>
      <c r="AJ15" s="61">
        <v>1.8</v>
      </c>
      <c r="AK15" s="54">
        <v>5.4</v>
      </c>
      <c r="AL15" s="11">
        <v>13</v>
      </c>
      <c r="AM15" s="11">
        <v>6.7</v>
      </c>
      <c r="AN15" s="11" t="s">
        <v>135</v>
      </c>
    </row>
    <row r="16" spans="1:40" ht="13.5" thickBot="1" x14ac:dyDescent="0.3">
      <c r="A16" s="133" t="s">
        <v>44</v>
      </c>
      <c r="B16" s="13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t="s">
        <v>72</v>
      </c>
      <c r="Q16" s="100" t="s">
        <v>72</v>
      </c>
      <c r="R16" s="100" t="s">
        <v>72</v>
      </c>
      <c r="S16" s="100" t="s">
        <v>72</v>
      </c>
      <c r="T16" s="100"/>
      <c r="U16" s="100"/>
      <c r="V16" s="100"/>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J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ref="K17:V17" si="1">(VLOOKUP(K$14,$AI2:$AK26,2,FALSE))*K$15</f>
        <v>64.599999999999994</v>
      </c>
      <c r="L17" s="27">
        <f t="shared" si="1"/>
        <v>64.599999999999994</v>
      </c>
      <c r="M17" s="27">
        <f t="shared" si="1"/>
        <v>64.599999999999994</v>
      </c>
      <c r="N17" s="27">
        <f t="shared" si="1"/>
        <v>64.599999999999994</v>
      </c>
      <c r="O17" s="27">
        <f t="shared" si="1"/>
        <v>64.599999999999994</v>
      </c>
      <c r="P17" s="27">
        <f t="shared" si="1"/>
        <v>64.599999999999994</v>
      </c>
      <c r="Q17" s="27">
        <f t="shared" si="1"/>
        <v>64.599999999999994</v>
      </c>
      <c r="R17" s="27">
        <f t="shared" si="1"/>
        <v>64.599999999999994</v>
      </c>
      <c r="S17" s="27">
        <f t="shared" si="1"/>
        <v>64.599999999999994</v>
      </c>
      <c r="T17" s="27" t="e">
        <f t="shared" si="1"/>
        <v>#N/A</v>
      </c>
      <c r="U17" s="27" t="e">
        <f t="shared" si="1"/>
        <v>#N/A</v>
      </c>
      <c r="V17" s="27" t="e">
        <f t="shared" si="1"/>
        <v>#N/A</v>
      </c>
      <c r="AD17" s="51" t="s">
        <v>146</v>
      </c>
      <c r="AE17" s="29">
        <v>10</v>
      </c>
      <c r="AI17" s="47" t="s">
        <v>115</v>
      </c>
      <c r="AJ17" s="48">
        <v>1.4</v>
      </c>
      <c r="AK17" s="49">
        <v>4.8</v>
      </c>
      <c r="AL17" s="50">
        <v>15</v>
      </c>
      <c r="AM17" s="11">
        <v>6.2</v>
      </c>
      <c r="AN17" s="11" t="s">
        <v>112</v>
      </c>
    </row>
    <row r="18" spans="1:40" ht="13" x14ac:dyDescent="0.25">
      <c r="A18" s="125" t="s">
        <v>23</v>
      </c>
      <c r="B18" s="126"/>
      <c r="C18" s="16">
        <f>$D31</f>
        <v>18.888103679999997</v>
      </c>
      <c r="D18" s="16">
        <f>$D32</f>
        <v>18.888103679999997</v>
      </c>
      <c r="E18" s="16">
        <f>$D33</f>
        <v>18.888103679999997</v>
      </c>
      <c r="F18" s="16">
        <f>$D34</f>
        <v>18.888103679999997</v>
      </c>
      <c r="G18" s="16">
        <f>$D35</f>
        <v>18.888103679999997</v>
      </c>
      <c r="H18" s="16">
        <f>$D36</f>
        <v>18.888103679999997</v>
      </c>
      <c r="I18" s="16">
        <f>$D37</f>
        <v>18.888103679999997</v>
      </c>
      <c r="J18" s="16">
        <f>$D38</f>
        <v>18.888103679999997</v>
      </c>
      <c r="K18" s="16">
        <f>$D39</f>
        <v>18.888103679999997</v>
      </c>
      <c r="L18" s="16">
        <f>$D40</f>
        <v>18.888103679999997</v>
      </c>
      <c r="M18" s="16">
        <f>$D41</f>
        <v>18.888103679999997</v>
      </c>
      <c r="N18" s="16">
        <f>$D42</f>
        <v>18.888103679999997</v>
      </c>
      <c r="O18" s="16">
        <f>$D43</f>
        <v>18.888103679999997</v>
      </c>
      <c r="P18" s="16">
        <f>$D44</f>
        <v>18.888103679999997</v>
      </c>
      <c r="Q18" s="16">
        <f>$D45</f>
        <v>18.888103679999997</v>
      </c>
      <c r="R18" s="16">
        <f>$D46</f>
        <v>18.888103679999997</v>
      </c>
      <c r="S18" s="16">
        <f>$D47</f>
        <v>18.888103679999997</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-45.711896319999994</v>
      </c>
      <c r="D19" s="16">
        <f t="shared" ref="D19:V19" si="2">D18-D17</f>
        <v>-45.711896319999994</v>
      </c>
      <c r="E19" s="16">
        <f t="shared" si="2"/>
        <v>-45.711896319999994</v>
      </c>
      <c r="F19" s="16">
        <f t="shared" si="2"/>
        <v>-45.711896319999994</v>
      </c>
      <c r="G19" s="16">
        <f t="shared" si="2"/>
        <v>-45.711896319999994</v>
      </c>
      <c r="H19" s="16">
        <f t="shared" si="2"/>
        <v>-45.711896319999994</v>
      </c>
      <c r="I19" s="16">
        <f t="shared" si="2"/>
        <v>-45.711896319999994</v>
      </c>
      <c r="J19" s="16">
        <f t="shared" si="2"/>
        <v>-45.711896319999994</v>
      </c>
      <c r="K19" s="16">
        <f t="shared" si="2"/>
        <v>-45.711896319999994</v>
      </c>
      <c r="L19" s="16">
        <f t="shared" si="2"/>
        <v>-45.711896319999994</v>
      </c>
      <c r="M19" s="16">
        <f t="shared" si="2"/>
        <v>-45.711896319999994</v>
      </c>
      <c r="N19" s="16">
        <f t="shared" si="2"/>
        <v>-45.711896319999994</v>
      </c>
      <c r="O19" s="16">
        <f t="shared" si="2"/>
        <v>-45.711896319999994</v>
      </c>
      <c r="P19" s="16">
        <f t="shared" si="2"/>
        <v>-45.711896319999994</v>
      </c>
      <c r="Q19" s="16">
        <f t="shared" si="2"/>
        <v>-45.711896319999994</v>
      </c>
      <c r="R19" s="16">
        <f t="shared" si="2"/>
        <v>-45.711896319999994</v>
      </c>
      <c r="S19" s="16">
        <f t="shared" si="2"/>
        <v>-45.711896319999994</v>
      </c>
      <c r="T19" s="16" t="e">
        <f t="shared" si="2"/>
        <v>#N/A</v>
      </c>
      <c r="U19" s="16" t="e">
        <f t="shared" si="2"/>
        <v>#N/A</v>
      </c>
      <c r="V19" s="24" t="e">
        <f t="shared" si="2"/>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J21" si="3">(VLOOKUP(D$14,$AI2:$AK26,3,FALSE))*D$15</f>
        <v>228</v>
      </c>
      <c r="E21" s="27">
        <f t="shared" si="3"/>
        <v>228</v>
      </c>
      <c r="F21" s="27">
        <f t="shared" si="3"/>
        <v>228</v>
      </c>
      <c r="G21" s="27">
        <f t="shared" si="3"/>
        <v>228</v>
      </c>
      <c r="H21" s="27">
        <f t="shared" si="3"/>
        <v>228</v>
      </c>
      <c r="I21" s="27">
        <f t="shared" si="3"/>
        <v>228</v>
      </c>
      <c r="J21" s="27">
        <f t="shared" si="3"/>
        <v>228</v>
      </c>
      <c r="K21" s="27">
        <f t="shared" ref="K21:V21" si="4">(VLOOKUP(K$14,$AI2:$AK26,3,FALSE))*K$15</f>
        <v>228</v>
      </c>
      <c r="L21" s="27">
        <f t="shared" si="4"/>
        <v>228</v>
      </c>
      <c r="M21" s="27">
        <f t="shared" si="4"/>
        <v>228</v>
      </c>
      <c r="N21" s="27">
        <f t="shared" si="4"/>
        <v>228</v>
      </c>
      <c r="O21" s="27">
        <f t="shared" si="4"/>
        <v>228</v>
      </c>
      <c r="P21" s="27">
        <f t="shared" si="4"/>
        <v>228</v>
      </c>
      <c r="Q21" s="27">
        <f t="shared" si="4"/>
        <v>228</v>
      </c>
      <c r="R21" s="27">
        <f t="shared" si="4"/>
        <v>228</v>
      </c>
      <c r="S21" s="27">
        <f t="shared" si="4"/>
        <v>228</v>
      </c>
      <c r="T21" s="27" t="e">
        <f t="shared" si="4"/>
        <v>#N/A</v>
      </c>
      <c r="U21" s="27" t="e">
        <f t="shared" si="4"/>
        <v>#N/A</v>
      </c>
      <c r="V21" s="27" t="e">
        <f t="shared" si="4"/>
        <v>#N/A</v>
      </c>
      <c r="AI21" s="62" t="s">
        <v>100</v>
      </c>
      <c r="AJ21" s="65">
        <v>11</v>
      </c>
      <c r="AK21" s="64">
        <v>12</v>
      </c>
      <c r="AL21" s="28">
        <v>19</v>
      </c>
      <c r="AM21" s="11">
        <v>6.7</v>
      </c>
      <c r="AN21" s="11" t="s">
        <v>135</v>
      </c>
    </row>
    <row r="22" spans="1:40" ht="13" x14ac:dyDescent="0.25">
      <c r="A22" s="125" t="s">
        <v>89</v>
      </c>
      <c r="B22" s="126"/>
      <c r="C22" s="16">
        <f>$E31</f>
        <v>2.2418784000000005</v>
      </c>
      <c r="D22" s="16">
        <f>$E32</f>
        <v>2.2418784000000005</v>
      </c>
      <c r="E22" s="16">
        <f>$E33</f>
        <v>2.2418784000000005</v>
      </c>
      <c r="F22" s="16">
        <f>$E34</f>
        <v>2.2418784000000005</v>
      </c>
      <c r="G22" s="16">
        <f>$E35</f>
        <v>2.2418784000000005</v>
      </c>
      <c r="H22" s="16">
        <f>$E36</f>
        <v>2.2418784000000005</v>
      </c>
      <c r="I22" s="16">
        <f>$E37</f>
        <v>2.2418784000000005</v>
      </c>
      <c r="J22" s="16">
        <f>$E38</f>
        <v>2.2418784000000005</v>
      </c>
      <c r="K22" s="16">
        <f>$E39</f>
        <v>2.2418784000000005</v>
      </c>
      <c r="L22" s="16">
        <f>$E40</f>
        <v>2.2418784000000005</v>
      </c>
      <c r="M22" s="16">
        <f>$E41</f>
        <v>2.2418784000000005</v>
      </c>
      <c r="N22" s="16">
        <f>$E42</f>
        <v>2.2418784000000005</v>
      </c>
      <c r="O22" s="16">
        <f>$E43</f>
        <v>2.2418784000000005</v>
      </c>
      <c r="P22" s="16">
        <f>$E44</f>
        <v>2.2418784000000005</v>
      </c>
      <c r="Q22" s="16">
        <f>$E45</f>
        <v>2.2418784000000005</v>
      </c>
      <c r="R22" s="16">
        <f>$E46</f>
        <v>2.2418784000000005</v>
      </c>
      <c r="S22" s="16">
        <f>$E47</f>
        <v>2.2418784000000005</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-225.75812160000001</v>
      </c>
      <c r="D23" s="16">
        <f t="shared" ref="D23:V23" si="5">D22-D21</f>
        <v>-225.75812160000001</v>
      </c>
      <c r="E23" s="16">
        <f t="shared" si="5"/>
        <v>-225.75812160000001</v>
      </c>
      <c r="F23" s="16">
        <f t="shared" si="5"/>
        <v>-225.75812160000001</v>
      </c>
      <c r="G23" s="16">
        <f t="shared" si="5"/>
        <v>-225.75812160000001</v>
      </c>
      <c r="H23" s="16">
        <f t="shared" si="5"/>
        <v>-225.75812160000001</v>
      </c>
      <c r="I23" s="16">
        <f t="shared" si="5"/>
        <v>-225.75812160000001</v>
      </c>
      <c r="J23" s="16">
        <f t="shared" si="5"/>
        <v>-225.75812160000001</v>
      </c>
      <c r="K23" s="16">
        <f t="shared" si="5"/>
        <v>-225.75812160000001</v>
      </c>
      <c r="L23" s="16">
        <f t="shared" si="5"/>
        <v>-225.75812160000001</v>
      </c>
      <c r="M23" s="16">
        <f t="shared" si="5"/>
        <v>-225.75812160000001</v>
      </c>
      <c r="N23" s="16">
        <f t="shared" si="5"/>
        <v>-225.75812160000001</v>
      </c>
      <c r="O23" s="16">
        <f t="shared" si="5"/>
        <v>-225.75812160000001</v>
      </c>
      <c r="P23" s="16">
        <f t="shared" si="5"/>
        <v>-225.75812160000001</v>
      </c>
      <c r="Q23" s="16">
        <f t="shared" si="5"/>
        <v>-225.75812160000001</v>
      </c>
      <c r="R23" s="16">
        <f t="shared" si="5"/>
        <v>-225.75812160000001</v>
      </c>
      <c r="S23" s="16">
        <f t="shared" si="5"/>
        <v>-225.75812160000001</v>
      </c>
      <c r="T23" s="16" t="e">
        <f t="shared" si="5"/>
        <v>#N/A</v>
      </c>
      <c r="U23" s="16" t="e">
        <f t="shared" si="5"/>
        <v>#N/A</v>
      </c>
      <c r="V23" s="16" t="e">
        <f t="shared" si="5"/>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6">IF($B31="","",IF(D$23&gt;=0,"INCREASE","DECREASE"))</f>
        <v>DECREASE</v>
      </c>
      <c r="E24" s="25" t="str">
        <f t="shared" si="6"/>
        <v>DECREASE</v>
      </c>
      <c r="F24" s="25" t="str">
        <f t="shared" si="6"/>
        <v>DECREASE</v>
      </c>
      <c r="G24" s="25" t="str">
        <f t="shared" si="6"/>
        <v>DECREASE</v>
      </c>
      <c r="H24" s="25" t="str">
        <f t="shared" si="6"/>
        <v>DECREASE</v>
      </c>
      <c r="I24" s="25" t="str">
        <f t="shared" si="6"/>
        <v>DECREASE</v>
      </c>
      <c r="J24" s="25" t="str">
        <f t="shared" si="6"/>
        <v>DECREASE</v>
      </c>
      <c r="K24" s="25" t="str">
        <f t="shared" si="6"/>
        <v>DECREASE</v>
      </c>
      <c r="L24" s="25" t="str">
        <f t="shared" si="6"/>
        <v>DECREASE</v>
      </c>
      <c r="M24" s="25" t="str">
        <f t="shared" si="6"/>
        <v>DECREASE</v>
      </c>
      <c r="N24" s="25" t="str">
        <f t="shared" si="6"/>
        <v>DECREASE</v>
      </c>
      <c r="O24" s="25" t="str">
        <f t="shared" si="6"/>
        <v>DECREASE</v>
      </c>
      <c r="P24" s="25" t="str">
        <f t="shared" si="6"/>
        <v>DECREASE</v>
      </c>
      <c r="Q24" s="25" t="str">
        <f t="shared" si="6"/>
        <v>DECREASE</v>
      </c>
      <c r="R24" s="25" t="str">
        <f t="shared" si="6"/>
        <v>DECREASE</v>
      </c>
      <c r="S24" s="25" t="str">
        <f t="shared" si="6"/>
        <v>DECREASE</v>
      </c>
      <c r="T24" s="25" t="e">
        <f t="shared" si="6"/>
        <v>#N/A</v>
      </c>
      <c r="U24" s="25" t="e">
        <f t="shared" si="6"/>
        <v>#N/A</v>
      </c>
      <c r="V24" s="25" t="e">
        <f t="shared" si="6"/>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6.08</v>
      </c>
      <c r="C28" s="15">
        <v>0.73599999999999999</v>
      </c>
      <c r="D28" s="15">
        <v>0.113</v>
      </c>
      <c r="E28" s="15">
        <v>2.5499999999999998E-2</v>
      </c>
      <c r="F28" s="15">
        <v>754</v>
      </c>
      <c r="G28" s="15">
        <v>16.5</v>
      </c>
      <c r="H28" s="15">
        <v>211</v>
      </c>
      <c r="I28" s="15">
        <v>45</v>
      </c>
      <c r="J28" s="15">
        <v>1.53</v>
      </c>
      <c r="K28" s="15">
        <v>0.34</v>
      </c>
      <c r="L28" s="15">
        <v>30.4</v>
      </c>
      <c r="M28" s="15">
        <v>15.6</v>
      </c>
      <c r="N28" s="15">
        <v>2520</v>
      </c>
      <c r="O28" s="15">
        <v>479000</v>
      </c>
      <c r="P28" s="15"/>
      <c r="Q28" s="15">
        <v>1990</v>
      </c>
      <c r="R28" s="15"/>
      <c r="S28" s="15">
        <v>87.9</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120</v>
      </c>
      <c r="C31" s="76">
        <f>IF(C$27="%w/w SAR",((C$28*10)*$B31),IF(C$27="%w/w DM",(((C$28*10)*($B$28/100))*$B31),IF(C$27="kg/t SAR",(C$28*$B31),IF(C$27="kg/t DM",((C$28*($B$28/100))*$B31),IF(C$27="mg/kg SAR",((C$28*0.001)*$B31),IF(C$27="mg/kg DM",(((C$28*0.001)*($B$28/100))*$B31),0))))))</f>
        <v>53.698559999999993</v>
      </c>
      <c r="D31" s="76">
        <f>(IF(D$27="%w/w SAR",((D$28*10)*$B31),IF(D$27="%w/w DM",(((D$28*10)*($B$28/100))*$B31),IF(D$27="kg/t SAR",(D$28*$B31),IF(D$27="kg/t DM",((D$28*($B$28/100))*$B31),IF(D$27="mg/kg SAR",((D$28*0.001)*$B31),IF(D$27="mg/kg DM",(((D$28*0.001)*($B$28/100))*$B31),"0")))))))*2.291</f>
        <v>18.888103679999997</v>
      </c>
      <c r="E31" s="76">
        <f>(IF(E$27="%w/w SAR",((E$28*10)*$B31),IF(E$27="%w/w DM",(((E$28*10)*($B$28/100))*$B31),IF(E$27="kg/t SAR",(E$28*$B31),IF(E$27="kg/t DM",((E$28*($B$28/100))*$B31),IF(E$27="mg/kg SAR",((E$28*0.001)*$B31),IF(E$27="mg/kg DM",(((E$28*0.001)*($B$28/100))*$B31),"0")))))))*1.205</f>
        <v>2.2418784000000005</v>
      </c>
      <c r="F31" s="76">
        <f>(IF(F$27="%w/w SAR",((F$28*10)*$B31),IF(F$27="%w/w DM",(((F$28*10)*($B$28/100))*$B31),IF(F$27="kg/t SAR",(F$28*$B31),IF(F$27="kg/t DM",((F$28*($B$28/100))*$B31),IF(F$27="mg/kg SAR",((F$28*0.001)*$B31),IF(F$27="mg/kg DM",(((F$28*0.001)*($B$28/100))*$B31),"0")))))))*1.658</f>
        <v>9.1209630720000003</v>
      </c>
      <c r="G31" s="76">
        <f t="shared" ref="G31:P31" si="7">IF(G$27="%w/w SAR",((G$28*10)*$B31),IF(G$27="%w/w DM",(((G$28*10)*($B$28/100))*$B31),IF(G$27="kg/t SAR",(G$28*$B31),IF(G$27="kg/t DM",((G$28*($B$28/100))*$B31),IF(G$27="mg/kg SAR",((G$28*0.001)*$B31),IF(G$27="mg/kg DM",(((G$28*0.001)*($B$28/100))*$B31),0))))))</f>
        <v>0.12038400000000002</v>
      </c>
      <c r="H31" s="76">
        <f t="shared" si="7"/>
        <v>1.5394559999999999</v>
      </c>
      <c r="I31" s="76">
        <f t="shared" si="7"/>
        <v>0.32831999999999995</v>
      </c>
      <c r="J31" s="76">
        <f t="shared" si="7"/>
        <v>1.1162880000000002E-2</v>
      </c>
      <c r="K31" s="76">
        <f t="shared" si="7"/>
        <v>2.4806400000000001E-3</v>
      </c>
      <c r="L31" s="76">
        <f t="shared" si="7"/>
        <v>0.22179840000000001</v>
      </c>
      <c r="M31" s="76">
        <f t="shared" si="7"/>
        <v>0.11381759999999999</v>
      </c>
      <c r="N31" s="76">
        <f t="shared" si="7"/>
        <v>18.385919999999999</v>
      </c>
      <c r="O31" s="76">
        <f t="shared" si="7"/>
        <v>3494.7840000000001</v>
      </c>
      <c r="P31" s="76">
        <f t="shared" si="7"/>
        <v>0</v>
      </c>
      <c r="Q31" s="76">
        <f>(IF(Q$27="%w/w SAR",((Q$28*10)*$B31),IF(Q$27="%w/w DM",(((Q$28*10)*($B$28/100))*$B31),IF(Q$27="kg/t SAR",(Q$28*$B31),IF(Q$27="kg/t DM",((Q$28*($B$28/100))*$B31),IF(Q$27="mg/kg SAR",((Q$28*0.001)*$B31),IF(Q$27="mg/kg DM",(((Q$28*0.001)*($B$28/100))*$B31),0)))))))*2.5</f>
        <v>36.297600000000003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0.64131840000000007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120</v>
      </c>
      <c r="C32" s="76">
        <f t="shared" ref="C32:C50" si="8">IF(C$27="%w/w SAR",((C$28*10)*$B32),IF(C$27="%w/w DM",(((C$28*10)*($B$28/100))*$B32),IF(C$27="kg/t SAR",(C$28*$B32),IF(C$27="kg/t DM",((C$28*($B$28/100))*$B32),IF(C$27="mg/kg SAR",((C$28*0.001)*$B32),IF(C$27="mg/kg DM",(((C$28*0.001)*($B$28/100))*$B32),0))))))</f>
        <v>53.698559999999993</v>
      </c>
      <c r="D32" s="76">
        <f t="shared" ref="D32:D50" si="9">(IF(D$27="%w/w SAR",((D$28*10)*$B32),IF(D$27="%w/w DM",(((D$28*10)*($B$28/100))*$B32),IF(D$27="kg/t SAR",(D$28*$B32),IF(D$27="kg/t DM",((D$28*($B$28/100))*$B32),IF(D$27="mg/kg SAR",((D$28*0.001)*$B32),IF(D$27="mg/kg DM",(((D$28*0.001)*($B$28/100))*$B32),"0")))))))*2.291</f>
        <v>18.888103679999997</v>
      </c>
      <c r="E32" s="76">
        <f t="shared" ref="E32:E50" si="10">(IF(E$27="%w/w SAR",((E$28*10)*$B32),IF(E$27="%w/w DM",(((E$28*10)*($B$28/100))*$B32),IF(E$27="kg/t SAR",(E$28*$B32),IF(E$27="kg/t DM",((E$28*($B$28/100))*$B32),IF(E$27="mg/kg SAR",((E$28*0.001)*$B32),IF(E$27="mg/kg DM",(((E$28*0.001)*($B$28/100))*$B32),"0")))))))*1.205</f>
        <v>2.2418784000000005</v>
      </c>
      <c r="F32" s="76">
        <f t="shared" ref="F32:F50" si="11">(IF(F$27="%w/w SAR",((F$28*10)*$B32),IF(F$27="%w/w DM",(((F$28*10)*($B$28/100))*$B32),IF(F$27="kg/t SAR",(F$28*$B32),IF(F$27="kg/t DM",((F$28*($B$28/100))*$B32),IF(F$27="mg/kg SAR",((F$28*0.001)*$B32),IF(F$27="mg/kg DM",(((F$28*0.001)*($B$28/100))*$B32),"0")))))))*1.658</f>
        <v>9.1209630720000003</v>
      </c>
      <c r="G32" s="76">
        <f t="shared" ref="G32:P50" si="12">IF(G$27="%w/w SAR",((G$28*10)*$B32),IF(G$27="%w/w DM",(((G$28*10)*($B$28/100))*$B32),IF(G$27="kg/t SAR",(G$28*$B32),IF(G$27="kg/t DM",((G$28*($B$28/100))*$B32),IF(G$27="mg/kg SAR",((G$28*0.001)*$B32),IF(G$27="mg/kg DM",(((G$28*0.001)*($B$28/100))*$B32),0))))))</f>
        <v>0.12038400000000002</v>
      </c>
      <c r="H32" s="76">
        <f t="shared" si="12"/>
        <v>1.5394559999999999</v>
      </c>
      <c r="I32" s="76">
        <f t="shared" si="12"/>
        <v>0.32831999999999995</v>
      </c>
      <c r="J32" s="76">
        <f t="shared" si="12"/>
        <v>1.1162880000000002E-2</v>
      </c>
      <c r="K32" s="76">
        <f t="shared" si="12"/>
        <v>2.4806400000000001E-3</v>
      </c>
      <c r="L32" s="76">
        <f t="shared" si="12"/>
        <v>0.22179840000000001</v>
      </c>
      <c r="M32" s="76">
        <f t="shared" si="12"/>
        <v>0.11381759999999999</v>
      </c>
      <c r="N32" s="76">
        <f t="shared" si="12"/>
        <v>18.385919999999999</v>
      </c>
      <c r="O32" s="76">
        <f t="shared" si="12"/>
        <v>3494.7840000000001</v>
      </c>
      <c r="P32" s="76">
        <f t="shared" si="12"/>
        <v>0</v>
      </c>
      <c r="Q32" s="76">
        <f t="shared" ref="Q32:Q50" si="13">(IF(Q$27="%w/w SAR",((Q$28*10)*$B32),IF(Q$27="%w/w DM",(((Q$28*10)*($B$28/100))*$B32),IF(Q$27="kg/t SAR",(Q$28*$B32),IF(Q$27="kg/t DM",((Q$28*($B$28/100))*$B32),IF(Q$27="mg/kg SAR",((Q$28*0.001)*$B32),IF(Q$27="mg/kg DM",(((Q$28*0.001)*($B$28/100))*$B32),0)))))))*2.5</f>
        <v>36.297600000000003</v>
      </c>
      <c r="R32" s="76">
        <f t="shared" ref="R32:U50" si="14">IF(R$27="%w/w SAR",((R$28*10)*$B32),IF(R$27="%w/w DM",(((R$28*10)*($B$28/100))*$B32),IF(R$27="kg/t SAR",(R$28*$B32),IF(R$27="kg/t DM",((R$28*($B$28/100))*$B32),IF(R$27="mg/kg SAR",((R$28*0.001)*$B32),IF(R$27="mg/kg DM",(((R$28*0.001)*($B$28/100))*$B32),0))))))</f>
        <v>0</v>
      </c>
      <c r="S32" s="76">
        <f t="shared" si="14"/>
        <v>0.64131840000000007</v>
      </c>
      <c r="T32" s="76">
        <f t="shared" si="14"/>
        <v>0</v>
      </c>
      <c r="U32" s="76">
        <f t="shared" si="14"/>
        <v>0</v>
      </c>
      <c r="AB32" s="58"/>
      <c r="AC32" s="58"/>
      <c r="AD32" s="58"/>
      <c r="AE32" s="58"/>
      <c r="AF32" s="58"/>
      <c r="AG32" s="58"/>
      <c r="AH32" s="58"/>
      <c r="AI32" s="58"/>
    </row>
    <row r="33" spans="1:35" s="71" customFormat="1" ht="13" x14ac:dyDescent="0.35">
      <c r="A33" s="13" t="str">
        <f>E8</f>
        <v>N17</v>
      </c>
      <c r="B33" s="15">
        <v>120</v>
      </c>
      <c r="C33" s="76">
        <f t="shared" si="8"/>
        <v>53.698559999999993</v>
      </c>
      <c r="D33" s="76">
        <f t="shared" si="9"/>
        <v>18.888103679999997</v>
      </c>
      <c r="E33" s="76">
        <f t="shared" si="10"/>
        <v>2.2418784000000005</v>
      </c>
      <c r="F33" s="76">
        <f t="shared" si="11"/>
        <v>9.1209630720000003</v>
      </c>
      <c r="G33" s="76">
        <f t="shared" si="12"/>
        <v>0.12038400000000002</v>
      </c>
      <c r="H33" s="76">
        <f t="shared" si="12"/>
        <v>1.5394559999999999</v>
      </c>
      <c r="I33" s="76">
        <f t="shared" si="12"/>
        <v>0.32831999999999995</v>
      </c>
      <c r="J33" s="76">
        <f t="shared" si="12"/>
        <v>1.1162880000000002E-2</v>
      </c>
      <c r="K33" s="76">
        <f t="shared" si="12"/>
        <v>2.4806400000000001E-3</v>
      </c>
      <c r="L33" s="76">
        <f t="shared" si="12"/>
        <v>0.22179840000000001</v>
      </c>
      <c r="M33" s="76">
        <f t="shared" si="12"/>
        <v>0.11381759999999999</v>
      </c>
      <c r="N33" s="76">
        <f t="shared" si="12"/>
        <v>18.385919999999999</v>
      </c>
      <c r="O33" s="76">
        <f t="shared" si="12"/>
        <v>3494.7840000000001</v>
      </c>
      <c r="P33" s="76">
        <f t="shared" si="12"/>
        <v>0</v>
      </c>
      <c r="Q33" s="76">
        <f t="shared" si="13"/>
        <v>36.297600000000003</v>
      </c>
      <c r="R33" s="76">
        <f t="shared" si="14"/>
        <v>0</v>
      </c>
      <c r="S33" s="76">
        <f t="shared" si="14"/>
        <v>0.64131840000000007</v>
      </c>
      <c r="T33" s="76">
        <f t="shared" si="14"/>
        <v>0</v>
      </c>
      <c r="U33" s="76">
        <f t="shared" si="14"/>
        <v>0</v>
      </c>
      <c r="AB33" s="58"/>
      <c r="AC33" s="58"/>
      <c r="AD33" s="58"/>
      <c r="AE33" s="58"/>
      <c r="AF33" s="58"/>
      <c r="AG33" s="58"/>
      <c r="AH33" s="58"/>
      <c r="AI33" s="58"/>
    </row>
    <row r="34" spans="1:35" s="71" customFormat="1" ht="13" x14ac:dyDescent="0.35">
      <c r="A34" s="13" t="str">
        <f>F8</f>
        <v>BG1</v>
      </c>
      <c r="B34" s="15">
        <v>120</v>
      </c>
      <c r="C34" s="76">
        <f t="shared" si="8"/>
        <v>53.698559999999993</v>
      </c>
      <c r="D34" s="76">
        <f t="shared" si="9"/>
        <v>18.888103679999997</v>
      </c>
      <c r="E34" s="76">
        <f t="shared" si="10"/>
        <v>2.2418784000000005</v>
      </c>
      <c r="F34" s="76">
        <f t="shared" si="11"/>
        <v>9.1209630720000003</v>
      </c>
      <c r="G34" s="76">
        <f t="shared" si="12"/>
        <v>0.12038400000000002</v>
      </c>
      <c r="H34" s="76">
        <f t="shared" si="12"/>
        <v>1.5394559999999999</v>
      </c>
      <c r="I34" s="76">
        <f t="shared" si="12"/>
        <v>0.32831999999999995</v>
      </c>
      <c r="J34" s="76">
        <f t="shared" si="12"/>
        <v>1.1162880000000002E-2</v>
      </c>
      <c r="K34" s="76">
        <f t="shared" si="12"/>
        <v>2.4806400000000001E-3</v>
      </c>
      <c r="L34" s="76">
        <f t="shared" si="12"/>
        <v>0.22179840000000001</v>
      </c>
      <c r="M34" s="76">
        <f t="shared" si="12"/>
        <v>0.11381759999999999</v>
      </c>
      <c r="N34" s="76">
        <f t="shared" si="12"/>
        <v>18.385919999999999</v>
      </c>
      <c r="O34" s="76">
        <f t="shared" si="12"/>
        <v>3494.7840000000001</v>
      </c>
      <c r="P34" s="76">
        <f t="shared" si="12"/>
        <v>0</v>
      </c>
      <c r="Q34" s="76">
        <f t="shared" si="13"/>
        <v>36.297600000000003</v>
      </c>
      <c r="R34" s="76">
        <f t="shared" si="14"/>
        <v>0</v>
      </c>
      <c r="S34" s="76">
        <f t="shared" si="14"/>
        <v>0.64131840000000007</v>
      </c>
      <c r="T34" s="76">
        <f t="shared" si="14"/>
        <v>0</v>
      </c>
      <c r="U34" s="76">
        <f t="shared" si="14"/>
        <v>0</v>
      </c>
      <c r="AB34" s="58"/>
      <c r="AC34" s="58"/>
      <c r="AD34" s="58"/>
      <c r="AE34" s="58"/>
      <c r="AF34" s="58"/>
      <c r="AG34" s="58"/>
      <c r="AH34" s="58"/>
      <c r="AI34" s="58"/>
    </row>
    <row r="35" spans="1:35" s="71" customFormat="1" ht="13" x14ac:dyDescent="0.35">
      <c r="A35" s="13" t="str">
        <f>G8</f>
        <v>BG2</v>
      </c>
      <c r="B35" s="15">
        <v>120</v>
      </c>
      <c r="C35" s="76">
        <f t="shared" si="8"/>
        <v>53.698559999999993</v>
      </c>
      <c r="D35" s="76">
        <f t="shared" si="9"/>
        <v>18.888103679999997</v>
      </c>
      <c r="E35" s="76">
        <f t="shared" si="10"/>
        <v>2.2418784000000005</v>
      </c>
      <c r="F35" s="76">
        <f t="shared" si="11"/>
        <v>9.1209630720000003</v>
      </c>
      <c r="G35" s="76">
        <f t="shared" si="12"/>
        <v>0.12038400000000002</v>
      </c>
      <c r="H35" s="76">
        <f t="shared" si="12"/>
        <v>1.5394559999999999</v>
      </c>
      <c r="I35" s="76">
        <f t="shared" si="12"/>
        <v>0.32831999999999995</v>
      </c>
      <c r="J35" s="76">
        <f t="shared" si="12"/>
        <v>1.1162880000000002E-2</v>
      </c>
      <c r="K35" s="76">
        <f t="shared" si="12"/>
        <v>2.4806400000000001E-3</v>
      </c>
      <c r="L35" s="76">
        <f t="shared" si="12"/>
        <v>0.22179840000000001</v>
      </c>
      <c r="M35" s="76">
        <f t="shared" si="12"/>
        <v>0.11381759999999999</v>
      </c>
      <c r="N35" s="76">
        <f t="shared" si="12"/>
        <v>18.385919999999999</v>
      </c>
      <c r="O35" s="76">
        <f t="shared" si="12"/>
        <v>3494.7840000000001</v>
      </c>
      <c r="P35" s="76">
        <f t="shared" si="12"/>
        <v>0</v>
      </c>
      <c r="Q35" s="76">
        <f t="shared" si="13"/>
        <v>36.297600000000003</v>
      </c>
      <c r="R35" s="76">
        <f t="shared" si="14"/>
        <v>0</v>
      </c>
      <c r="S35" s="76">
        <f t="shared" si="14"/>
        <v>0.64131840000000007</v>
      </c>
      <c r="T35" s="76">
        <f t="shared" si="14"/>
        <v>0</v>
      </c>
      <c r="U35" s="76">
        <f t="shared" si="14"/>
        <v>0</v>
      </c>
      <c r="AB35" s="58"/>
      <c r="AC35" s="58"/>
      <c r="AD35" s="58"/>
      <c r="AE35" s="58"/>
      <c r="AF35" s="58"/>
      <c r="AG35" s="58"/>
      <c r="AH35" s="58"/>
      <c r="AI35" s="58"/>
    </row>
    <row r="36" spans="1:35" s="71" customFormat="1" ht="13" x14ac:dyDescent="0.35">
      <c r="A36" s="13" t="str">
        <f>H8</f>
        <v>BG3</v>
      </c>
      <c r="B36" s="15">
        <v>120</v>
      </c>
      <c r="C36" s="76">
        <f t="shared" si="8"/>
        <v>53.698559999999993</v>
      </c>
      <c r="D36" s="76">
        <f t="shared" si="9"/>
        <v>18.888103679999997</v>
      </c>
      <c r="E36" s="76">
        <f t="shared" si="10"/>
        <v>2.2418784000000005</v>
      </c>
      <c r="F36" s="76">
        <f t="shared" si="11"/>
        <v>9.1209630720000003</v>
      </c>
      <c r="G36" s="76">
        <f t="shared" si="12"/>
        <v>0.12038400000000002</v>
      </c>
      <c r="H36" s="76">
        <f t="shared" si="12"/>
        <v>1.5394559999999999</v>
      </c>
      <c r="I36" s="76">
        <f t="shared" si="12"/>
        <v>0.32831999999999995</v>
      </c>
      <c r="J36" s="76">
        <f t="shared" si="12"/>
        <v>1.1162880000000002E-2</v>
      </c>
      <c r="K36" s="76">
        <f t="shared" si="12"/>
        <v>2.4806400000000001E-3</v>
      </c>
      <c r="L36" s="76">
        <f t="shared" si="12"/>
        <v>0.22179840000000001</v>
      </c>
      <c r="M36" s="76">
        <f t="shared" si="12"/>
        <v>0.11381759999999999</v>
      </c>
      <c r="N36" s="76">
        <f t="shared" si="12"/>
        <v>18.385919999999999</v>
      </c>
      <c r="O36" s="76">
        <f t="shared" si="12"/>
        <v>3494.7840000000001</v>
      </c>
      <c r="P36" s="76">
        <f t="shared" si="12"/>
        <v>0</v>
      </c>
      <c r="Q36" s="76">
        <f t="shared" si="13"/>
        <v>36.297600000000003</v>
      </c>
      <c r="R36" s="76">
        <f t="shared" si="14"/>
        <v>0</v>
      </c>
      <c r="S36" s="76">
        <f t="shared" si="14"/>
        <v>0.64131840000000007</v>
      </c>
      <c r="T36" s="76">
        <f t="shared" si="14"/>
        <v>0</v>
      </c>
      <c r="U36" s="76">
        <f t="shared" si="14"/>
        <v>0</v>
      </c>
      <c r="AB36" s="58"/>
      <c r="AC36" s="58"/>
      <c r="AD36" s="58"/>
      <c r="AE36" s="58"/>
      <c r="AF36" s="58"/>
      <c r="AG36" s="58"/>
      <c r="AH36" s="58"/>
      <c r="AI36" s="58"/>
    </row>
    <row r="37" spans="1:35" s="71" customFormat="1" ht="13" x14ac:dyDescent="0.35">
      <c r="A37" s="13" t="str">
        <f>I8</f>
        <v>BG4</v>
      </c>
      <c r="B37" s="15">
        <v>120</v>
      </c>
      <c r="C37" s="76">
        <f t="shared" si="8"/>
        <v>53.698559999999993</v>
      </c>
      <c r="D37" s="76">
        <f t="shared" si="9"/>
        <v>18.888103679999997</v>
      </c>
      <c r="E37" s="76">
        <f t="shared" si="10"/>
        <v>2.2418784000000005</v>
      </c>
      <c r="F37" s="76">
        <f t="shared" si="11"/>
        <v>9.1209630720000003</v>
      </c>
      <c r="G37" s="76">
        <f t="shared" si="12"/>
        <v>0.12038400000000002</v>
      </c>
      <c r="H37" s="76">
        <f t="shared" si="12"/>
        <v>1.5394559999999999</v>
      </c>
      <c r="I37" s="76">
        <f t="shared" si="12"/>
        <v>0.32831999999999995</v>
      </c>
      <c r="J37" s="76">
        <f t="shared" si="12"/>
        <v>1.1162880000000002E-2</v>
      </c>
      <c r="K37" s="76">
        <f t="shared" si="12"/>
        <v>2.4806400000000001E-3</v>
      </c>
      <c r="L37" s="76">
        <f t="shared" si="12"/>
        <v>0.22179840000000001</v>
      </c>
      <c r="M37" s="76">
        <f t="shared" si="12"/>
        <v>0.11381759999999999</v>
      </c>
      <c r="N37" s="76">
        <f t="shared" si="12"/>
        <v>18.385919999999999</v>
      </c>
      <c r="O37" s="76">
        <f t="shared" si="12"/>
        <v>3494.7840000000001</v>
      </c>
      <c r="P37" s="76">
        <f t="shared" si="12"/>
        <v>0</v>
      </c>
      <c r="Q37" s="76">
        <f t="shared" si="13"/>
        <v>36.297600000000003</v>
      </c>
      <c r="R37" s="76">
        <f t="shared" si="14"/>
        <v>0</v>
      </c>
      <c r="S37" s="76">
        <f t="shared" si="14"/>
        <v>0.64131840000000007</v>
      </c>
      <c r="T37" s="76">
        <f t="shared" si="14"/>
        <v>0</v>
      </c>
      <c r="U37" s="76">
        <f t="shared" si="14"/>
        <v>0</v>
      </c>
      <c r="AB37" s="58"/>
      <c r="AC37" s="58"/>
      <c r="AD37" s="58"/>
      <c r="AE37" s="58"/>
      <c r="AF37" s="58"/>
      <c r="AG37" s="58"/>
      <c r="AH37" s="58"/>
      <c r="AI37" s="58"/>
    </row>
    <row r="38" spans="1:35" s="71" customFormat="1" ht="13" x14ac:dyDescent="0.35">
      <c r="A38" s="13" t="str">
        <f>J8</f>
        <v>BG5</v>
      </c>
      <c r="B38" s="15">
        <v>120</v>
      </c>
      <c r="C38" s="76">
        <f t="shared" si="8"/>
        <v>53.698559999999993</v>
      </c>
      <c r="D38" s="76">
        <f t="shared" si="9"/>
        <v>18.888103679999997</v>
      </c>
      <c r="E38" s="76">
        <f t="shared" si="10"/>
        <v>2.2418784000000005</v>
      </c>
      <c r="F38" s="76">
        <f t="shared" si="11"/>
        <v>9.1209630720000003</v>
      </c>
      <c r="G38" s="76">
        <f t="shared" si="12"/>
        <v>0.12038400000000002</v>
      </c>
      <c r="H38" s="76">
        <f t="shared" si="12"/>
        <v>1.5394559999999999</v>
      </c>
      <c r="I38" s="76">
        <f t="shared" si="12"/>
        <v>0.32831999999999995</v>
      </c>
      <c r="J38" s="76">
        <f t="shared" si="12"/>
        <v>1.1162880000000002E-2</v>
      </c>
      <c r="K38" s="76">
        <f t="shared" si="12"/>
        <v>2.4806400000000001E-3</v>
      </c>
      <c r="L38" s="76">
        <f t="shared" si="12"/>
        <v>0.22179840000000001</v>
      </c>
      <c r="M38" s="76">
        <f t="shared" si="12"/>
        <v>0.11381759999999999</v>
      </c>
      <c r="N38" s="76">
        <f t="shared" si="12"/>
        <v>18.385919999999999</v>
      </c>
      <c r="O38" s="76">
        <f t="shared" si="12"/>
        <v>3494.7840000000001</v>
      </c>
      <c r="P38" s="76">
        <f t="shared" si="12"/>
        <v>0</v>
      </c>
      <c r="Q38" s="76">
        <f t="shared" si="13"/>
        <v>36.297600000000003</v>
      </c>
      <c r="R38" s="76">
        <f t="shared" si="14"/>
        <v>0</v>
      </c>
      <c r="S38" s="76">
        <f t="shared" si="14"/>
        <v>0.64131840000000007</v>
      </c>
      <c r="T38" s="76">
        <f t="shared" si="14"/>
        <v>0</v>
      </c>
      <c r="U38" s="76">
        <f t="shared" si="14"/>
        <v>0</v>
      </c>
      <c r="AB38" s="58"/>
      <c r="AC38" s="58"/>
      <c r="AD38" s="58"/>
      <c r="AE38" s="58"/>
      <c r="AF38" s="58"/>
      <c r="AG38" s="58"/>
      <c r="AH38" s="58"/>
      <c r="AI38" s="58"/>
    </row>
    <row r="39" spans="1:35" s="71" customFormat="1" ht="13" x14ac:dyDescent="0.35">
      <c r="A39" s="13" t="str">
        <f>K8</f>
        <v>Peny1</v>
      </c>
      <c r="B39" s="15">
        <v>120</v>
      </c>
      <c r="C39" s="76">
        <f t="shared" si="8"/>
        <v>53.698559999999993</v>
      </c>
      <c r="D39" s="76">
        <f t="shared" si="9"/>
        <v>18.888103679999997</v>
      </c>
      <c r="E39" s="76">
        <f t="shared" si="10"/>
        <v>2.2418784000000005</v>
      </c>
      <c r="F39" s="76">
        <f t="shared" si="11"/>
        <v>9.1209630720000003</v>
      </c>
      <c r="G39" s="76">
        <f t="shared" si="12"/>
        <v>0.12038400000000002</v>
      </c>
      <c r="H39" s="76">
        <f t="shared" si="12"/>
        <v>1.5394559999999999</v>
      </c>
      <c r="I39" s="76">
        <f t="shared" si="12"/>
        <v>0.32831999999999995</v>
      </c>
      <c r="J39" s="76">
        <f t="shared" si="12"/>
        <v>1.1162880000000002E-2</v>
      </c>
      <c r="K39" s="76">
        <f t="shared" si="12"/>
        <v>2.4806400000000001E-3</v>
      </c>
      <c r="L39" s="76">
        <f t="shared" si="12"/>
        <v>0.22179840000000001</v>
      </c>
      <c r="M39" s="76">
        <f t="shared" si="12"/>
        <v>0.11381759999999999</v>
      </c>
      <c r="N39" s="76">
        <f t="shared" si="12"/>
        <v>18.385919999999999</v>
      </c>
      <c r="O39" s="76">
        <f t="shared" si="12"/>
        <v>3494.7840000000001</v>
      </c>
      <c r="P39" s="76">
        <f t="shared" si="12"/>
        <v>0</v>
      </c>
      <c r="Q39" s="76">
        <f t="shared" si="13"/>
        <v>36.297600000000003</v>
      </c>
      <c r="R39" s="76">
        <f t="shared" si="14"/>
        <v>0</v>
      </c>
      <c r="S39" s="76">
        <f t="shared" si="14"/>
        <v>0.64131840000000007</v>
      </c>
      <c r="T39" s="76">
        <f t="shared" si="14"/>
        <v>0</v>
      </c>
      <c r="U39" s="76">
        <f t="shared" si="14"/>
        <v>0</v>
      </c>
      <c r="AB39" s="58"/>
      <c r="AC39" s="58"/>
      <c r="AD39" s="58"/>
      <c r="AE39" s="58"/>
      <c r="AF39" s="58"/>
      <c r="AG39" s="58"/>
      <c r="AH39" s="58"/>
      <c r="AI39" s="58"/>
    </row>
    <row r="40" spans="1:35" s="71" customFormat="1" ht="13" x14ac:dyDescent="0.35">
      <c r="A40" s="13" t="str">
        <f>L8</f>
        <v>G1</v>
      </c>
      <c r="B40" s="15">
        <v>120</v>
      </c>
      <c r="C40" s="76">
        <f t="shared" si="8"/>
        <v>53.698559999999993</v>
      </c>
      <c r="D40" s="76">
        <f t="shared" si="9"/>
        <v>18.888103679999997</v>
      </c>
      <c r="E40" s="76">
        <f t="shared" si="10"/>
        <v>2.2418784000000005</v>
      </c>
      <c r="F40" s="76">
        <f t="shared" si="11"/>
        <v>9.1209630720000003</v>
      </c>
      <c r="G40" s="76">
        <f t="shared" si="12"/>
        <v>0.12038400000000002</v>
      </c>
      <c r="H40" s="76">
        <f t="shared" si="12"/>
        <v>1.5394559999999999</v>
      </c>
      <c r="I40" s="76">
        <f t="shared" si="12"/>
        <v>0.32831999999999995</v>
      </c>
      <c r="J40" s="76">
        <f t="shared" si="12"/>
        <v>1.1162880000000002E-2</v>
      </c>
      <c r="K40" s="76">
        <f t="shared" si="12"/>
        <v>2.4806400000000001E-3</v>
      </c>
      <c r="L40" s="76">
        <f t="shared" si="12"/>
        <v>0.22179840000000001</v>
      </c>
      <c r="M40" s="76">
        <f t="shared" si="12"/>
        <v>0.11381759999999999</v>
      </c>
      <c r="N40" s="76">
        <f t="shared" si="12"/>
        <v>18.385919999999999</v>
      </c>
      <c r="O40" s="76">
        <f t="shared" si="12"/>
        <v>3494.7840000000001</v>
      </c>
      <c r="P40" s="76">
        <f t="shared" si="12"/>
        <v>0</v>
      </c>
      <c r="Q40" s="76">
        <f t="shared" si="13"/>
        <v>36.297600000000003</v>
      </c>
      <c r="R40" s="76">
        <f t="shared" si="14"/>
        <v>0</v>
      </c>
      <c r="S40" s="76">
        <f t="shared" si="14"/>
        <v>0.64131840000000007</v>
      </c>
      <c r="T40" s="76">
        <f t="shared" si="14"/>
        <v>0</v>
      </c>
      <c r="U40" s="76">
        <f t="shared" si="14"/>
        <v>0</v>
      </c>
      <c r="AB40" s="58"/>
      <c r="AC40" s="58"/>
      <c r="AD40" s="58"/>
      <c r="AE40" s="58"/>
      <c r="AF40" s="58"/>
      <c r="AG40" s="58"/>
      <c r="AH40" s="58"/>
      <c r="AI40" s="58"/>
    </row>
    <row r="41" spans="1:35" s="71" customFormat="1" ht="13" x14ac:dyDescent="0.35">
      <c r="A41" s="13" t="str">
        <f>M8</f>
        <v>G2</v>
      </c>
      <c r="B41" s="15">
        <v>120</v>
      </c>
      <c r="C41" s="76">
        <f t="shared" si="8"/>
        <v>53.698559999999993</v>
      </c>
      <c r="D41" s="76">
        <f t="shared" si="9"/>
        <v>18.888103679999997</v>
      </c>
      <c r="E41" s="76">
        <f t="shared" si="10"/>
        <v>2.2418784000000005</v>
      </c>
      <c r="F41" s="76">
        <f t="shared" si="11"/>
        <v>9.1209630720000003</v>
      </c>
      <c r="G41" s="76">
        <f t="shared" si="12"/>
        <v>0.12038400000000002</v>
      </c>
      <c r="H41" s="76">
        <f t="shared" si="12"/>
        <v>1.5394559999999999</v>
      </c>
      <c r="I41" s="76">
        <f t="shared" si="12"/>
        <v>0.32831999999999995</v>
      </c>
      <c r="J41" s="76">
        <f t="shared" si="12"/>
        <v>1.1162880000000002E-2</v>
      </c>
      <c r="K41" s="76">
        <f t="shared" si="12"/>
        <v>2.4806400000000001E-3</v>
      </c>
      <c r="L41" s="76">
        <f t="shared" si="12"/>
        <v>0.22179840000000001</v>
      </c>
      <c r="M41" s="76">
        <f t="shared" si="12"/>
        <v>0.11381759999999999</v>
      </c>
      <c r="N41" s="76">
        <f t="shared" si="12"/>
        <v>18.385919999999999</v>
      </c>
      <c r="O41" s="76">
        <f t="shared" si="12"/>
        <v>3494.7840000000001</v>
      </c>
      <c r="P41" s="76">
        <f t="shared" si="12"/>
        <v>0</v>
      </c>
      <c r="Q41" s="76">
        <f t="shared" si="13"/>
        <v>36.297600000000003</v>
      </c>
      <c r="R41" s="76">
        <f t="shared" si="14"/>
        <v>0</v>
      </c>
      <c r="S41" s="76">
        <f t="shared" si="14"/>
        <v>0.64131840000000007</v>
      </c>
      <c r="T41" s="76">
        <f t="shared" si="14"/>
        <v>0</v>
      </c>
      <c r="U41" s="76">
        <f t="shared" si="14"/>
        <v>0</v>
      </c>
      <c r="AB41" s="58"/>
      <c r="AC41" s="58"/>
      <c r="AD41" s="58"/>
      <c r="AE41" s="58"/>
      <c r="AF41" s="58"/>
      <c r="AG41" s="58"/>
      <c r="AH41" s="58"/>
      <c r="AI41" s="58"/>
    </row>
    <row r="42" spans="1:35" s="71" customFormat="1" ht="13" x14ac:dyDescent="0.35">
      <c r="A42" s="13" t="str">
        <f>N8</f>
        <v>G3</v>
      </c>
      <c r="B42" s="15">
        <v>120</v>
      </c>
      <c r="C42" s="76">
        <f t="shared" si="8"/>
        <v>53.698559999999993</v>
      </c>
      <c r="D42" s="76">
        <f t="shared" si="9"/>
        <v>18.888103679999997</v>
      </c>
      <c r="E42" s="76">
        <f t="shared" si="10"/>
        <v>2.2418784000000005</v>
      </c>
      <c r="F42" s="76">
        <f t="shared" si="11"/>
        <v>9.1209630720000003</v>
      </c>
      <c r="G42" s="76">
        <f t="shared" si="12"/>
        <v>0.12038400000000002</v>
      </c>
      <c r="H42" s="76">
        <f t="shared" si="12"/>
        <v>1.5394559999999999</v>
      </c>
      <c r="I42" s="76">
        <f t="shared" si="12"/>
        <v>0.32831999999999995</v>
      </c>
      <c r="J42" s="76">
        <f t="shared" si="12"/>
        <v>1.1162880000000002E-2</v>
      </c>
      <c r="K42" s="76">
        <f t="shared" si="12"/>
        <v>2.4806400000000001E-3</v>
      </c>
      <c r="L42" s="76">
        <f t="shared" si="12"/>
        <v>0.22179840000000001</v>
      </c>
      <c r="M42" s="76">
        <f t="shared" si="12"/>
        <v>0.11381759999999999</v>
      </c>
      <c r="N42" s="76">
        <f t="shared" si="12"/>
        <v>18.385919999999999</v>
      </c>
      <c r="O42" s="76">
        <f t="shared" si="12"/>
        <v>3494.7840000000001</v>
      </c>
      <c r="P42" s="76">
        <f t="shared" si="12"/>
        <v>0</v>
      </c>
      <c r="Q42" s="76">
        <f t="shared" si="13"/>
        <v>36.297600000000003</v>
      </c>
      <c r="R42" s="76">
        <f t="shared" si="14"/>
        <v>0</v>
      </c>
      <c r="S42" s="76">
        <f t="shared" si="14"/>
        <v>0.64131840000000007</v>
      </c>
      <c r="T42" s="76">
        <f t="shared" si="14"/>
        <v>0</v>
      </c>
      <c r="U42" s="76">
        <f t="shared" si="14"/>
        <v>0</v>
      </c>
      <c r="AB42" s="58"/>
      <c r="AC42" s="58"/>
      <c r="AD42" s="58"/>
      <c r="AE42" s="58"/>
      <c r="AF42" s="58"/>
      <c r="AG42" s="58"/>
      <c r="AH42" s="58"/>
      <c r="AI42" s="58"/>
    </row>
    <row r="43" spans="1:35" s="71" customFormat="1" ht="13" x14ac:dyDescent="0.35">
      <c r="A43" s="13" t="str">
        <f>O8</f>
        <v>G4A</v>
      </c>
      <c r="B43" s="15">
        <v>120</v>
      </c>
      <c r="C43" s="76">
        <f t="shared" si="8"/>
        <v>53.698559999999993</v>
      </c>
      <c r="D43" s="76">
        <f t="shared" si="9"/>
        <v>18.888103679999997</v>
      </c>
      <c r="E43" s="76">
        <f t="shared" si="10"/>
        <v>2.2418784000000005</v>
      </c>
      <c r="F43" s="76">
        <f t="shared" si="11"/>
        <v>9.1209630720000003</v>
      </c>
      <c r="G43" s="76">
        <f t="shared" si="12"/>
        <v>0.12038400000000002</v>
      </c>
      <c r="H43" s="76">
        <f t="shared" si="12"/>
        <v>1.5394559999999999</v>
      </c>
      <c r="I43" s="76">
        <f t="shared" si="12"/>
        <v>0.32831999999999995</v>
      </c>
      <c r="J43" s="76">
        <f t="shared" si="12"/>
        <v>1.1162880000000002E-2</v>
      </c>
      <c r="K43" s="76">
        <f t="shared" si="12"/>
        <v>2.4806400000000001E-3</v>
      </c>
      <c r="L43" s="76">
        <f t="shared" si="12"/>
        <v>0.22179840000000001</v>
      </c>
      <c r="M43" s="76">
        <f t="shared" si="12"/>
        <v>0.11381759999999999</v>
      </c>
      <c r="N43" s="76">
        <f t="shared" si="12"/>
        <v>18.385919999999999</v>
      </c>
      <c r="O43" s="76">
        <f t="shared" si="12"/>
        <v>3494.7840000000001</v>
      </c>
      <c r="P43" s="76">
        <f t="shared" si="12"/>
        <v>0</v>
      </c>
      <c r="Q43" s="76">
        <f t="shared" si="13"/>
        <v>36.297600000000003</v>
      </c>
      <c r="R43" s="76">
        <f t="shared" si="14"/>
        <v>0</v>
      </c>
      <c r="S43" s="76">
        <f t="shared" si="14"/>
        <v>0.64131840000000007</v>
      </c>
      <c r="T43" s="76">
        <f t="shared" si="14"/>
        <v>0</v>
      </c>
      <c r="U43" s="76">
        <f t="shared" si="14"/>
        <v>0</v>
      </c>
      <c r="AB43" s="58"/>
      <c r="AC43" s="58"/>
      <c r="AD43" s="58"/>
      <c r="AE43" s="58"/>
      <c r="AF43" s="58"/>
      <c r="AG43" s="58"/>
      <c r="AH43" s="58"/>
      <c r="AI43" s="58"/>
    </row>
    <row r="44" spans="1:35" s="71" customFormat="1" ht="13" x14ac:dyDescent="0.35">
      <c r="A44" s="13" t="str">
        <f>P8</f>
        <v>G4B</v>
      </c>
      <c r="B44" s="15">
        <v>120</v>
      </c>
      <c r="C44" s="76">
        <f t="shared" si="8"/>
        <v>53.698559999999993</v>
      </c>
      <c r="D44" s="76">
        <f t="shared" si="9"/>
        <v>18.888103679999997</v>
      </c>
      <c r="E44" s="76">
        <f t="shared" si="10"/>
        <v>2.2418784000000005</v>
      </c>
      <c r="F44" s="76">
        <f t="shared" si="11"/>
        <v>9.1209630720000003</v>
      </c>
      <c r="G44" s="76">
        <f t="shared" si="12"/>
        <v>0.12038400000000002</v>
      </c>
      <c r="H44" s="76">
        <f t="shared" si="12"/>
        <v>1.5394559999999999</v>
      </c>
      <c r="I44" s="76">
        <f t="shared" si="12"/>
        <v>0.32831999999999995</v>
      </c>
      <c r="J44" s="76">
        <f t="shared" si="12"/>
        <v>1.1162880000000002E-2</v>
      </c>
      <c r="K44" s="76">
        <f t="shared" si="12"/>
        <v>2.4806400000000001E-3</v>
      </c>
      <c r="L44" s="76">
        <f t="shared" si="12"/>
        <v>0.22179840000000001</v>
      </c>
      <c r="M44" s="76">
        <f t="shared" si="12"/>
        <v>0.11381759999999999</v>
      </c>
      <c r="N44" s="76">
        <f t="shared" si="12"/>
        <v>18.385919999999999</v>
      </c>
      <c r="O44" s="76">
        <f t="shared" si="12"/>
        <v>3494.7840000000001</v>
      </c>
      <c r="P44" s="76">
        <f t="shared" si="12"/>
        <v>0</v>
      </c>
      <c r="Q44" s="76">
        <f t="shared" si="13"/>
        <v>36.297600000000003</v>
      </c>
      <c r="R44" s="76">
        <f t="shared" si="14"/>
        <v>0</v>
      </c>
      <c r="S44" s="76">
        <f t="shared" si="14"/>
        <v>0.64131840000000007</v>
      </c>
      <c r="T44" s="76">
        <f t="shared" si="14"/>
        <v>0</v>
      </c>
      <c r="U44" s="76">
        <f t="shared" si="14"/>
        <v>0</v>
      </c>
      <c r="AB44" s="58"/>
      <c r="AC44" s="58"/>
      <c r="AD44" s="58"/>
      <c r="AE44" s="58"/>
      <c r="AF44" s="58"/>
      <c r="AG44" s="58"/>
      <c r="AH44" s="58"/>
      <c r="AI44" s="58"/>
    </row>
    <row r="45" spans="1:35" s="71" customFormat="1" ht="13" x14ac:dyDescent="0.35">
      <c r="A45" s="13" t="str">
        <f>Q8</f>
        <v>G5</v>
      </c>
      <c r="B45" s="15">
        <v>120</v>
      </c>
      <c r="C45" s="76">
        <f t="shared" si="8"/>
        <v>53.698559999999993</v>
      </c>
      <c r="D45" s="76">
        <f t="shared" si="9"/>
        <v>18.888103679999997</v>
      </c>
      <c r="E45" s="76">
        <f t="shared" si="10"/>
        <v>2.2418784000000005</v>
      </c>
      <c r="F45" s="76">
        <f t="shared" si="11"/>
        <v>9.1209630720000003</v>
      </c>
      <c r="G45" s="76">
        <f t="shared" si="12"/>
        <v>0.12038400000000002</v>
      </c>
      <c r="H45" s="76">
        <f t="shared" si="12"/>
        <v>1.5394559999999999</v>
      </c>
      <c r="I45" s="76">
        <f t="shared" si="12"/>
        <v>0.32831999999999995</v>
      </c>
      <c r="J45" s="76">
        <f t="shared" si="12"/>
        <v>1.1162880000000002E-2</v>
      </c>
      <c r="K45" s="76">
        <f t="shared" si="12"/>
        <v>2.4806400000000001E-3</v>
      </c>
      <c r="L45" s="76">
        <f t="shared" si="12"/>
        <v>0.22179840000000001</v>
      </c>
      <c r="M45" s="76">
        <f t="shared" si="12"/>
        <v>0.11381759999999999</v>
      </c>
      <c r="N45" s="76">
        <f t="shared" si="12"/>
        <v>18.385919999999999</v>
      </c>
      <c r="O45" s="76">
        <f t="shared" si="12"/>
        <v>3494.7840000000001</v>
      </c>
      <c r="P45" s="76">
        <f t="shared" si="12"/>
        <v>0</v>
      </c>
      <c r="Q45" s="76">
        <f t="shared" si="13"/>
        <v>36.297600000000003</v>
      </c>
      <c r="R45" s="76">
        <f t="shared" si="14"/>
        <v>0</v>
      </c>
      <c r="S45" s="76">
        <f t="shared" si="14"/>
        <v>0.64131840000000007</v>
      </c>
      <c r="T45" s="76">
        <f t="shared" si="14"/>
        <v>0</v>
      </c>
      <c r="U45" s="76">
        <f t="shared" si="14"/>
        <v>0</v>
      </c>
      <c r="AB45" s="58"/>
      <c r="AC45" s="58"/>
      <c r="AD45" s="58"/>
      <c r="AE45" s="58"/>
      <c r="AF45" s="58"/>
      <c r="AG45" s="58"/>
      <c r="AH45" s="58"/>
      <c r="AI45" s="58"/>
    </row>
    <row r="46" spans="1:35" s="71" customFormat="1" ht="13" x14ac:dyDescent="0.35">
      <c r="A46" s="13" t="str">
        <f>R8</f>
        <v>G9</v>
      </c>
      <c r="B46" s="15">
        <v>120</v>
      </c>
      <c r="C46" s="76">
        <f t="shared" si="8"/>
        <v>53.698559999999993</v>
      </c>
      <c r="D46" s="76">
        <f t="shared" si="9"/>
        <v>18.888103679999997</v>
      </c>
      <c r="E46" s="76">
        <f t="shared" si="10"/>
        <v>2.2418784000000005</v>
      </c>
      <c r="F46" s="76">
        <f t="shared" si="11"/>
        <v>9.1209630720000003</v>
      </c>
      <c r="G46" s="76">
        <f t="shared" si="12"/>
        <v>0.12038400000000002</v>
      </c>
      <c r="H46" s="76">
        <f t="shared" si="12"/>
        <v>1.5394559999999999</v>
      </c>
      <c r="I46" s="76">
        <f t="shared" si="12"/>
        <v>0.32831999999999995</v>
      </c>
      <c r="J46" s="76">
        <f t="shared" si="12"/>
        <v>1.1162880000000002E-2</v>
      </c>
      <c r="K46" s="76">
        <f t="shared" si="12"/>
        <v>2.4806400000000001E-3</v>
      </c>
      <c r="L46" s="76">
        <f t="shared" si="12"/>
        <v>0.22179840000000001</v>
      </c>
      <c r="M46" s="76">
        <f t="shared" si="12"/>
        <v>0.11381759999999999</v>
      </c>
      <c r="N46" s="76">
        <f t="shared" si="12"/>
        <v>18.385919999999999</v>
      </c>
      <c r="O46" s="76">
        <f t="shared" si="12"/>
        <v>3494.7840000000001</v>
      </c>
      <c r="P46" s="76">
        <f t="shared" si="12"/>
        <v>0</v>
      </c>
      <c r="Q46" s="76">
        <f t="shared" si="13"/>
        <v>36.297600000000003</v>
      </c>
      <c r="R46" s="76">
        <f t="shared" si="14"/>
        <v>0</v>
      </c>
      <c r="S46" s="76">
        <f t="shared" si="14"/>
        <v>0.64131840000000007</v>
      </c>
      <c r="T46" s="76">
        <f t="shared" si="14"/>
        <v>0</v>
      </c>
      <c r="U46" s="76">
        <f t="shared" si="14"/>
        <v>0</v>
      </c>
      <c r="AB46" s="58"/>
      <c r="AC46" s="58"/>
      <c r="AD46" s="58"/>
      <c r="AE46" s="58"/>
      <c r="AF46" s="58"/>
      <c r="AG46" s="58"/>
      <c r="AH46" s="58"/>
      <c r="AI46" s="58"/>
    </row>
    <row r="47" spans="1:35" s="71" customFormat="1" ht="13" x14ac:dyDescent="0.35">
      <c r="A47" s="13" t="str">
        <f>S8</f>
        <v>G12</v>
      </c>
      <c r="B47" s="15">
        <v>120</v>
      </c>
      <c r="C47" s="76">
        <f t="shared" si="8"/>
        <v>53.698559999999993</v>
      </c>
      <c r="D47" s="76">
        <f t="shared" si="9"/>
        <v>18.888103679999997</v>
      </c>
      <c r="E47" s="76">
        <f t="shared" si="10"/>
        <v>2.2418784000000005</v>
      </c>
      <c r="F47" s="76">
        <f t="shared" si="11"/>
        <v>9.1209630720000003</v>
      </c>
      <c r="G47" s="76">
        <f t="shared" si="12"/>
        <v>0.12038400000000002</v>
      </c>
      <c r="H47" s="76">
        <f t="shared" si="12"/>
        <v>1.5394559999999999</v>
      </c>
      <c r="I47" s="76">
        <f t="shared" si="12"/>
        <v>0.32831999999999995</v>
      </c>
      <c r="J47" s="76">
        <f t="shared" si="12"/>
        <v>1.1162880000000002E-2</v>
      </c>
      <c r="K47" s="76">
        <f t="shared" si="12"/>
        <v>2.4806400000000001E-3</v>
      </c>
      <c r="L47" s="76">
        <f t="shared" si="12"/>
        <v>0.22179840000000001</v>
      </c>
      <c r="M47" s="76">
        <f t="shared" si="12"/>
        <v>0.11381759999999999</v>
      </c>
      <c r="N47" s="76">
        <f t="shared" si="12"/>
        <v>18.385919999999999</v>
      </c>
      <c r="O47" s="76">
        <f t="shared" si="12"/>
        <v>3494.7840000000001</v>
      </c>
      <c r="P47" s="76">
        <f t="shared" si="12"/>
        <v>0</v>
      </c>
      <c r="Q47" s="76">
        <f t="shared" si="13"/>
        <v>36.297600000000003</v>
      </c>
      <c r="R47" s="76">
        <f t="shared" si="14"/>
        <v>0</v>
      </c>
      <c r="S47" s="76">
        <f t="shared" si="14"/>
        <v>0.64131840000000007</v>
      </c>
      <c r="T47" s="76">
        <f t="shared" si="14"/>
        <v>0</v>
      </c>
      <c r="U47" s="76">
        <f t="shared" si="14"/>
        <v>0</v>
      </c>
      <c r="AB47" s="58"/>
      <c r="AC47" s="58"/>
      <c r="AD47" s="58"/>
      <c r="AE47" s="58"/>
      <c r="AF47" s="58"/>
      <c r="AG47" s="58"/>
      <c r="AH47" s="58"/>
      <c r="AI47" s="58"/>
    </row>
    <row r="48" spans="1:35" s="71" customFormat="1" ht="13" x14ac:dyDescent="0.35">
      <c r="A48" s="13">
        <f>T8</f>
        <v>0</v>
      </c>
      <c r="B48" s="15"/>
      <c r="C48" s="76">
        <f t="shared" si="8"/>
        <v>0</v>
      </c>
      <c r="D48" s="76">
        <f t="shared" si="9"/>
        <v>0</v>
      </c>
      <c r="E48" s="76">
        <f t="shared" si="10"/>
        <v>0</v>
      </c>
      <c r="F48" s="76">
        <f t="shared" si="11"/>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3"/>
        <v>0</v>
      </c>
      <c r="R48" s="76">
        <f t="shared" si="14"/>
        <v>0</v>
      </c>
      <c r="S48" s="76">
        <f t="shared" si="14"/>
        <v>0</v>
      </c>
      <c r="T48" s="76">
        <f t="shared" si="14"/>
        <v>0</v>
      </c>
      <c r="U48" s="76">
        <f t="shared" si="14"/>
        <v>0</v>
      </c>
      <c r="AB48" s="58"/>
      <c r="AC48" s="58"/>
      <c r="AD48" s="58"/>
      <c r="AE48" s="58"/>
      <c r="AF48" s="58"/>
      <c r="AG48" s="58"/>
      <c r="AH48" s="58"/>
      <c r="AI48" s="58"/>
    </row>
    <row r="49" spans="1:35" s="71" customFormat="1" ht="13" x14ac:dyDescent="0.35">
      <c r="A49" s="13">
        <f>U8</f>
        <v>0</v>
      </c>
      <c r="B49" s="15"/>
      <c r="C49" s="76">
        <f t="shared" si="8"/>
        <v>0</v>
      </c>
      <c r="D49" s="76">
        <f t="shared" si="9"/>
        <v>0</v>
      </c>
      <c r="E49" s="76">
        <f t="shared" si="10"/>
        <v>0</v>
      </c>
      <c r="F49" s="76">
        <f t="shared" si="11"/>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3"/>
        <v>0</v>
      </c>
      <c r="R49" s="76">
        <f t="shared" si="14"/>
        <v>0</v>
      </c>
      <c r="S49" s="76">
        <f t="shared" si="14"/>
        <v>0</v>
      </c>
      <c r="T49" s="76">
        <f t="shared" si="14"/>
        <v>0</v>
      </c>
      <c r="U49" s="76">
        <f t="shared" si="14"/>
        <v>0</v>
      </c>
      <c r="AB49" s="58"/>
      <c r="AC49" s="58"/>
      <c r="AD49" s="58"/>
      <c r="AE49" s="58"/>
      <c r="AF49" s="58"/>
      <c r="AG49" s="58"/>
      <c r="AH49" s="58"/>
      <c r="AI49" s="58"/>
    </row>
    <row r="50" spans="1:35" s="71" customFormat="1" ht="13.5" thickBot="1" x14ac:dyDescent="0.4">
      <c r="A50" s="14">
        <f>V8</f>
        <v>0</v>
      </c>
      <c r="B50" s="15"/>
      <c r="C50" s="97">
        <f t="shared" si="8"/>
        <v>0</v>
      </c>
      <c r="D50" s="97">
        <f t="shared" si="9"/>
        <v>0</v>
      </c>
      <c r="E50" s="97">
        <f t="shared" si="10"/>
        <v>0</v>
      </c>
      <c r="F50" s="97">
        <f t="shared" si="11"/>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3"/>
        <v>0</v>
      </c>
      <c r="R50" s="97">
        <f t="shared" si="14"/>
        <v>0</v>
      </c>
      <c r="S50" s="97">
        <f t="shared" si="14"/>
        <v>0</v>
      </c>
      <c r="T50" s="97">
        <f t="shared" si="14"/>
        <v>0</v>
      </c>
      <c r="U50" s="97">
        <f t="shared" si="14"/>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I57" si="15">D8</f>
        <v>N5</v>
      </c>
      <c r="D57" s="8" t="str">
        <f t="shared" si="15"/>
        <v>N17</v>
      </c>
      <c r="E57" s="8" t="str">
        <f t="shared" si="15"/>
        <v>BG1</v>
      </c>
      <c r="F57" s="8" t="str">
        <f t="shared" si="15"/>
        <v>BG2</v>
      </c>
      <c r="G57" s="8" t="str">
        <f t="shared" si="15"/>
        <v>BG3</v>
      </c>
      <c r="H57" s="8" t="str">
        <f t="shared" si="15"/>
        <v>BG4</v>
      </c>
      <c r="I57" s="8" t="str">
        <f t="shared" si="15"/>
        <v>BG5</v>
      </c>
      <c r="J57" s="8" t="str">
        <f t="shared" ref="J57:U57" si="16">K8</f>
        <v>Peny1</v>
      </c>
      <c r="K57" s="8" t="str">
        <f t="shared" si="16"/>
        <v>G1</v>
      </c>
      <c r="L57" s="8" t="str">
        <f t="shared" si="16"/>
        <v>G2</v>
      </c>
      <c r="M57" s="8" t="str">
        <f t="shared" si="16"/>
        <v>G3</v>
      </c>
      <c r="N57" s="8" t="str">
        <f t="shared" si="16"/>
        <v>G4A</v>
      </c>
      <c r="O57" s="8" t="str">
        <f t="shared" si="16"/>
        <v>G4B</v>
      </c>
      <c r="P57" s="8" t="str">
        <f t="shared" si="16"/>
        <v>G5</v>
      </c>
      <c r="Q57" s="8" t="str">
        <f t="shared" si="16"/>
        <v>G9</v>
      </c>
      <c r="R57" s="8" t="str">
        <f t="shared" si="16"/>
        <v>G12</v>
      </c>
      <c r="S57" s="8">
        <f t="shared" si="16"/>
        <v>0</v>
      </c>
      <c r="T57" s="8">
        <f t="shared" si="16"/>
        <v>0</v>
      </c>
      <c r="U57" s="8">
        <f t="shared" si="16"/>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str">
        <f>L16&amp;" I "&amp;(VLOOKUP(L14,Table24[],6,FALSE))</f>
        <v>Medium/Clay I Grass</v>
      </c>
      <c r="L58" s="13" t="str">
        <f>M16&amp;" I "&amp;(VLOOKUP(M14,Table24[],6,FALSE))</f>
        <v>Medium/Clay I Grass</v>
      </c>
      <c r="M58" s="13" t="str">
        <f>N16&amp;" I "&amp;(VLOOKUP(N14,Table24[],6,FALSE))</f>
        <v>Medium/Clay I Grass</v>
      </c>
      <c r="N58" s="13" t="str">
        <f>O16&amp;" I "&amp;(VLOOKUP(O14,Table24[],6,FALSE))</f>
        <v>Medium/Clay I Grass</v>
      </c>
      <c r="O58" s="13" t="str">
        <f>P16&amp;" I "&amp;(VLOOKUP(P14,Table24[],6,FALSE))</f>
        <v>Medium/Clay I Grass</v>
      </c>
      <c r="P58" s="13" t="str">
        <f>Q16&amp;" I "&amp;(VLOOKUP(Q14,Table24[],6,FALSE))</f>
        <v>Medium/Clay I Grass</v>
      </c>
      <c r="Q58" s="13" t="str">
        <f>R16&amp;" I "&amp;(VLOOKUP(R14,Table24[],6,FALSE))</f>
        <v>Medium/Clay I Grass</v>
      </c>
      <c r="R58" s="13" t="str">
        <f>S16&amp;" I "&amp;(VLOOKUP(S14,Table24[],6,FALSE))</f>
        <v>Medium/Clay I Grass</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f>VLOOKUP(L$14,Table24[],5,FALSE)</f>
        <v>6.2</v>
      </c>
      <c r="L59" s="75">
        <f>VLOOKUP(M$14,Table24[],5,FALSE)</f>
        <v>6.2</v>
      </c>
      <c r="M59" s="75">
        <f>VLOOKUP(N$14,Table24[],5,FALSE)</f>
        <v>6.2</v>
      </c>
      <c r="N59" s="75">
        <f>VLOOKUP(O$14,Table24[],5,FALSE)</f>
        <v>6.2</v>
      </c>
      <c r="O59" s="75">
        <f>VLOOKUP(P$14,Table24[],5,FALSE)</f>
        <v>6.2</v>
      </c>
      <c r="P59" s="75">
        <f>VLOOKUP(Q$14,Table24[],5,FALSE)</f>
        <v>6.2</v>
      </c>
      <c r="Q59" s="75">
        <f>VLOOKUP(R$14,Table24[],5,FALSE)</f>
        <v>6.2</v>
      </c>
      <c r="R59" s="75">
        <f>VLOOKUP(S$14,Table24[],5,FALSE)</f>
        <v>6.2</v>
      </c>
      <c r="S59" s="75" t="e">
        <f>VLOOKUP(T$14,Table24[],5,FALSE)</f>
        <v>#N/A</v>
      </c>
      <c r="T59" s="75" t="e">
        <f>VLOOKUP(U$14,Table24[],5,FALSE)</f>
        <v>#N/A</v>
      </c>
      <c r="U59" s="75" t="e">
        <f>VLOOKUP(V$14,Table24[],5,FALSE)</f>
        <v>#N/A</v>
      </c>
    </row>
    <row r="60" spans="1:35" s="19" customFormat="1" ht="13" x14ac:dyDescent="0.3">
      <c r="A60" s="110" t="s">
        <v>4</v>
      </c>
      <c r="B60" s="75">
        <f>C10</f>
        <v>7.2</v>
      </c>
      <c r="C60" s="75">
        <f t="shared" ref="C60:I60" si="17">D10</f>
        <v>7</v>
      </c>
      <c r="D60" s="75">
        <f t="shared" si="17"/>
        <v>7.1</v>
      </c>
      <c r="E60" s="75">
        <f t="shared" si="17"/>
        <v>7.2</v>
      </c>
      <c r="F60" s="75">
        <f t="shared" si="17"/>
        <v>6.9</v>
      </c>
      <c r="G60" s="75">
        <f t="shared" si="17"/>
        <v>6.3</v>
      </c>
      <c r="H60" s="75">
        <f t="shared" si="17"/>
        <v>6.8</v>
      </c>
      <c r="I60" s="75">
        <f t="shared" si="17"/>
        <v>6.5</v>
      </c>
      <c r="J60" s="75">
        <f t="shared" ref="J60:U60" si="18">K10</f>
        <v>5.8</v>
      </c>
      <c r="K60" s="75">
        <f t="shared" si="18"/>
        <v>7.1</v>
      </c>
      <c r="L60" s="75">
        <f t="shared" si="18"/>
        <v>6.4</v>
      </c>
      <c r="M60" s="75">
        <f t="shared" si="18"/>
        <v>6.7</v>
      </c>
      <c r="N60" s="75">
        <f t="shared" si="18"/>
        <v>6.9</v>
      </c>
      <c r="O60" s="75">
        <f t="shared" si="18"/>
        <v>7.1</v>
      </c>
      <c r="P60" s="75">
        <f t="shared" si="18"/>
        <v>7.1</v>
      </c>
      <c r="Q60" s="75">
        <f t="shared" si="18"/>
        <v>7.1</v>
      </c>
      <c r="R60" s="75">
        <f t="shared" si="18"/>
        <v>7.1</v>
      </c>
      <c r="S60" s="75">
        <f t="shared" si="18"/>
        <v>0</v>
      </c>
      <c r="T60" s="75">
        <f t="shared" si="18"/>
        <v>0</v>
      </c>
      <c r="U60" s="75">
        <f t="shared" si="18"/>
        <v>0</v>
      </c>
    </row>
    <row r="61" spans="1:35" s="19" customFormat="1" ht="13" x14ac:dyDescent="0.3">
      <c r="A61" s="110" t="s">
        <v>133</v>
      </c>
      <c r="B61" s="75">
        <f t="shared" ref="B61:U61" si="19">VLOOKUP(B58,$AD9:$AE18,2,FALSE)</f>
        <v>6</v>
      </c>
      <c r="C61" s="75">
        <f t="shared" si="19"/>
        <v>6</v>
      </c>
      <c r="D61" s="75">
        <f t="shared" si="19"/>
        <v>6</v>
      </c>
      <c r="E61" s="75">
        <f t="shared" si="19"/>
        <v>6</v>
      </c>
      <c r="F61" s="75">
        <f t="shared" si="19"/>
        <v>6</v>
      </c>
      <c r="G61" s="75">
        <f t="shared" si="19"/>
        <v>6</v>
      </c>
      <c r="H61" s="75">
        <f t="shared" si="19"/>
        <v>6</v>
      </c>
      <c r="I61" s="75">
        <f t="shared" si="19"/>
        <v>6</v>
      </c>
      <c r="J61" s="75">
        <f t="shared" si="19"/>
        <v>6</v>
      </c>
      <c r="K61" s="75">
        <f t="shared" si="19"/>
        <v>6</v>
      </c>
      <c r="L61" s="75">
        <f t="shared" si="19"/>
        <v>6</v>
      </c>
      <c r="M61" s="75">
        <f t="shared" si="19"/>
        <v>6</v>
      </c>
      <c r="N61" s="75">
        <f t="shared" si="19"/>
        <v>6</v>
      </c>
      <c r="O61" s="75">
        <f t="shared" si="19"/>
        <v>6</v>
      </c>
      <c r="P61" s="75">
        <f t="shared" si="19"/>
        <v>6</v>
      </c>
      <c r="Q61" s="75">
        <f t="shared" si="19"/>
        <v>6</v>
      </c>
      <c r="R61" s="75">
        <f t="shared" si="19"/>
        <v>6</v>
      </c>
      <c r="S61" s="75" t="e">
        <f t="shared" si="19"/>
        <v>#N/A</v>
      </c>
      <c r="T61" s="75" t="e">
        <f t="shared" si="19"/>
        <v>#N/A</v>
      </c>
      <c r="U61" s="75" t="e">
        <f t="shared" si="19"/>
        <v>#N/A</v>
      </c>
    </row>
    <row r="62" spans="1:35" s="19" customFormat="1" ht="13" x14ac:dyDescent="0.3">
      <c r="A62" s="110" t="s">
        <v>134</v>
      </c>
      <c r="B62" s="76">
        <f>B31</f>
        <v>120</v>
      </c>
      <c r="C62" s="76">
        <f>B32</f>
        <v>120</v>
      </c>
      <c r="D62" s="76">
        <f>B33</f>
        <v>120</v>
      </c>
      <c r="E62" s="76">
        <f>B34</f>
        <v>120</v>
      </c>
      <c r="F62" s="76">
        <f>B35</f>
        <v>120</v>
      </c>
      <c r="G62" s="76">
        <f>B36</f>
        <v>120</v>
      </c>
      <c r="H62" s="76">
        <f>B37</f>
        <v>120</v>
      </c>
      <c r="I62" s="76">
        <f>B38</f>
        <v>120</v>
      </c>
      <c r="J62" s="76">
        <f>B39</f>
        <v>120</v>
      </c>
      <c r="K62" s="76">
        <f>B40</f>
        <v>120</v>
      </c>
      <c r="L62" s="76">
        <f>B41</f>
        <v>120</v>
      </c>
      <c r="M62" s="76">
        <f>B42</f>
        <v>120</v>
      </c>
      <c r="N62" s="76">
        <f>B43</f>
        <v>120</v>
      </c>
      <c r="O62" s="76">
        <f>B44</f>
        <v>120</v>
      </c>
      <c r="P62" s="76">
        <f>B45</f>
        <v>120</v>
      </c>
      <c r="Q62" s="76">
        <f>B46</f>
        <v>120</v>
      </c>
      <c r="R62" s="76">
        <f>B47</f>
        <v>120</v>
      </c>
      <c r="S62" s="76">
        <f>B48</f>
        <v>0</v>
      </c>
      <c r="T62" s="76">
        <f>B49</f>
        <v>0</v>
      </c>
      <c r="U62" s="76">
        <f>B50</f>
        <v>0</v>
      </c>
    </row>
    <row r="63" spans="1:35" s="19" customFormat="1" ht="39" x14ac:dyDescent="0.3">
      <c r="A63" s="111" t="s">
        <v>155</v>
      </c>
      <c r="B63" s="76">
        <f>$E55*(B62/100)</f>
        <v>0</v>
      </c>
      <c r="C63" s="76">
        <f t="shared" ref="C63:U63" si="20">$E55*(C62/100)</f>
        <v>0</v>
      </c>
      <c r="D63" s="76">
        <f t="shared" si="20"/>
        <v>0</v>
      </c>
      <c r="E63" s="76">
        <f t="shared" si="20"/>
        <v>0</v>
      </c>
      <c r="F63" s="76">
        <f>$E55*(F62/100)</f>
        <v>0</v>
      </c>
      <c r="G63" s="76">
        <f t="shared" si="20"/>
        <v>0</v>
      </c>
      <c r="H63" s="76">
        <f t="shared" si="20"/>
        <v>0</v>
      </c>
      <c r="I63" s="76">
        <f t="shared" si="20"/>
        <v>0</v>
      </c>
      <c r="J63" s="76">
        <f t="shared" si="20"/>
        <v>0</v>
      </c>
      <c r="K63" s="76">
        <f t="shared" si="20"/>
        <v>0</v>
      </c>
      <c r="L63" s="76">
        <f t="shared" si="20"/>
        <v>0</v>
      </c>
      <c r="M63" s="76">
        <f t="shared" si="20"/>
        <v>0</v>
      </c>
      <c r="N63" s="76">
        <f t="shared" si="20"/>
        <v>0</v>
      </c>
      <c r="O63" s="76">
        <f t="shared" si="20"/>
        <v>0</v>
      </c>
      <c r="P63" s="76">
        <f t="shared" si="20"/>
        <v>0</v>
      </c>
      <c r="Q63" s="76">
        <f t="shared" si="20"/>
        <v>0</v>
      </c>
      <c r="R63" s="76">
        <f t="shared" si="20"/>
        <v>0</v>
      </c>
      <c r="S63" s="76">
        <f t="shared" si="20"/>
        <v>0</v>
      </c>
      <c r="T63" s="76">
        <f t="shared" si="20"/>
        <v>0</v>
      </c>
      <c r="U63" s="76">
        <f t="shared" si="20"/>
        <v>0</v>
      </c>
    </row>
    <row r="64" spans="1:35" s="19" customFormat="1" ht="52" x14ac:dyDescent="0.3">
      <c r="A64" s="111" t="s">
        <v>156</v>
      </c>
      <c r="B64" s="76">
        <f>(B59-B60)*B61</f>
        <v>-6</v>
      </c>
      <c r="C64" s="76">
        <f t="shared" ref="C64:U64" si="21">(C59-C60)*C61</f>
        <v>-4.7999999999999989</v>
      </c>
      <c r="D64" s="76">
        <f t="shared" si="21"/>
        <v>-5.3999999999999968</v>
      </c>
      <c r="E64" s="76">
        <f t="shared" si="21"/>
        <v>-6</v>
      </c>
      <c r="F64" s="76">
        <f t="shared" si="21"/>
        <v>-4.2000000000000011</v>
      </c>
      <c r="G64" s="76">
        <f t="shared" si="21"/>
        <v>-0.59999999999999787</v>
      </c>
      <c r="H64" s="76">
        <f t="shared" si="21"/>
        <v>-3.5999999999999979</v>
      </c>
      <c r="I64" s="76">
        <f t="shared" si="21"/>
        <v>-1.7999999999999989</v>
      </c>
      <c r="J64" s="76">
        <f t="shared" si="21"/>
        <v>2.4000000000000021</v>
      </c>
      <c r="K64" s="76">
        <f t="shared" si="21"/>
        <v>-5.3999999999999968</v>
      </c>
      <c r="L64" s="76">
        <f t="shared" si="21"/>
        <v>-1.2000000000000011</v>
      </c>
      <c r="M64" s="76">
        <f t="shared" si="21"/>
        <v>-3</v>
      </c>
      <c r="N64" s="76">
        <f t="shared" si="21"/>
        <v>-4.2000000000000011</v>
      </c>
      <c r="O64" s="76">
        <f t="shared" si="21"/>
        <v>-5.3999999999999968</v>
      </c>
      <c r="P64" s="76">
        <f t="shared" si="21"/>
        <v>-5.3999999999999968</v>
      </c>
      <c r="Q64" s="76">
        <f t="shared" si="21"/>
        <v>-5.3999999999999968</v>
      </c>
      <c r="R64" s="76">
        <f t="shared" si="21"/>
        <v>-5.3999999999999968</v>
      </c>
      <c r="S64" s="76" t="e">
        <f t="shared" si="21"/>
        <v>#N/A</v>
      </c>
      <c r="T64" s="76" t="e">
        <f t="shared" si="21"/>
        <v>#N/A</v>
      </c>
      <c r="U64" s="76" t="e">
        <f t="shared" si="21"/>
        <v>#N/A</v>
      </c>
    </row>
    <row r="65" spans="1:21" s="19" customFormat="1" ht="52" x14ac:dyDescent="0.3">
      <c r="A65" s="111" t="s">
        <v>157</v>
      </c>
      <c r="B65" s="76">
        <f>B63-B64</f>
        <v>6</v>
      </c>
      <c r="C65" s="76">
        <f t="shared" ref="C65:U65" si="22">C63-C64</f>
        <v>4.7999999999999989</v>
      </c>
      <c r="D65" s="76">
        <f t="shared" si="22"/>
        <v>5.3999999999999968</v>
      </c>
      <c r="E65" s="76">
        <f t="shared" si="22"/>
        <v>6</v>
      </c>
      <c r="F65" s="76">
        <f t="shared" si="22"/>
        <v>4.2000000000000011</v>
      </c>
      <c r="G65" s="76">
        <f t="shared" si="22"/>
        <v>0.59999999999999787</v>
      </c>
      <c r="H65" s="76">
        <f t="shared" si="22"/>
        <v>3.5999999999999979</v>
      </c>
      <c r="I65" s="76">
        <f t="shared" si="22"/>
        <v>1.7999999999999989</v>
      </c>
      <c r="J65" s="76">
        <f t="shared" si="22"/>
        <v>-2.4000000000000021</v>
      </c>
      <c r="K65" s="76">
        <f t="shared" si="22"/>
        <v>5.3999999999999968</v>
      </c>
      <c r="L65" s="76">
        <f t="shared" si="22"/>
        <v>1.2000000000000011</v>
      </c>
      <c r="M65" s="76">
        <f t="shared" si="22"/>
        <v>3</v>
      </c>
      <c r="N65" s="76">
        <f t="shared" si="22"/>
        <v>4.2000000000000011</v>
      </c>
      <c r="O65" s="76">
        <f t="shared" si="22"/>
        <v>5.3999999999999968</v>
      </c>
      <c r="P65" s="76">
        <f t="shared" si="22"/>
        <v>5.3999999999999968</v>
      </c>
      <c r="Q65" s="76">
        <f t="shared" si="22"/>
        <v>5.3999999999999968</v>
      </c>
      <c r="R65" s="76">
        <f t="shared" si="22"/>
        <v>5.3999999999999968</v>
      </c>
      <c r="S65" s="76" t="e">
        <f t="shared" si="22"/>
        <v>#N/A</v>
      </c>
      <c r="T65" s="76" t="e">
        <f t="shared" si="22"/>
        <v>#N/A</v>
      </c>
      <c r="U65" s="76" t="e">
        <f t="shared" si="22"/>
        <v>#N/A</v>
      </c>
    </row>
    <row r="66" spans="1:21" s="19" customFormat="1" ht="26" x14ac:dyDescent="0.3">
      <c r="A66" s="111" t="s">
        <v>148</v>
      </c>
      <c r="B66" s="77" t="str">
        <f>IF(B64&lt;=B63,"OVER","UNDER")</f>
        <v>OVER</v>
      </c>
      <c r="C66" s="77" t="str">
        <f t="shared" ref="C66:U66" si="23">IF(C64&lt;=C63,"OVER","UNDER")</f>
        <v>OVER</v>
      </c>
      <c r="D66" s="77" t="str">
        <f t="shared" si="23"/>
        <v>OVER</v>
      </c>
      <c r="E66" s="77" t="str">
        <f t="shared" si="23"/>
        <v>OVER</v>
      </c>
      <c r="F66" s="77" t="str">
        <f t="shared" si="23"/>
        <v>OVER</v>
      </c>
      <c r="G66" s="77" t="str">
        <f t="shared" si="23"/>
        <v>OVER</v>
      </c>
      <c r="H66" s="77" t="str">
        <f t="shared" si="23"/>
        <v>OVER</v>
      </c>
      <c r="I66" s="77" t="str">
        <f t="shared" si="23"/>
        <v>OVER</v>
      </c>
      <c r="J66" s="77" t="str">
        <f t="shared" si="23"/>
        <v>UNDER</v>
      </c>
      <c r="K66" s="77" t="str">
        <f t="shared" si="23"/>
        <v>OVER</v>
      </c>
      <c r="L66" s="77" t="str">
        <f t="shared" si="23"/>
        <v>OVER</v>
      </c>
      <c r="M66" s="77" t="str">
        <f t="shared" si="23"/>
        <v>OVER</v>
      </c>
      <c r="N66" s="77" t="str">
        <f t="shared" si="23"/>
        <v>OVER</v>
      </c>
      <c r="O66" s="77" t="str">
        <f t="shared" si="23"/>
        <v>OVER</v>
      </c>
      <c r="P66" s="77" t="str">
        <f t="shared" si="23"/>
        <v>OVER</v>
      </c>
      <c r="Q66" s="77" t="str">
        <f t="shared" si="23"/>
        <v>OVER</v>
      </c>
      <c r="R66" s="77" t="str">
        <f t="shared" si="23"/>
        <v>OVER</v>
      </c>
      <c r="S66" s="77" t="e">
        <f t="shared" si="23"/>
        <v>#N/A</v>
      </c>
      <c r="T66" s="77" t="e">
        <f t="shared" si="23"/>
        <v>#N/A</v>
      </c>
      <c r="U66" s="77" t="e">
        <f t="shared" si="23"/>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phoneticPr fontId="12" type="noConversion"/>
  <conditionalFormatting sqref="C20:V21">
    <cfRule type="cellIs" dxfId="293" priority="43" operator="equal">
      <formula>"DECREASE"</formula>
    </cfRule>
    <cfRule type="cellIs" dxfId="292" priority="44" operator="equal">
      <formula>"INCREASE"</formula>
    </cfRule>
  </conditionalFormatting>
  <conditionalFormatting sqref="B62:U66 B31:B50">
    <cfRule type="cellIs" dxfId="291" priority="42" operator="greaterThan">
      <formula>$B$51</formula>
    </cfRule>
  </conditionalFormatting>
  <conditionalFormatting sqref="C31:C50">
    <cfRule type="cellIs" dxfId="290" priority="41" operator="greaterThan">
      <formula>$C$51</formula>
    </cfRule>
  </conditionalFormatting>
  <conditionalFormatting sqref="C18:V18">
    <cfRule type="cellIs" dxfId="289" priority="37" operator="equal">
      <formula>0</formula>
    </cfRule>
  </conditionalFormatting>
  <conditionalFormatting sqref="C17:V17">
    <cfRule type="cellIs" dxfId="288" priority="35" operator="equal">
      <formula>0</formula>
    </cfRule>
  </conditionalFormatting>
  <conditionalFormatting sqref="C19:V19">
    <cfRule type="cellIs" dxfId="287" priority="34"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7" operator="greaterThan">
      <formula>$K$51</formula>
    </cfRule>
  </conditionalFormatting>
  <conditionalFormatting sqref="L31:L50">
    <cfRule type="cellIs" dxfId="282" priority="26" operator="greaterThan">
      <formula>$L$51</formula>
    </cfRule>
  </conditionalFormatting>
  <conditionalFormatting sqref="M31:M50">
    <cfRule type="cellIs" dxfId="281" priority="25" operator="greaterThan">
      <formula>$M$51</formula>
    </cfRule>
  </conditionalFormatting>
  <conditionalFormatting sqref="P31:P50">
    <cfRule type="cellIs" dxfId="280" priority="24" operator="greaterThan">
      <formula>$P$51</formula>
    </cfRule>
  </conditionalFormatting>
  <conditionalFormatting sqref="R31:R50">
    <cfRule type="cellIs" dxfId="279" priority="23" operator="greaterThan">
      <formula>$R$51</formula>
    </cfRule>
  </conditionalFormatting>
  <conditionalFormatting sqref="S31:S50">
    <cfRule type="cellIs" dxfId="278" priority="22" operator="greaterThan">
      <formula>$S$51</formula>
    </cfRule>
  </conditionalFormatting>
  <conditionalFormatting sqref="T31:T50">
    <cfRule type="cellIs" dxfId="277" priority="21" operator="greaterThan">
      <formula>$T$51</formula>
    </cfRule>
  </conditionalFormatting>
  <conditionalFormatting sqref="U31:U50">
    <cfRule type="cellIs" dxfId="276" priority="20" operator="greaterThan">
      <formula>$U$51</formula>
    </cfRule>
  </conditionalFormatting>
  <conditionalFormatting sqref="C22:V22">
    <cfRule type="cellIs" dxfId="275" priority="18" operator="equal">
      <formula>0</formula>
    </cfRule>
  </conditionalFormatting>
  <conditionalFormatting sqref="C24:V24">
    <cfRule type="cellIs" dxfId="274" priority="16" operator="equal">
      <formula>"DECREASE"</formula>
    </cfRule>
    <cfRule type="cellIs" dxfId="273" priority="17" operator="equal">
      <formula>"INCREASE"</formula>
    </cfRule>
  </conditionalFormatting>
  <conditionalFormatting sqref="C23:V23">
    <cfRule type="cellIs" dxfId="272" priority="15" operator="equal">
      <formula>0</formula>
    </cfRule>
  </conditionalFormatting>
  <conditionalFormatting sqref="I1">
    <cfRule type="cellIs" dxfId="271" priority="11" operator="between">
      <formula>0.1</formula>
      <formula>5</formula>
    </cfRule>
  </conditionalFormatting>
  <conditionalFormatting sqref="I2">
    <cfRule type="cellIs" dxfId="270" priority="10" operator="greaterThan">
      <formula>5000.1</formula>
    </cfRule>
  </conditionalFormatting>
  <conditionalFormatting sqref="I3">
    <cfRule type="cellIs" dxfId="269" priority="9" operator="greaterThan">
      <formula>40000.01</formula>
    </cfRule>
  </conditionalFormatting>
  <conditionalFormatting sqref="C21:V21">
    <cfRule type="cellIs" dxfId="268" priority="8" operator="equal">
      <formula>0</formula>
    </cfRule>
  </conditionalFormatting>
  <conditionalFormatting sqref="B66:U66">
    <cfRule type="cellIs" dxfId="267" priority="4" operator="equal">
      <formula>"UNDER"</formula>
    </cfRule>
    <cfRule type="cellIs" dxfId="266" priority="5" operator="equal">
      <formula>"OVER"</formula>
    </cfRule>
  </conditionalFormatting>
  <conditionalFormatting sqref="J31:J50">
    <cfRule type="cellIs" dxfId="265" priority="3" operator="greaterThan">
      <formula>$J$51</formula>
    </cfRule>
  </conditionalFormatting>
  <conditionalFormatting sqref="L3">
    <cfRule type="cellIs" dxfId="264" priority="1" operator="lessThan">
      <formula>30</formula>
    </cfRule>
    <cfRule type="cellIs" dxfId="263"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7" zoomScale="90" zoomScaleNormal="90" workbookViewId="0">
      <selection activeCell="B48" sqref="B48: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Bryngwyn!C1:D1</f>
        <v>PAN-020670</v>
      </c>
      <c r="D1" s="143"/>
      <c r="E1" s="92" t="s">
        <v>45</v>
      </c>
      <c r="F1" s="38">
        <f>Bryngwyn!F1</f>
        <v>34</v>
      </c>
      <c r="G1" s="121" t="s">
        <v>43</v>
      </c>
      <c r="H1" s="122"/>
      <c r="I1" s="117">
        <v>6.4</v>
      </c>
      <c r="J1" s="120" t="s">
        <v>153</v>
      </c>
      <c r="K1" s="120"/>
      <c r="L1" s="96">
        <v>104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0.54700000000000004</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1.9012797074954297</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48.896240250000005</v>
      </c>
      <c r="D18" s="16">
        <f>$D32</f>
        <v>48.896240250000005</v>
      </c>
      <c r="E18" s="16">
        <f>$D33</f>
        <v>48.896240250000005</v>
      </c>
      <c r="F18" s="16">
        <f>$D34</f>
        <v>48.896240250000005</v>
      </c>
      <c r="G18" s="16">
        <f>$D35</f>
        <v>48.896240250000005</v>
      </c>
      <c r="H18" s="16">
        <f>$D36</f>
        <v>48.896240250000005</v>
      </c>
      <c r="I18" s="16">
        <f>$D37</f>
        <v>48.896240250000005</v>
      </c>
      <c r="J18" s="16">
        <f>$D38</f>
        <v>48.896240250000005</v>
      </c>
      <c r="K18" s="16">
        <f>$D39</f>
        <v>48.896240250000005</v>
      </c>
      <c r="L18" s="16">
        <f>$D40</f>
        <v>48.896240250000005</v>
      </c>
      <c r="M18" s="16">
        <f>$D41</f>
        <v>48.896240250000005</v>
      </c>
      <c r="N18" s="16">
        <f>$D42</f>
        <v>48.896240250000005</v>
      </c>
      <c r="O18" s="16">
        <f>$D43</f>
        <v>48.896240250000005</v>
      </c>
      <c r="P18" s="16">
        <f>$D44</f>
        <v>48.896240250000005</v>
      </c>
      <c r="Q18" s="16">
        <f>$D45</f>
        <v>48.896240250000005</v>
      </c>
      <c r="R18" s="16">
        <f>$D46</f>
        <v>48.896240250000005</v>
      </c>
      <c r="S18" s="16">
        <f>$D47</f>
        <v>48.896240250000005</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-15.703759749999989</v>
      </c>
      <c r="D19" s="16">
        <f t="shared" ref="D19:V19" si="1">D18-D17</f>
        <v>-15.703759749999989</v>
      </c>
      <c r="E19" s="16">
        <f t="shared" si="1"/>
        <v>-15.703759749999989</v>
      </c>
      <c r="F19" s="16">
        <f t="shared" si="1"/>
        <v>-15.703759749999989</v>
      </c>
      <c r="G19" s="16">
        <f t="shared" si="1"/>
        <v>-15.703759749999989</v>
      </c>
      <c r="H19" s="16">
        <f t="shared" si="1"/>
        <v>-15.703759749999989</v>
      </c>
      <c r="I19" s="16">
        <f t="shared" si="1"/>
        <v>-15.703759749999989</v>
      </c>
      <c r="J19" s="16">
        <f t="shared" si="1"/>
        <v>-15.703759749999989</v>
      </c>
      <c r="K19" s="16">
        <f t="shared" si="1"/>
        <v>-15.703759749999989</v>
      </c>
      <c r="L19" s="16">
        <f t="shared" si="1"/>
        <v>-15.703759749999989</v>
      </c>
      <c r="M19" s="16">
        <f t="shared" si="1"/>
        <v>-15.703759749999989</v>
      </c>
      <c r="N19" s="16">
        <f t="shared" si="1"/>
        <v>-15.703759749999989</v>
      </c>
      <c r="O19" s="16">
        <f t="shared" si="1"/>
        <v>-15.703759749999989</v>
      </c>
      <c r="P19" s="16">
        <f t="shared" si="1"/>
        <v>-15.703759749999989</v>
      </c>
      <c r="Q19" s="16">
        <f t="shared" si="1"/>
        <v>-15.703759749999989</v>
      </c>
      <c r="R19" s="16">
        <f t="shared" si="1"/>
        <v>-15.703759749999989</v>
      </c>
      <c r="S19" s="16">
        <f t="shared" si="1"/>
        <v>-15.703759749999989</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6.6556668750000014</v>
      </c>
      <c r="D22" s="16">
        <f>$E32</f>
        <v>6.6556668750000014</v>
      </c>
      <c r="E22" s="16">
        <f>$E33</f>
        <v>6.6556668750000014</v>
      </c>
      <c r="F22" s="16">
        <f>$E34</f>
        <v>6.6556668750000014</v>
      </c>
      <c r="G22" s="16">
        <f>$E35</f>
        <v>6.6556668750000014</v>
      </c>
      <c r="H22" s="16">
        <f>$E36</f>
        <v>6.6556668750000014</v>
      </c>
      <c r="I22" s="16">
        <f>$E37</f>
        <v>6.6556668750000014</v>
      </c>
      <c r="J22" s="16">
        <f>$E38</f>
        <v>6.6556668750000014</v>
      </c>
      <c r="K22" s="16">
        <f>$E39</f>
        <v>6.6556668750000014</v>
      </c>
      <c r="L22" s="16">
        <f>$E40</f>
        <v>6.6556668750000014</v>
      </c>
      <c r="M22" s="16">
        <f>$E41</f>
        <v>6.6556668750000014</v>
      </c>
      <c r="N22" s="16">
        <f>$E42</f>
        <v>6.6556668750000014</v>
      </c>
      <c r="O22" s="16">
        <f>$E43</f>
        <v>6.6556668750000014</v>
      </c>
      <c r="P22" s="16">
        <f>$E44</f>
        <v>6.6556668750000014</v>
      </c>
      <c r="Q22" s="16">
        <f>$E45</f>
        <v>6.6556668750000014</v>
      </c>
      <c r="R22" s="16">
        <f>$E46</f>
        <v>6.6556668750000014</v>
      </c>
      <c r="S22" s="16">
        <f>$E47</f>
        <v>6.6556668750000014</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-221.34433312499999</v>
      </c>
      <c r="D23" s="16">
        <f t="shared" ref="D23:V23" si="3">D22-D21</f>
        <v>-221.34433312499999</v>
      </c>
      <c r="E23" s="16">
        <f t="shared" si="3"/>
        <v>-221.34433312499999</v>
      </c>
      <c r="F23" s="16">
        <f t="shared" si="3"/>
        <v>-221.34433312499999</v>
      </c>
      <c r="G23" s="16">
        <f t="shared" si="3"/>
        <v>-221.34433312499999</v>
      </c>
      <c r="H23" s="16">
        <f t="shared" si="3"/>
        <v>-221.34433312499999</v>
      </c>
      <c r="I23" s="16">
        <f t="shared" si="3"/>
        <v>-221.34433312499999</v>
      </c>
      <c r="J23" s="16">
        <f t="shared" si="3"/>
        <v>-221.34433312499999</v>
      </c>
      <c r="K23" s="16">
        <f t="shared" si="3"/>
        <v>-221.34433312499999</v>
      </c>
      <c r="L23" s="16">
        <f t="shared" si="3"/>
        <v>-221.34433312499999</v>
      </c>
      <c r="M23" s="16">
        <f t="shared" si="3"/>
        <v>-221.34433312499999</v>
      </c>
      <c r="N23" s="16">
        <f t="shared" si="3"/>
        <v>-221.34433312499999</v>
      </c>
      <c r="O23" s="16">
        <f t="shared" si="3"/>
        <v>-221.34433312499999</v>
      </c>
      <c r="P23" s="16">
        <f t="shared" si="3"/>
        <v>-221.34433312499999</v>
      </c>
      <c r="Q23" s="16">
        <f t="shared" si="3"/>
        <v>-221.34433312499999</v>
      </c>
      <c r="R23" s="16">
        <f t="shared" si="3"/>
        <v>-221.34433312499999</v>
      </c>
      <c r="S23" s="16">
        <f t="shared" si="3"/>
        <v>-221.34433312499999</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4.29</v>
      </c>
      <c r="C28" s="15">
        <v>0.54700000000000004</v>
      </c>
      <c r="D28" s="15">
        <v>0.19900000000000001</v>
      </c>
      <c r="E28" s="15">
        <v>5.1499999999999997E-2</v>
      </c>
      <c r="F28" s="15">
        <v>1580</v>
      </c>
      <c r="G28" s="15">
        <v>22.2</v>
      </c>
      <c r="H28" s="15">
        <v>131</v>
      </c>
      <c r="I28" s="15">
        <v>41.8</v>
      </c>
      <c r="J28" s="15">
        <v>0.22</v>
      </c>
      <c r="K28" s="15">
        <v>0.47</v>
      </c>
      <c r="L28" s="15">
        <v>18.8</v>
      </c>
      <c r="M28" s="15">
        <v>18.5</v>
      </c>
      <c r="N28" s="15">
        <v>5150</v>
      </c>
      <c r="O28" s="15">
        <v>322000</v>
      </c>
      <c r="P28" s="15"/>
      <c r="Q28" s="15">
        <v>2300</v>
      </c>
      <c r="R28" s="15"/>
      <c r="S28" s="15">
        <v>16.5</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250</v>
      </c>
      <c r="C31" s="76">
        <f>IF(C$27="%w/w SAR",((C$28*10)*$B31),IF(C$27="%w/w DM",(((C$28*10)*($B$28/100))*$B31),IF(C$27="kg/t SAR",(C$28*$B31),IF(C$27="kg/t DM",((C$28*($B$28/100))*$B31),IF(C$27="mg/kg SAR",((C$28*0.001)*$B31),IF(C$27="mg/kg DM",(((C$28*0.001)*($B$28/100))*$B31),0))))))</f>
        <v>58.66575000000001</v>
      </c>
      <c r="D31" s="76">
        <f>(IF(D$27="%w/w SAR",((D$28*10)*$B31),IF(D$27="%w/w DM",(((D$28*10)*($B$28/100))*$B31),IF(D$27="kg/t SAR",(D$28*$B31),IF(D$27="kg/t DM",((D$28*($B$28/100))*$B31),IF(D$27="mg/kg SAR",((D$28*0.001)*$B31),IF(D$27="mg/kg DM",(((D$28*0.001)*($B$28/100))*$B31),"0")))))))*2.291</f>
        <v>48.896240250000005</v>
      </c>
      <c r="E31" s="76">
        <f>(IF(E$27="%w/w SAR",((E$28*10)*$B31),IF(E$27="%w/w DM",(((E$28*10)*($B$28/100))*$B31),IF(E$27="kg/t SAR",(E$28*$B31),IF(E$27="kg/t DM",((E$28*($B$28/100))*$B31),IF(E$27="mg/kg SAR",((E$28*0.001)*$B31),IF(E$27="mg/kg DM",(((E$28*0.001)*($B$28/100))*$B31),"0")))))))*1.205</f>
        <v>6.6556668750000014</v>
      </c>
      <c r="F31" s="76">
        <f>(IF(F$27="%w/w SAR",((F$28*10)*$B31),IF(F$27="%w/w DM",(((F$28*10)*($B$28/100))*$B31),IF(F$27="kg/t SAR",(F$28*$B31),IF(F$27="kg/t DM",((F$28*($B$28/100))*$B31),IF(F$27="mg/kg SAR",((F$28*0.001)*$B31),IF(F$27="mg/kg DM",(((F$28*0.001)*($B$28/100))*$B31),"0")))))))*1.658</f>
        <v>28.095639000000002</v>
      </c>
      <c r="G31" s="76">
        <f t="shared" ref="G31:P46" si="5">IF(G$27="%w/w SAR",((G$28*10)*$B31),IF(G$27="%w/w DM",(((G$28*10)*($B$28/100))*$B31),IF(G$27="kg/t SAR",(G$28*$B31),IF(G$27="kg/t DM",((G$28*($B$28/100))*$B31),IF(G$27="mg/kg SAR",((G$28*0.001)*$B31),IF(G$27="mg/kg DM",(((G$28*0.001)*($B$28/100))*$B31),0))))))</f>
        <v>0.23809500000000003</v>
      </c>
      <c r="H31" s="76">
        <f t="shared" si="5"/>
        <v>1.4049750000000001</v>
      </c>
      <c r="I31" s="76">
        <f t="shared" si="5"/>
        <v>0.44830499999999995</v>
      </c>
      <c r="J31" s="76">
        <f t="shared" si="5"/>
        <v>2.3595000000000001E-3</v>
      </c>
      <c r="K31" s="76">
        <f t="shared" si="5"/>
        <v>5.0407500000000001E-3</v>
      </c>
      <c r="L31" s="76">
        <f t="shared" si="5"/>
        <v>0.20163</v>
      </c>
      <c r="M31" s="76">
        <f t="shared" si="5"/>
        <v>0.19841249999999999</v>
      </c>
      <c r="N31" s="76">
        <f t="shared" si="5"/>
        <v>55.233750000000008</v>
      </c>
      <c r="O31" s="76">
        <f t="shared" si="5"/>
        <v>3453.4500000000003</v>
      </c>
      <c r="P31" s="76">
        <f t="shared" si="5"/>
        <v>0</v>
      </c>
      <c r="Q31" s="76">
        <f>(IF(Q$27="%w/w SAR",((Q$28*10)*$B31),IF(Q$27="%w/w DM",(((Q$28*10)*($B$28/100))*$B31),IF(Q$27="kg/t SAR",(Q$28*$B31),IF(Q$27="kg/t DM",((Q$28*($B$28/100))*$B31),IF(Q$27="mg/kg SAR",((Q$28*0.001)*$B31),IF(Q$27="mg/kg DM",(((Q$28*0.001)*($B$28/100))*$B31),0)))))))*2.5</f>
        <v>61.668750000000003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0.17696249999999999</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250</v>
      </c>
      <c r="C32" s="76">
        <f t="shared" ref="C32:C50" si="6">IF(C$27="%w/w SAR",((C$28*10)*$B32),IF(C$27="%w/w DM",(((C$28*10)*($B$28/100))*$B32),IF(C$27="kg/t SAR",(C$28*$B32),IF(C$27="kg/t DM",((C$28*($B$28/100))*$B32),IF(C$27="mg/kg SAR",((C$28*0.001)*$B32),IF(C$27="mg/kg DM",(((C$28*0.001)*($B$28/100))*$B32),0))))))</f>
        <v>58.66575000000001</v>
      </c>
      <c r="D32" s="76">
        <f t="shared" ref="D32:D50" si="7">(IF(D$27="%w/w SAR",((D$28*10)*$B32),IF(D$27="%w/w DM",(((D$28*10)*($B$28/100))*$B32),IF(D$27="kg/t SAR",(D$28*$B32),IF(D$27="kg/t DM",((D$28*($B$28/100))*$B32),IF(D$27="mg/kg SAR",((D$28*0.001)*$B32),IF(D$27="mg/kg DM",(((D$28*0.001)*($B$28/100))*$B32),"0")))))))*2.291</f>
        <v>48.896240250000005</v>
      </c>
      <c r="E32" s="76">
        <f t="shared" ref="E32:E50" si="8">(IF(E$27="%w/w SAR",((E$28*10)*$B32),IF(E$27="%w/w DM",(((E$28*10)*($B$28/100))*$B32),IF(E$27="kg/t SAR",(E$28*$B32),IF(E$27="kg/t DM",((E$28*($B$28/100))*$B32),IF(E$27="mg/kg SAR",((E$28*0.001)*$B32),IF(E$27="mg/kg DM",(((E$28*0.001)*($B$28/100))*$B32),"0")))))))*1.205</f>
        <v>6.6556668750000014</v>
      </c>
      <c r="F32" s="76">
        <f t="shared" ref="F32:F50" si="9">(IF(F$27="%w/w SAR",((F$28*10)*$B32),IF(F$27="%w/w DM",(((F$28*10)*($B$28/100))*$B32),IF(F$27="kg/t SAR",(F$28*$B32),IF(F$27="kg/t DM",((F$28*($B$28/100))*$B32),IF(F$27="mg/kg SAR",((F$28*0.001)*$B32),IF(F$27="mg/kg DM",(((F$28*0.001)*($B$28/100))*$B32),"0")))))))*1.658</f>
        <v>28.095639000000002</v>
      </c>
      <c r="G32" s="76">
        <f t="shared" si="5"/>
        <v>0.23809500000000003</v>
      </c>
      <c r="H32" s="76">
        <f t="shared" si="5"/>
        <v>1.4049750000000001</v>
      </c>
      <c r="I32" s="76">
        <f t="shared" si="5"/>
        <v>0.44830499999999995</v>
      </c>
      <c r="J32" s="76">
        <f t="shared" si="5"/>
        <v>2.3595000000000001E-3</v>
      </c>
      <c r="K32" s="76">
        <f t="shared" si="5"/>
        <v>5.0407500000000001E-3</v>
      </c>
      <c r="L32" s="76">
        <f t="shared" si="5"/>
        <v>0.20163</v>
      </c>
      <c r="M32" s="76">
        <f t="shared" si="5"/>
        <v>0.19841249999999999</v>
      </c>
      <c r="N32" s="76">
        <f t="shared" si="5"/>
        <v>55.233750000000008</v>
      </c>
      <c r="O32" s="76">
        <f t="shared" si="5"/>
        <v>3453.4500000000003</v>
      </c>
      <c r="P32" s="76">
        <f t="shared" si="5"/>
        <v>0</v>
      </c>
      <c r="Q32" s="76">
        <f t="shared" ref="Q32:Q50" si="10">(IF(Q$27="%w/w SAR",((Q$28*10)*$B32),IF(Q$27="%w/w DM",(((Q$28*10)*($B$28/100))*$B32),IF(Q$27="kg/t SAR",(Q$28*$B32),IF(Q$27="kg/t DM",((Q$28*($B$28/100))*$B32),IF(Q$27="mg/kg SAR",((Q$28*0.001)*$B32),IF(Q$27="mg/kg DM",(((Q$28*0.001)*($B$28/100))*$B32),0)))))))*2.5</f>
        <v>61.668750000000003</v>
      </c>
      <c r="R32" s="76">
        <f t="shared" ref="R32:U50" si="11">IF(R$27="%w/w SAR",((R$28*10)*$B32),IF(R$27="%w/w DM",(((R$28*10)*($B$28/100))*$B32),IF(R$27="kg/t SAR",(R$28*$B32),IF(R$27="kg/t DM",((R$28*($B$28/100))*$B32),IF(R$27="mg/kg SAR",((R$28*0.001)*$B32),IF(R$27="mg/kg DM",(((R$28*0.001)*($B$28/100))*$B32),0))))))</f>
        <v>0</v>
      </c>
      <c r="S32" s="76">
        <f t="shared" si="11"/>
        <v>0.17696249999999999</v>
      </c>
      <c r="T32" s="76">
        <f t="shared" si="11"/>
        <v>0</v>
      </c>
      <c r="U32" s="76">
        <f t="shared" si="11"/>
        <v>0</v>
      </c>
      <c r="AB32" s="58"/>
      <c r="AC32" s="58"/>
      <c r="AD32" s="58"/>
      <c r="AE32" s="58"/>
      <c r="AF32" s="58"/>
      <c r="AG32" s="58"/>
      <c r="AH32" s="58"/>
      <c r="AI32" s="58"/>
    </row>
    <row r="33" spans="1:35" s="71" customFormat="1" ht="13" x14ac:dyDescent="0.35">
      <c r="A33" s="13" t="str">
        <f>E8</f>
        <v>N17</v>
      </c>
      <c r="B33" s="15">
        <v>250</v>
      </c>
      <c r="C33" s="76">
        <f t="shared" si="6"/>
        <v>58.66575000000001</v>
      </c>
      <c r="D33" s="76">
        <f t="shared" si="7"/>
        <v>48.896240250000005</v>
      </c>
      <c r="E33" s="76">
        <f t="shared" si="8"/>
        <v>6.6556668750000014</v>
      </c>
      <c r="F33" s="76">
        <f t="shared" si="9"/>
        <v>28.095639000000002</v>
      </c>
      <c r="G33" s="76">
        <f t="shared" si="5"/>
        <v>0.23809500000000003</v>
      </c>
      <c r="H33" s="76">
        <f t="shared" si="5"/>
        <v>1.4049750000000001</v>
      </c>
      <c r="I33" s="76">
        <f t="shared" si="5"/>
        <v>0.44830499999999995</v>
      </c>
      <c r="J33" s="76">
        <f t="shared" si="5"/>
        <v>2.3595000000000001E-3</v>
      </c>
      <c r="K33" s="76">
        <f t="shared" si="5"/>
        <v>5.0407500000000001E-3</v>
      </c>
      <c r="L33" s="76">
        <f t="shared" si="5"/>
        <v>0.20163</v>
      </c>
      <c r="M33" s="76">
        <f t="shared" si="5"/>
        <v>0.19841249999999999</v>
      </c>
      <c r="N33" s="76">
        <f t="shared" si="5"/>
        <v>55.233750000000008</v>
      </c>
      <c r="O33" s="76">
        <f t="shared" si="5"/>
        <v>3453.4500000000003</v>
      </c>
      <c r="P33" s="76">
        <f t="shared" si="5"/>
        <v>0</v>
      </c>
      <c r="Q33" s="76">
        <f t="shared" si="10"/>
        <v>61.668750000000003</v>
      </c>
      <c r="R33" s="76">
        <f t="shared" si="11"/>
        <v>0</v>
      </c>
      <c r="S33" s="76">
        <f t="shared" si="11"/>
        <v>0.17696249999999999</v>
      </c>
      <c r="T33" s="76">
        <f t="shared" si="11"/>
        <v>0</v>
      </c>
      <c r="U33" s="76">
        <f t="shared" si="11"/>
        <v>0</v>
      </c>
      <c r="AB33" s="58"/>
      <c r="AC33" s="58"/>
      <c r="AD33" s="58"/>
      <c r="AE33" s="58"/>
      <c r="AF33" s="58"/>
      <c r="AG33" s="58"/>
      <c r="AH33" s="58"/>
      <c r="AI33" s="58"/>
    </row>
    <row r="34" spans="1:35" s="71" customFormat="1" ht="13" x14ac:dyDescent="0.35">
      <c r="A34" s="13" t="str">
        <f>F8</f>
        <v>BG1</v>
      </c>
      <c r="B34" s="15">
        <v>250</v>
      </c>
      <c r="C34" s="76">
        <f t="shared" si="6"/>
        <v>58.66575000000001</v>
      </c>
      <c r="D34" s="76">
        <f t="shared" si="7"/>
        <v>48.896240250000005</v>
      </c>
      <c r="E34" s="76">
        <f t="shared" si="8"/>
        <v>6.6556668750000014</v>
      </c>
      <c r="F34" s="76">
        <f t="shared" si="9"/>
        <v>28.095639000000002</v>
      </c>
      <c r="G34" s="76">
        <f t="shared" si="5"/>
        <v>0.23809500000000003</v>
      </c>
      <c r="H34" s="76">
        <f t="shared" si="5"/>
        <v>1.4049750000000001</v>
      </c>
      <c r="I34" s="76">
        <f t="shared" si="5"/>
        <v>0.44830499999999995</v>
      </c>
      <c r="J34" s="76">
        <f t="shared" si="5"/>
        <v>2.3595000000000001E-3</v>
      </c>
      <c r="K34" s="76">
        <f t="shared" si="5"/>
        <v>5.0407500000000001E-3</v>
      </c>
      <c r="L34" s="76">
        <f t="shared" si="5"/>
        <v>0.20163</v>
      </c>
      <c r="M34" s="76">
        <f t="shared" si="5"/>
        <v>0.19841249999999999</v>
      </c>
      <c r="N34" s="76">
        <f t="shared" si="5"/>
        <v>55.233750000000008</v>
      </c>
      <c r="O34" s="76">
        <f t="shared" si="5"/>
        <v>3453.4500000000003</v>
      </c>
      <c r="P34" s="76">
        <f t="shared" si="5"/>
        <v>0</v>
      </c>
      <c r="Q34" s="76">
        <f t="shared" si="10"/>
        <v>61.668750000000003</v>
      </c>
      <c r="R34" s="76">
        <f t="shared" si="11"/>
        <v>0</v>
      </c>
      <c r="S34" s="76">
        <f t="shared" si="11"/>
        <v>0.17696249999999999</v>
      </c>
      <c r="T34" s="76">
        <f t="shared" si="11"/>
        <v>0</v>
      </c>
      <c r="U34" s="76">
        <f t="shared" si="11"/>
        <v>0</v>
      </c>
      <c r="AB34" s="58"/>
      <c r="AC34" s="58"/>
      <c r="AD34" s="58"/>
      <c r="AE34" s="58"/>
      <c r="AF34" s="58"/>
      <c r="AG34" s="58"/>
      <c r="AH34" s="58"/>
      <c r="AI34" s="58"/>
    </row>
    <row r="35" spans="1:35" s="71" customFormat="1" ht="13" x14ac:dyDescent="0.35">
      <c r="A35" s="13" t="str">
        <f>G8</f>
        <v>BG2</v>
      </c>
      <c r="B35" s="15">
        <v>250</v>
      </c>
      <c r="C35" s="76">
        <f t="shared" si="6"/>
        <v>58.66575000000001</v>
      </c>
      <c r="D35" s="76">
        <f t="shared" si="7"/>
        <v>48.896240250000005</v>
      </c>
      <c r="E35" s="76">
        <f t="shared" si="8"/>
        <v>6.6556668750000014</v>
      </c>
      <c r="F35" s="76">
        <f t="shared" si="9"/>
        <v>28.095639000000002</v>
      </c>
      <c r="G35" s="76">
        <f t="shared" si="5"/>
        <v>0.23809500000000003</v>
      </c>
      <c r="H35" s="76">
        <f t="shared" si="5"/>
        <v>1.4049750000000001</v>
      </c>
      <c r="I35" s="76">
        <f t="shared" si="5"/>
        <v>0.44830499999999995</v>
      </c>
      <c r="J35" s="76">
        <f t="shared" si="5"/>
        <v>2.3595000000000001E-3</v>
      </c>
      <c r="K35" s="76">
        <f t="shared" si="5"/>
        <v>5.0407500000000001E-3</v>
      </c>
      <c r="L35" s="76">
        <f t="shared" si="5"/>
        <v>0.20163</v>
      </c>
      <c r="M35" s="76">
        <f t="shared" si="5"/>
        <v>0.19841249999999999</v>
      </c>
      <c r="N35" s="76">
        <f t="shared" si="5"/>
        <v>55.233750000000008</v>
      </c>
      <c r="O35" s="76">
        <f t="shared" si="5"/>
        <v>3453.4500000000003</v>
      </c>
      <c r="P35" s="76">
        <f t="shared" si="5"/>
        <v>0</v>
      </c>
      <c r="Q35" s="76">
        <f t="shared" si="10"/>
        <v>61.668750000000003</v>
      </c>
      <c r="R35" s="76">
        <f t="shared" si="11"/>
        <v>0</v>
      </c>
      <c r="S35" s="76">
        <f t="shared" si="11"/>
        <v>0.17696249999999999</v>
      </c>
      <c r="T35" s="76">
        <f t="shared" si="11"/>
        <v>0</v>
      </c>
      <c r="U35" s="76">
        <f t="shared" si="11"/>
        <v>0</v>
      </c>
      <c r="AB35" s="58"/>
      <c r="AC35" s="58"/>
      <c r="AD35" s="58"/>
      <c r="AE35" s="58"/>
      <c r="AF35" s="58"/>
      <c r="AG35" s="58"/>
      <c r="AH35" s="58"/>
      <c r="AI35" s="58"/>
    </row>
    <row r="36" spans="1:35" s="71" customFormat="1" ht="13" x14ac:dyDescent="0.35">
      <c r="A36" s="13" t="str">
        <f>H8</f>
        <v>BG3</v>
      </c>
      <c r="B36" s="15">
        <v>250</v>
      </c>
      <c r="C36" s="76">
        <f t="shared" si="6"/>
        <v>58.66575000000001</v>
      </c>
      <c r="D36" s="76">
        <f t="shared" si="7"/>
        <v>48.896240250000005</v>
      </c>
      <c r="E36" s="76">
        <f t="shared" si="8"/>
        <v>6.6556668750000014</v>
      </c>
      <c r="F36" s="76">
        <f t="shared" si="9"/>
        <v>28.095639000000002</v>
      </c>
      <c r="G36" s="76">
        <f t="shared" si="5"/>
        <v>0.23809500000000003</v>
      </c>
      <c r="H36" s="76">
        <f t="shared" si="5"/>
        <v>1.4049750000000001</v>
      </c>
      <c r="I36" s="76">
        <f t="shared" si="5"/>
        <v>0.44830499999999995</v>
      </c>
      <c r="J36" s="76">
        <f t="shared" si="5"/>
        <v>2.3595000000000001E-3</v>
      </c>
      <c r="K36" s="76">
        <f t="shared" si="5"/>
        <v>5.0407500000000001E-3</v>
      </c>
      <c r="L36" s="76">
        <f t="shared" si="5"/>
        <v>0.20163</v>
      </c>
      <c r="M36" s="76">
        <f t="shared" si="5"/>
        <v>0.19841249999999999</v>
      </c>
      <c r="N36" s="76">
        <f t="shared" si="5"/>
        <v>55.233750000000008</v>
      </c>
      <c r="O36" s="76">
        <f t="shared" si="5"/>
        <v>3453.4500000000003</v>
      </c>
      <c r="P36" s="76">
        <f t="shared" si="5"/>
        <v>0</v>
      </c>
      <c r="Q36" s="76">
        <f t="shared" si="10"/>
        <v>61.668750000000003</v>
      </c>
      <c r="R36" s="76">
        <f t="shared" si="11"/>
        <v>0</v>
      </c>
      <c r="S36" s="76">
        <f t="shared" si="11"/>
        <v>0.17696249999999999</v>
      </c>
      <c r="T36" s="76">
        <f t="shared" si="11"/>
        <v>0</v>
      </c>
      <c r="U36" s="76">
        <f t="shared" si="11"/>
        <v>0</v>
      </c>
      <c r="AB36" s="58"/>
      <c r="AC36" s="58"/>
      <c r="AD36" s="58"/>
      <c r="AE36" s="58"/>
      <c r="AF36" s="58"/>
      <c r="AG36" s="58"/>
      <c r="AH36" s="58"/>
      <c r="AI36" s="58"/>
    </row>
    <row r="37" spans="1:35" s="71" customFormat="1" ht="13" x14ac:dyDescent="0.35">
      <c r="A37" s="13" t="str">
        <f>I8</f>
        <v>BG4</v>
      </c>
      <c r="B37" s="15">
        <v>250</v>
      </c>
      <c r="C37" s="76">
        <f t="shared" si="6"/>
        <v>58.66575000000001</v>
      </c>
      <c r="D37" s="76">
        <f t="shared" si="7"/>
        <v>48.896240250000005</v>
      </c>
      <c r="E37" s="76">
        <f t="shared" si="8"/>
        <v>6.6556668750000014</v>
      </c>
      <c r="F37" s="76">
        <f t="shared" si="9"/>
        <v>28.095639000000002</v>
      </c>
      <c r="G37" s="76">
        <f t="shared" si="5"/>
        <v>0.23809500000000003</v>
      </c>
      <c r="H37" s="76">
        <f t="shared" si="5"/>
        <v>1.4049750000000001</v>
      </c>
      <c r="I37" s="76">
        <f t="shared" si="5"/>
        <v>0.44830499999999995</v>
      </c>
      <c r="J37" s="76">
        <f t="shared" si="5"/>
        <v>2.3595000000000001E-3</v>
      </c>
      <c r="K37" s="76">
        <f t="shared" si="5"/>
        <v>5.0407500000000001E-3</v>
      </c>
      <c r="L37" s="76">
        <f t="shared" si="5"/>
        <v>0.20163</v>
      </c>
      <c r="M37" s="76">
        <f t="shared" si="5"/>
        <v>0.19841249999999999</v>
      </c>
      <c r="N37" s="76">
        <f t="shared" si="5"/>
        <v>55.233750000000008</v>
      </c>
      <c r="O37" s="76">
        <f t="shared" si="5"/>
        <v>3453.4500000000003</v>
      </c>
      <c r="P37" s="76">
        <f t="shared" si="5"/>
        <v>0</v>
      </c>
      <c r="Q37" s="76">
        <f t="shared" si="10"/>
        <v>61.668750000000003</v>
      </c>
      <c r="R37" s="76">
        <f t="shared" si="11"/>
        <v>0</v>
      </c>
      <c r="S37" s="76">
        <f t="shared" si="11"/>
        <v>0.17696249999999999</v>
      </c>
      <c r="T37" s="76">
        <f t="shared" si="11"/>
        <v>0</v>
      </c>
      <c r="U37" s="76">
        <f t="shared" si="11"/>
        <v>0</v>
      </c>
      <c r="AB37" s="58"/>
      <c r="AC37" s="58"/>
      <c r="AD37" s="58"/>
      <c r="AE37" s="58"/>
      <c r="AF37" s="58"/>
      <c r="AG37" s="58"/>
      <c r="AH37" s="58"/>
      <c r="AI37" s="58"/>
    </row>
    <row r="38" spans="1:35" s="71" customFormat="1" ht="13" x14ac:dyDescent="0.35">
      <c r="A38" s="13" t="str">
        <f>J8</f>
        <v>BG5</v>
      </c>
      <c r="B38" s="15">
        <v>250</v>
      </c>
      <c r="C38" s="76">
        <f t="shared" si="6"/>
        <v>58.66575000000001</v>
      </c>
      <c r="D38" s="76">
        <f t="shared" si="7"/>
        <v>48.896240250000005</v>
      </c>
      <c r="E38" s="76">
        <f t="shared" si="8"/>
        <v>6.6556668750000014</v>
      </c>
      <c r="F38" s="76">
        <f t="shared" si="9"/>
        <v>28.095639000000002</v>
      </c>
      <c r="G38" s="76">
        <f t="shared" si="5"/>
        <v>0.23809500000000003</v>
      </c>
      <c r="H38" s="76">
        <f t="shared" si="5"/>
        <v>1.4049750000000001</v>
      </c>
      <c r="I38" s="76">
        <f t="shared" si="5"/>
        <v>0.44830499999999995</v>
      </c>
      <c r="J38" s="76">
        <f t="shared" si="5"/>
        <v>2.3595000000000001E-3</v>
      </c>
      <c r="K38" s="76">
        <f t="shared" si="5"/>
        <v>5.0407500000000001E-3</v>
      </c>
      <c r="L38" s="76">
        <f t="shared" si="5"/>
        <v>0.20163</v>
      </c>
      <c r="M38" s="76">
        <f t="shared" si="5"/>
        <v>0.19841249999999999</v>
      </c>
      <c r="N38" s="76">
        <f t="shared" si="5"/>
        <v>55.233750000000008</v>
      </c>
      <c r="O38" s="76">
        <f t="shared" si="5"/>
        <v>3453.4500000000003</v>
      </c>
      <c r="P38" s="76">
        <f t="shared" si="5"/>
        <v>0</v>
      </c>
      <c r="Q38" s="76">
        <f t="shared" si="10"/>
        <v>61.668750000000003</v>
      </c>
      <c r="R38" s="76">
        <f t="shared" si="11"/>
        <v>0</v>
      </c>
      <c r="S38" s="76">
        <f t="shared" si="11"/>
        <v>0.17696249999999999</v>
      </c>
      <c r="T38" s="76">
        <f t="shared" si="11"/>
        <v>0</v>
      </c>
      <c r="U38" s="76">
        <f t="shared" si="11"/>
        <v>0</v>
      </c>
      <c r="AB38" s="58"/>
      <c r="AC38" s="58"/>
      <c r="AD38" s="58"/>
      <c r="AE38" s="58"/>
      <c r="AF38" s="58"/>
      <c r="AG38" s="58"/>
      <c r="AH38" s="58"/>
      <c r="AI38" s="58"/>
    </row>
    <row r="39" spans="1:35" s="71" customFormat="1" ht="13" x14ac:dyDescent="0.35">
      <c r="A39" s="13" t="str">
        <f>K8</f>
        <v>Peny1</v>
      </c>
      <c r="B39" s="15">
        <v>250</v>
      </c>
      <c r="C39" s="76">
        <f t="shared" si="6"/>
        <v>58.66575000000001</v>
      </c>
      <c r="D39" s="76">
        <f t="shared" si="7"/>
        <v>48.896240250000005</v>
      </c>
      <c r="E39" s="76">
        <f t="shared" si="8"/>
        <v>6.6556668750000014</v>
      </c>
      <c r="F39" s="76">
        <f t="shared" si="9"/>
        <v>28.095639000000002</v>
      </c>
      <c r="G39" s="76">
        <f t="shared" si="5"/>
        <v>0.23809500000000003</v>
      </c>
      <c r="H39" s="76">
        <f t="shared" si="5"/>
        <v>1.4049750000000001</v>
      </c>
      <c r="I39" s="76">
        <f t="shared" si="5"/>
        <v>0.44830499999999995</v>
      </c>
      <c r="J39" s="76">
        <f t="shared" si="5"/>
        <v>2.3595000000000001E-3</v>
      </c>
      <c r="K39" s="76">
        <f t="shared" si="5"/>
        <v>5.0407500000000001E-3</v>
      </c>
      <c r="L39" s="76">
        <f t="shared" si="5"/>
        <v>0.20163</v>
      </c>
      <c r="M39" s="76">
        <f t="shared" si="5"/>
        <v>0.19841249999999999</v>
      </c>
      <c r="N39" s="76">
        <f t="shared" si="5"/>
        <v>55.233750000000008</v>
      </c>
      <c r="O39" s="76">
        <f t="shared" si="5"/>
        <v>3453.4500000000003</v>
      </c>
      <c r="P39" s="76">
        <f t="shared" si="5"/>
        <v>0</v>
      </c>
      <c r="Q39" s="76">
        <f t="shared" si="10"/>
        <v>61.668750000000003</v>
      </c>
      <c r="R39" s="76">
        <f t="shared" si="11"/>
        <v>0</v>
      </c>
      <c r="S39" s="76">
        <f t="shared" si="11"/>
        <v>0.17696249999999999</v>
      </c>
      <c r="T39" s="76">
        <f t="shared" si="11"/>
        <v>0</v>
      </c>
      <c r="U39" s="76">
        <f t="shared" si="11"/>
        <v>0</v>
      </c>
      <c r="AB39" s="58"/>
      <c r="AC39" s="58"/>
      <c r="AD39" s="58"/>
      <c r="AE39" s="58"/>
      <c r="AF39" s="58"/>
      <c r="AG39" s="58"/>
      <c r="AH39" s="58"/>
      <c r="AI39" s="58"/>
    </row>
    <row r="40" spans="1:35" s="71" customFormat="1" ht="13" x14ac:dyDescent="0.35">
      <c r="A40" s="13" t="str">
        <f>L8</f>
        <v>G1</v>
      </c>
      <c r="B40" s="15">
        <v>250</v>
      </c>
      <c r="C40" s="76">
        <f t="shared" si="6"/>
        <v>58.66575000000001</v>
      </c>
      <c r="D40" s="76">
        <f t="shared" si="7"/>
        <v>48.896240250000005</v>
      </c>
      <c r="E40" s="76">
        <f t="shared" si="8"/>
        <v>6.6556668750000014</v>
      </c>
      <c r="F40" s="76">
        <f t="shared" si="9"/>
        <v>28.095639000000002</v>
      </c>
      <c r="G40" s="76">
        <f t="shared" si="5"/>
        <v>0.23809500000000003</v>
      </c>
      <c r="H40" s="76">
        <f t="shared" si="5"/>
        <v>1.4049750000000001</v>
      </c>
      <c r="I40" s="76">
        <f t="shared" si="5"/>
        <v>0.44830499999999995</v>
      </c>
      <c r="J40" s="76">
        <f t="shared" si="5"/>
        <v>2.3595000000000001E-3</v>
      </c>
      <c r="K40" s="76">
        <f t="shared" si="5"/>
        <v>5.0407500000000001E-3</v>
      </c>
      <c r="L40" s="76">
        <f t="shared" si="5"/>
        <v>0.20163</v>
      </c>
      <c r="M40" s="76">
        <f t="shared" si="5"/>
        <v>0.19841249999999999</v>
      </c>
      <c r="N40" s="76">
        <f t="shared" si="5"/>
        <v>55.233750000000008</v>
      </c>
      <c r="O40" s="76">
        <f t="shared" si="5"/>
        <v>3453.4500000000003</v>
      </c>
      <c r="P40" s="76">
        <f t="shared" si="5"/>
        <v>0</v>
      </c>
      <c r="Q40" s="76">
        <f t="shared" si="10"/>
        <v>61.668750000000003</v>
      </c>
      <c r="R40" s="76">
        <f t="shared" si="11"/>
        <v>0</v>
      </c>
      <c r="S40" s="76">
        <f t="shared" si="11"/>
        <v>0.17696249999999999</v>
      </c>
      <c r="T40" s="76">
        <f t="shared" si="11"/>
        <v>0</v>
      </c>
      <c r="U40" s="76">
        <f t="shared" si="11"/>
        <v>0</v>
      </c>
      <c r="AB40" s="58"/>
      <c r="AC40" s="58"/>
      <c r="AD40" s="58"/>
      <c r="AE40" s="58"/>
      <c r="AF40" s="58"/>
      <c r="AG40" s="58"/>
      <c r="AH40" s="58"/>
      <c r="AI40" s="58"/>
    </row>
    <row r="41" spans="1:35" s="71" customFormat="1" ht="13" x14ac:dyDescent="0.35">
      <c r="A41" s="13" t="str">
        <f>M8</f>
        <v>G2</v>
      </c>
      <c r="B41" s="15">
        <v>250</v>
      </c>
      <c r="C41" s="76">
        <f t="shared" si="6"/>
        <v>58.66575000000001</v>
      </c>
      <c r="D41" s="76">
        <f t="shared" si="7"/>
        <v>48.896240250000005</v>
      </c>
      <c r="E41" s="76">
        <f t="shared" si="8"/>
        <v>6.6556668750000014</v>
      </c>
      <c r="F41" s="76">
        <f t="shared" si="9"/>
        <v>28.095639000000002</v>
      </c>
      <c r="G41" s="76">
        <f t="shared" si="5"/>
        <v>0.23809500000000003</v>
      </c>
      <c r="H41" s="76">
        <f t="shared" si="5"/>
        <v>1.4049750000000001</v>
      </c>
      <c r="I41" s="76">
        <f t="shared" si="5"/>
        <v>0.44830499999999995</v>
      </c>
      <c r="J41" s="76">
        <f t="shared" si="5"/>
        <v>2.3595000000000001E-3</v>
      </c>
      <c r="K41" s="76">
        <f t="shared" si="5"/>
        <v>5.0407500000000001E-3</v>
      </c>
      <c r="L41" s="76">
        <f t="shared" si="5"/>
        <v>0.20163</v>
      </c>
      <c r="M41" s="76">
        <f t="shared" si="5"/>
        <v>0.19841249999999999</v>
      </c>
      <c r="N41" s="76">
        <f t="shared" si="5"/>
        <v>55.233750000000008</v>
      </c>
      <c r="O41" s="76">
        <f t="shared" si="5"/>
        <v>3453.4500000000003</v>
      </c>
      <c r="P41" s="76">
        <f t="shared" si="5"/>
        <v>0</v>
      </c>
      <c r="Q41" s="76">
        <f t="shared" si="10"/>
        <v>61.668750000000003</v>
      </c>
      <c r="R41" s="76">
        <f t="shared" si="11"/>
        <v>0</v>
      </c>
      <c r="S41" s="76">
        <f t="shared" si="11"/>
        <v>0.17696249999999999</v>
      </c>
      <c r="T41" s="76">
        <f t="shared" si="11"/>
        <v>0</v>
      </c>
      <c r="U41" s="76">
        <f t="shared" si="11"/>
        <v>0</v>
      </c>
      <c r="AB41" s="58"/>
      <c r="AC41" s="58"/>
      <c r="AD41" s="58"/>
      <c r="AE41" s="58"/>
      <c r="AF41" s="58"/>
      <c r="AG41" s="58"/>
      <c r="AH41" s="58"/>
      <c r="AI41" s="58"/>
    </row>
    <row r="42" spans="1:35" s="71" customFormat="1" ht="13" x14ac:dyDescent="0.35">
      <c r="A42" s="13" t="str">
        <f>N8</f>
        <v>G3</v>
      </c>
      <c r="B42" s="15">
        <v>250</v>
      </c>
      <c r="C42" s="76">
        <f t="shared" si="6"/>
        <v>58.66575000000001</v>
      </c>
      <c r="D42" s="76">
        <f t="shared" si="7"/>
        <v>48.896240250000005</v>
      </c>
      <c r="E42" s="76">
        <f t="shared" si="8"/>
        <v>6.6556668750000014</v>
      </c>
      <c r="F42" s="76">
        <f t="shared" si="9"/>
        <v>28.095639000000002</v>
      </c>
      <c r="G42" s="76">
        <f t="shared" si="5"/>
        <v>0.23809500000000003</v>
      </c>
      <c r="H42" s="76">
        <f t="shared" si="5"/>
        <v>1.4049750000000001</v>
      </c>
      <c r="I42" s="76">
        <f t="shared" si="5"/>
        <v>0.44830499999999995</v>
      </c>
      <c r="J42" s="76">
        <f t="shared" si="5"/>
        <v>2.3595000000000001E-3</v>
      </c>
      <c r="K42" s="76">
        <f t="shared" si="5"/>
        <v>5.0407500000000001E-3</v>
      </c>
      <c r="L42" s="76">
        <f t="shared" si="5"/>
        <v>0.20163</v>
      </c>
      <c r="M42" s="76">
        <f t="shared" si="5"/>
        <v>0.19841249999999999</v>
      </c>
      <c r="N42" s="76">
        <f t="shared" si="5"/>
        <v>55.233750000000008</v>
      </c>
      <c r="O42" s="76">
        <f t="shared" si="5"/>
        <v>3453.4500000000003</v>
      </c>
      <c r="P42" s="76">
        <f t="shared" si="5"/>
        <v>0</v>
      </c>
      <c r="Q42" s="76">
        <f t="shared" si="10"/>
        <v>61.668750000000003</v>
      </c>
      <c r="R42" s="76">
        <f t="shared" si="11"/>
        <v>0</v>
      </c>
      <c r="S42" s="76">
        <f t="shared" si="11"/>
        <v>0.17696249999999999</v>
      </c>
      <c r="T42" s="76">
        <f t="shared" si="11"/>
        <v>0</v>
      </c>
      <c r="U42" s="76">
        <f t="shared" si="11"/>
        <v>0</v>
      </c>
      <c r="AB42" s="58"/>
      <c r="AC42" s="58"/>
      <c r="AD42" s="58"/>
      <c r="AE42" s="58"/>
      <c r="AF42" s="58"/>
      <c r="AG42" s="58"/>
      <c r="AH42" s="58"/>
      <c r="AI42" s="58"/>
    </row>
    <row r="43" spans="1:35" s="71" customFormat="1" ht="13" x14ac:dyDescent="0.35">
      <c r="A43" s="13" t="str">
        <f>O8</f>
        <v>G4A</v>
      </c>
      <c r="B43" s="15">
        <v>250</v>
      </c>
      <c r="C43" s="76">
        <f t="shared" si="6"/>
        <v>58.66575000000001</v>
      </c>
      <c r="D43" s="76">
        <f t="shared" si="7"/>
        <v>48.896240250000005</v>
      </c>
      <c r="E43" s="76">
        <f t="shared" si="8"/>
        <v>6.6556668750000014</v>
      </c>
      <c r="F43" s="76">
        <f t="shared" si="9"/>
        <v>28.095639000000002</v>
      </c>
      <c r="G43" s="76">
        <f t="shared" si="5"/>
        <v>0.23809500000000003</v>
      </c>
      <c r="H43" s="76">
        <f t="shared" si="5"/>
        <v>1.4049750000000001</v>
      </c>
      <c r="I43" s="76">
        <f t="shared" si="5"/>
        <v>0.44830499999999995</v>
      </c>
      <c r="J43" s="76">
        <f t="shared" si="5"/>
        <v>2.3595000000000001E-3</v>
      </c>
      <c r="K43" s="76">
        <f t="shared" si="5"/>
        <v>5.0407500000000001E-3</v>
      </c>
      <c r="L43" s="76">
        <f t="shared" si="5"/>
        <v>0.20163</v>
      </c>
      <c r="M43" s="76">
        <f t="shared" si="5"/>
        <v>0.19841249999999999</v>
      </c>
      <c r="N43" s="76">
        <f t="shared" si="5"/>
        <v>55.233750000000008</v>
      </c>
      <c r="O43" s="76">
        <f t="shared" si="5"/>
        <v>3453.4500000000003</v>
      </c>
      <c r="P43" s="76">
        <f t="shared" si="5"/>
        <v>0</v>
      </c>
      <c r="Q43" s="76">
        <f t="shared" si="10"/>
        <v>61.668750000000003</v>
      </c>
      <c r="R43" s="76">
        <f t="shared" si="11"/>
        <v>0</v>
      </c>
      <c r="S43" s="76">
        <f t="shared" si="11"/>
        <v>0.17696249999999999</v>
      </c>
      <c r="T43" s="76">
        <f t="shared" si="11"/>
        <v>0</v>
      </c>
      <c r="U43" s="76">
        <f t="shared" si="11"/>
        <v>0</v>
      </c>
      <c r="AB43" s="58"/>
      <c r="AC43" s="58"/>
      <c r="AD43" s="58"/>
      <c r="AE43" s="58"/>
      <c r="AF43" s="58"/>
      <c r="AG43" s="58"/>
      <c r="AH43" s="58"/>
      <c r="AI43" s="58"/>
    </row>
    <row r="44" spans="1:35" s="71" customFormat="1" ht="13" x14ac:dyDescent="0.35">
      <c r="A44" s="13" t="str">
        <f>P8</f>
        <v>G4B</v>
      </c>
      <c r="B44" s="15">
        <v>250</v>
      </c>
      <c r="C44" s="76">
        <f t="shared" si="6"/>
        <v>58.66575000000001</v>
      </c>
      <c r="D44" s="76">
        <f t="shared" si="7"/>
        <v>48.896240250000005</v>
      </c>
      <c r="E44" s="76">
        <f t="shared" si="8"/>
        <v>6.6556668750000014</v>
      </c>
      <c r="F44" s="76">
        <f t="shared" si="9"/>
        <v>28.095639000000002</v>
      </c>
      <c r="G44" s="76">
        <f t="shared" si="5"/>
        <v>0.23809500000000003</v>
      </c>
      <c r="H44" s="76">
        <f t="shared" si="5"/>
        <v>1.4049750000000001</v>
      </c>
      <c r="I44" s="76">
        <f t="shared" si="5"/>
        <v>0.44830499999999995</v>
      </c>
      <c r="J44" s="76">
        <f t="shared" si="5"/>
        <v>2.3595000000000001E-3</v>
      </c>
      <c r="K44" s="76">
        <f t="shared" si="5"/>
        <v>5.0407500000000001E-3</v>
      </c>
      <c r="L44" s="76">
        <f t="shared" si="5"/>
        <v>0.20163</v>
      </c>
      <c r="M44" s="76">
        <f t="shared" si="5"/>
        <v>0.19841249999999999</v>
      </c>
      <c r="N44" s="76">
        <f t="shared" si="5"/>
        <v>55.233750000000008</v>
      </c>
      <c r="O44" s="76">
        <f t="shared" si="5"/>
        <v>3453.4500000000003</v>
      </c>
      <c r="P44" s="76">
        <f t="shared" si="5"/>
        <v>0</v>
      </c>
      <c r="Q44" s="76">
        <f t="shared" si="10"/>
        <v>61.668750000000003</v>
      </c>
      <c r="R44" s="76">
        <f t="shared" si="11"/>
        <v>0</v>
      </c>
      <c r="S44" s="76">
        <f t="shared" si="11"/>
        <v>0.17696249999999999</v>
      </c>
      <c r="T44" s="76">
        <f t="shared" si="11"/>
        <v>0</v>
      </c>
      <c r="U44" s="76">
        <f t="shared" si="11"/>
        <v>0</v>
      </c>
      <c r="AB44" s="58"/>
      <c r="AC44" s="58"/>
      <c r="AD44" s="58"/>
      <c r="AE44" s="58"/>
      <c r="AF44" s="58"/>
      <c r="AG44" s="58"/>
      <c r="AH44" s="58"/>
      <c r="AI44" s="58"/>
    </row>
    <row r="45" spans="1:35" s="71" customFormat="1" ht="13" x14ac:dyDescent="0.35">
      <c r="A45" s="13" t="str">
        <f>Q8</f>
        <v>G5</v>
      </c>
      <c r="B45" s="15">
        <v>250</v>
      </c>
      <c r="C45" s="76">
        <f t="shared" si="6"/>
        <v>58.66575000000001</v>
      </c>
      <c r="D45" s="76">
        <f t="shared" si="7"/>
        <v>48.896240250000005</v>
      </c>
      <c r="E45" s="76">
        <f t="shared" si="8"/>
        <v>6.6556668750000014</v>
      </c>
      <c r="F45" s="76">
        <f t="shared" si="9"/>
        <v>28.095639000000002</v>
      </c>
      <c r="G45" s="76">
        <f t="shared" si="5"/>
        <v>0.23809500000000003</v>
      </c>
      <c r="H45" s="76">
        <f t="shared" si="5"/>
        <v>1.4049750000000001</v>
      </c>
      <c r="I45" s="76">
        <f t="shared" si="5"/>
        <v>0.44830499999999995</v>
      </c>
      <c r="J45" s="76">
        <f t="shared" si="5"/>
        <v>2.3595000000000001E-3</v>
      </c>
      <c r="K45" s="76">
        <f t="shared" si="5"/>
        <v>5.0407500000000001E-3</v>
      </c>
      <c r="L45" s="76">
        <f t="shared" si="5"/>
        <v>0.20163</v>
      </c>
      <c r="M45" s="76">
        <f t="shared" si="5"/>
        <v>0.19841249999999999</v>
      </c>
      <c r="N45" s="76">
        <f t="shared" si="5"/>
        <v>55.233750000000008</v>
      </c>
      <c r="O45" s="76">
        <f t="shared" si="5"/>
        <v>3453.4500000000003</v>
      </c>
      <c r="P45" s="76">
        <f t="shared" si="5"/>
        <v>0</v>
      </c>
      <c r="Q45" s="76">
        <f t="shared" si="10"/>
        <v>61.668750000000003</v>
      </c>
      <c r="R45" s="76">
        <f t="shared" si="11"/>
        <v>0</v>
      </c>
      <c r="S45" s="76">
        <f t="shared" si="11"/>
        <v>0.17696249999999999</v>
      </c>
      <c r="T45" s="76">
        <f t="shared" si="11"/>
        <v>0</v>
      </c>
      <c r="U45" s="76">
        <f t="shared" si="11"/>
        <v>0</v>
      </c>
      <c r="AB45" s="58"/>
      <c r="AC45" s="58"/>
      <c r="AD45" s="58"/>
      <c r="AE45" s="58"/>
      <c r="AF45" s="58"/>
      <c r="AG45" s="58"/>
      <c r="AH45" s="58"/>
      <c r="AI45" s="58"/>
    </row>
    <row r="46" spans="1:35" s="71" customFormat="1" ht="13" x14ac:dyDescent="0.35">
      <c r="A46" s="13" t="str">
        <f>R8</f>
        <v>G9</v>
      </c>
      <c r="B46" s="15">
        <v>250</v>
      </c>
      <c r="C46" s="76">
        <f t="shared" si="6"/>
        <v>58.66575000000001</v>
      </c>
      <c r="D46" s="76">
        <f t="shared" si="7"/>
        <v>48.896240250000005</v>
      </c>
      <c r="E46" s="76">
        <f t="shared" si="8"/>
        <v>6.6556668750000014</v>
      </c>
      <c r="F46" s="76">
        <f t="shared" si="9"/>
        <v>28.095639000000002</v>
      </c>
      <c r="G46" s="76">
        <f t="shared" si="5"/>
        <v>0.23809500000000003</v>
      </c>
      <c r="H46" s="76">
        <f t="shared" si="5"/>
        <v>1.4049750000000001</v>
      </c>
      <c r="I46" s="76">
        <f t="shared" si="5"/>
        <v>0.44830499999999995</v>
      </c>
      <c r="J46" s="76">
        <f t="shared" si="5"/>
        <v>2.3595000000000001E-3</v>
      </c>
      <c r="K46" s="76">
        <f t="shared" si="5"/>
        <v>5.0407500000000001E-3</v>
      </c>
      <c r="L46" s="76">
        <f t="shared" si="5"/>
        <v>0.20163</v>
      </c>
      <c r="M46" s="76">
        <f t="shared" si="5"/>
        <v>0.19841249999999999</v>
      </c>
      <c r="N46" s="76">
        <f t="shared" si="5"/>
        <v>55.233750000000008</v>
      </c>
      <c r="O46" s="76">
        <f t="shared" si="5"/>
        <v>3453.4500000000003</v>
      </c>
      <c r="P46" s="76">
        <f t="shared" si="5"/>
        <v>0</v>
      </c>
      <c r="Q46" s="76">
        <f t="shared" si="10"/>
        <v>61.668750000000003</v>
      </c>
      <c r="R46" s="76">
        <f t="shared" si="11"/>
        <v>0</v>
      </c>
      <c r="S46" s="76">
        <f t="shared" si="11"/>
        <v>0.17696249999999999</v>
      </c>
      <c r="T46" s="76">
        <f t="shared" si="11"/>
        <v>0</v>
      </c>
      <c r="U46" s="76">
        <f t="shared" si="11"/>
        <v>0</v>
      </c>
      <c r="AB46" s="58"/>
      <c r="AC46" s="58"/>
      <c r="AD46" s="58"/>
      <c r="AE46" s="58"/>
      <c r="AF46" s="58"/>
      <c r="AG46" s="58"/>
      <c r="AH46" s="58"/>
      <c r="AI46" s="58"/>
    </row>
    <row r="47" spans="1:35" s="71" customFormat="1" ht="13" x14ac:dyDescent="0.35">
      <c r="A47" s="13" t="str">
        <f>S8</f>
        <v>G12</v>
      </c>
      <c r="B47" s="15">
        <v>250</v>
      </c>
      <c r="C47" s="76">
        <f t="shared" si="6"/>
        <v>58.66575000000001</v>
      </c>
      <c r="D47" s="76">
        <f t="shared" si="7"/>
        <v>48.896240250000005</v>
      </c>
      <c r="E47" s="76">
        <f t="shared" si="8"/>
        <v>6.6556668750000014</v>
      </c>
      <c r="F47" s="76">
        <f t="shared" si="9"/>
        <v>28.095639000000002</v>
      </c>
      <c r="G47" s="76">
        <f t="shared" ref="G47:P50" si="12">IF(G$27="%w/w SAR",((G$28*10)*$B47),IF(G$27="%w/w DM",(((G$28*10)*($B$28/100))*$B47),IF(G$27="kg/t SAR",(G$28*$B47),IF(G$27="kg/t DM",((G$28*($B$28/100))*$B47),IF(G$27="mg/kg SAR",((G$28*0.001)*$B47),IF(G$27="mg/kg DM",(((G$28*0.001)*($B$28/100))*$B47),0))))))</f>
        <v>0.23809500000000003</v>
      </c>
      <c r="H47" s="76">
        <f t="shared" si="12"/>
        <v>1.4049750000000001</v>
      </c>
      <c r="I47" s="76">
        <f t="shared" si="12"/>
        <v>0.44830499999999995</v>
      </c>
      <c r="J47" s="76">
        <f t="shared" si="12"/>
        <v>2.3595000000000001E-3</v>
      </c>
      <c r="K47" s="76">
        <f t="shared" si="12"/>
        <v>5.0407500000000001E-3</v>
      </c>
      <c r="L47" s="76">
        <f t="shared" si="12"/>
        <v>0.20163</v>
      </c>
      <c r="M47" s="76">
        <f t="shared" si="12"/>
        <v>0.19841249999999999</v>
      </c>
      <c r="N47" s="76">
        <f t="shared" si="12"/>
        <v>55.233750000000008</v>
      </c>
      <c r="O47" s="76">
        <f t="shared" si="12"/>
        <v>3453.4500000000003</v>
      </c>
      <c r="P47" s="76">
        <f t="shared" si="12"/>
        <v>0</v>
      </c>
      <c r="Q47" s="76">
        <f t="shared" si="10"/>
        <v>61.668750000000003</v>
      </c>
      <c r="R47" s="76">
        <f t="shared" si="11"/>
        <v>0</v>
      </c>
      <c r="S47" s="76">
        <f t="shared" si="11"/>
        <v>0.17696249999999999</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str">
        <f>L16&amp;" I "&amp;(VLOOKUP(L14,Table245[],6,FALSE))</f>
        <v>Medium/Clay I Grass</v>
      </c>
      <c r="L58" s="13" t="str">
        <f>M16&amp;" I "&amp;(VLOOKUP(M14,Table245[],6,FALSE))</f>
        <v>Medium/Clay I Grass</v>
      </c>
      <c r="M58" s="13" t="str">
        <f>N16&amp;" I "&amp;(VLOOKUP(N14,Table245[],6,FALSE))</f>
        <v>Medium/Clay I Grass</v>
      </c>
      <c r="N58" s="13" t="str">
        <f>O16&amp;" I "&amp;(VLOOKUP(O14,Table245[],6,FALSE))</f>
        <v>Medium/Clay I Grass</v>
      </c>
      <c r="O58" s="13" t="str">
        <f>P16&amp;" I "&amp;(VLOOKUP(P14,Table245[],6,FALSE))</f>
        <v>Medium/Clay I Grass</v>
      </c>
      <c r="P58" s="13" t="str">
        <f>Q16&amp;" I "&amp;(VLOOKUP(Q14,Table245[],6,FALSE))</f>
        <v>Medium/Clay I Grass</v>
      </c>
      <c r="Q58" s="13" t="str">
        <f>R16&amp;" I "&amp;(VLOOKUP(R14,Table245[],6,FALSE))</f>
        <v>Medium/Clay I Grass</v>
      </c>
      <c r="R58" s="13" t="str">
        <f>S16&amp;" I "&amp;(VLOOKUP(S14,Table245[],6,FALSE))</f>
        <v>Medium/Clay I Grass</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f>VLOOKUP(L$14,Table245[],5,FALSE)</f>
        <v>6.2</v>
      </c>
      <c r="L59" s="75">
        <f>VLOOKUP(M$14,Table245[],5,FALSE)</f>
        <v>6.2</v>
      </c>
      <c r="M59" s="75">
        <f>VLOOKUP(N$14,Table245[],5,FALSE)</f>
        <v>6.2</v>
      </c>
      <c r="N59" s="75">
        <f>VLOOKUP(O$14,Table245[],5,FALSE)</f>
        <v>6.2</v>
      </c>
      <c r="O59" s="75">
        <f>VLOOKUP(P$14,Table245[],5,FALSE)</f>
        <v>6.2</v>
      </c>
      <c r="P59" s="75">
        <f>VLOOKUP(Q$14,Table245[],5,FALSE)</f>
        <v>6.2</v>
      </c>
      <c r="Q59" s="75">
        <f>VLOOKUP(R$14,Table245[],5,FALSE)</f>
        <v>6.2</v>
      </c>
      <c r="R59" s="75">
        <f>VLOOKUP(S$14,Table245[],5,FALSE)</f>
        <v>6.2</v>
      </c>
      <c r="S59" s="75" t="e">
        <f>VLOOKUP(T$14,Table245[],5,FALSE)</f>
        <v>#N/A</v>
      </c>
      <c r="T59" s="75" t="e">
        <f>VLOOKUP(U$14,Table245[],5,FALSE)</f>
        <v>#N/A</v>
      </c>
      <c r="U59" s="75" t="e">
        <f>VLOOKUP(V$14,Table245[],5,FALSE)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250</v>
      </c>
      <c r="Q62" s="76">
        <f>B46</f>
        <v>250</v>
      </c>
      <c r="R62" s="76">
        <f>B47</f>
        <v>250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13" zoomScale="90" zoomScaleNormal="90" workbookViewId="0">
      <selection activeCell="B44" sqref="B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Bryngwyn!C1:D1</f>
        <v>PAN-020670</v>
      </c>
      <c r="D1" s="143"/>
      <c r="E1" s="92" t="s">
        <v>45</v>
      </c>
      <c r="F1" s="38">
        <f>Bryngwyn!F1</f>
        <v>34</v>
      </c>
      <c r="G1" s="121" t="s">
        <v>43</v>
      </c>
      <c r="H1" s="122"/>
      <c r="I1" s="117">
        <v>6.9</v>
      </c>
      <c r="J1" s="120" t="s">
        <v>153</v>
      </c>
      <c r="K1" s="120"/>
      <c r="L1" s="96">
        <v>252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0.91700000000000004</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2.7480916030534353</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17.023046399999998</v>
      </c>
      <c r="D18" s="16">
        <f>$D32</f>
        <v>17.023046399999998</v>
      </c>
      <c r="E18" s="16">
        <f>$D33</f>
        <v>17.023046399999998</v>
      </c>
      <c r="F18" s="16">
        <f>$D34</f>
        <v>17.023046399999998</v>
      </c>
      <c r="G18" s="16">
        <f>$D35</f>
        <v>17.023046399999998</v>
      </c>
      <c r="H18" s="16">
        <f>$D36</f>
        <v>17.023046399999998</v>
      </c>
      <c r="I18" s="16">
        <f>$D37</f>
        <v>17.023046399999998</v>
      </c>
      <c r="J18" s="16">
        <f>$D38</f>
        <v>17.023046399999998</v>
      </c>
      <c r="K18" s="16">
        <f>$D39</f>
        <v>0</v>
      </c>
      <c r="L18" s="16">
        <f>$D40</f>
        <v>17.023046399999998</v>
      </c>
      <c r="M18" s="16">
        <f>$D41</f>
        <v>17.023046399999998</v>
      </c>
      <c r="N18" s="16">
        <f>$D42</f>
        <v>17.023046399999998</v>
      </c>
      <c r="O18" s="16">
        <f>$D43</f>
        <v>17.023046399999998</v>
      </c>
      <c r="P18" s="16">
        <f>$D44</f>
        <v>17.023046399999998</v>
      </c>
      <c r="Q18" s="16">
        <f>$D45</f>
        <v>17.023046399999998</v>
      </c>
      <c r="R18" s="16">
        <f>$D46</f>
        <v>17.023046399999998</v>
      </c>
      <c r="S18" s="16">
        <f>$D47</f>
        <v>17.023046399999998</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-47.576953599999996</v>
      </c>
      <c r="D19" s="16">
        <f t="shared" ref="D19:V19" si="1">D18-D17</f>
        <v>-47.576953599999996</v>
      </c>
      <c r="E19" s="16">
        <f t="shared" si="1"/>
        <v>-47.576953599999996</v>
      </c>
      <c r="F19" s="16">
        <f t="shared" si="1"/>
        <v>-47.576953599999996</v>
      </c>
      <c r="G19" s="16">
        <f t="shared" si="1"/>
        <v>-47.576953599999996</v>
      </c>
      <c r="H19" s="16">
        <f t="shared" si="1"/>
        <v>-47.576953599999996</v>
      </c>
      <c r="I19" s="16">
        <f t="shared" si="1"/>
        <v>-47.576953599999996</v>
      </c>
      <c r="J19" s="16">
        <f t="shared" si="1"/>
        <v>-47.576953599999996</v>
      </c>
      <c r="K19" s="16">
        <f t="shared" si="1"/>
        <v>-64.599999999999994</v>
      </c>
      <c r="L19" s="16">
        <f t="shared" si="1"/>
        <v>-47.576953599999996</v>
      </c>
      <c r="M19" s="16">
        <f t="shared" si="1"/>
        <v>-47.576953599999996</v>
      </c>
      <c r="N19" s="16">
        <f t="shared" si="1"/>
        <v>-47.576953599999996</v>
      </c>
      <c r="O19" s="16">
        <f t="shared" si="1"/>
        <v>-47.576953599999996</v>
      </c>
      <c r="P19" s="16">
        <f t="shared" si="1"/>
        <v>-47.576953599999996</v>
      </c>
      <c r="Q19" s="16">
        <f t="shared" si="1"/>
        <v>-47.576953599999996</v>
      </c>
      <c r="R19" s="16">
        <f t="shared" si="1"/>
        <v>-47.576953599999996</v>
      </c>
      <c r="S19" s="16">
        <f t="shared" si="1"/>
        <v>-47.576953599999996</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4.0804312500000011</v>
      </c>
      <c r="D22" s="16">
        <f>$E32</f>
        <v>4.0804312500000011</v>
      </c>
      <c r="E22" s="16">
        <f>$E33</f>
        <v>4.0804312500000011</v>
      </c>
      <c r="F22" s="16">
        <f>$E34</f>
        <v>4.0804312500000011</v>
      </c>
      <c r="G22" s="16">
        <f>$E35</f>
        <v>4.0804312500000011</v>
      </c>
      <c r="H22" s="16">
        <f>$E36</f>
        <v>4.0804312500000011</v>
      </c>
      <c r="I22" s="16">
        <f>$E37</f>
        <v>4.0804312500000011</v>
      </c>
      <c r="J22" s="16">
        <f>$E38</f>
        <v>4.0804312500000011</v>
      </c>
      <c r="K22" s="16">
        <f>$E39</f>
        <v>0</v>
      </c>
      <c r="L22" s="16">
        <f>$E40</f>
        <v>4.0804312500000011</v>
      </c>
      <c r="M22" s="16">
        <f>$E41</f>
        <v>4.0804312500000011</v>
      </c>
      <c r="N22" s="16">
        <f>$E42</f>
        <v>4.0804312500000011</v>
      </c>
      <c r="O22" s="16">
        <f>$E43</f>
        <v>4.0804312500000011</v>
      </c>
      <c r="P22" s="16">
        <f>$E44</f>
        <v>4.0804312500000011</v>
      </c>
      <c r="Q22" s="16">
        <f>$E45</f>
        <v>4.0804312500000011</v>
      </c>
      <c r="R22" s="16">
        <f>$E46</f>
        <v>4.0804312500000011</v>
      </c>
      <c r="S22" s="16">
        <f>$E47</f>
        <v>4.0804312500000011</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-223.91956875</v>
      </c>
      <c r="D23" s="16">
        <f t="shared" ref="D23:V23" si="3">D22-D21</f>
        <v>-223.91956875</v>
      </c>
      <c r="E23" s="16">
        <f t="shared" si="3"/>
        <v>-223.91956875</v>
      </c>
      <c r="F23" s="16">
        <f t="shared" si="3"/>
        <v>-223.91956875</v>
      </c>
      <c r="G23" s="16">
        <f t="shared" si="3"/>
        <v>-223.91956875</v>
      </c>
      <c r="H23" s="16">
        <f t="shared" si="3"/>
        <v>-223.91956875</v>
      </c>
      <c r="I23" s="16">
        <f t="shared" si="3"/>
        <v>-223.91956875</v>
      </c>
      <c r="J23" s="16">
        <f t="shared" si="3"/>
        <v>-223.91956875</v>
      </c>
      <c r="K23" s="16">
        <f t="shared" si="3"/>
        <v>-228</v>
      </c>
      <c r="L23" s="16">
        <f t="shared" si="3"/>
        <v>-223.91956875</v>
      </c>
      <c r="M23" s="16">
        <f t="shared" si="3"/>
        <v>-223.91956875</v>
      </c>
      <c r="N23" s="16">
        <f t="shared" si="3"/>
        <v>-223.91956875</v>
      </c>
      <c r="O23" s="16">
        <f t="shared" si="3"/>
        <v>-223.91956875</v>
      </c>
      <c r="P23" s="16">
        <f t="shared" si="3"/>
        <v>-223.91956875</v>
      </c>
      <c r="Q23" s="16">
        <f t="shared" si="3"/>
        <v>-223.91956875</v>
      </c>
      <c r="R23" s="16">
        <f t="shared" si="3"/>
        <v>-223.91956875</v>
      </c>
      <c r="S23" s="16">
        <f t="shared" si="3"/>
        <v>-223.91956875</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3.87</v>
      </c>
      <c r="C28" s="15">
        <v>0.91700000000000004</v>
      </c>
      <c r="D28" s="15">
        <v>7.6799999999999993E-2</v>
      </c>
      <c r="E28" s="15">
        <v>3.5000000000000003E-2</v>
      </c>
      <c r="F28" s="15">
        <v>379</v>
      </c>
      <c r="G28" s="15">
        <v>28.9</v>
      </c>
      <c r="H28" s="15">
        <v>116</v>
      </c>
      <c r="I28" s="15">
        <v>3.36</v>
      </c>
      <c r="J28" s="15">
        <v>1.71</v>
      </c>
      <c r="K28" s="15">
        <v>0.52</v>
      </c>
      <c r="L28" s="15">
        <v>8.1</v>
      </c>
      <c r="M28" s="15">
        <v>1.76</v>
      </c>
      <c r="N28" s="15">
        <v>171000</v>
      </c>
      <c r="O28" s="15">
        <v>4430</v>
      </c>
      <c r="P28" s="15"/>
      <c r="Q28" s="15">
        <v>12000</v>
      </c>
      <c r="R28" s="15"/>
      <c r="S28" s="15">
        <v>56.2</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250</v>
      </c>
      <c r="C31" s="76">
        <f>IF(C$27="%w/w SAR",((C$28*10)*$B31),IF(C$27="%w/w DM",(((C$28*10)*($B$28/100))*$B31),IF(C$27="kg/t SAR",(C$28*$B31),IF(C$27="kg/t DM",((C$28*($B$28/100))*$B31),IF(C$27="mg/kg SAR",((C$28*0.001)*$B31),IF(C$27="mg/kg DM",(((C$28*0.001)*($B$28/100))*$B31),0))))))</f>
        <v>88.719750000000005</v>
      </c>
      <c r="D31" s="76">
        <f>(IF(D$27="%w/w SAR",((D$28*10)*$B31),IF(D$27="%w/w DM",(((D$28*10)*($B$28/100))*$B31),IF(D$27="kg/t SAR",(D$28*$B31),IF(D$27="kg/t DM",((D$28*($B$28/100))*$B31),IF(D$27="mg/kg SAR",((D$28*0.001)*$B31),IF(D$27="mg/kg DM",(((D$28*0.001)*($B$28/100))*$B31),"0")))))))*2.291</f>
        <v>17.023046399999998</v>
      </c>
      <c r="E31" s="76">
        <f>(IF(E$27="%w/w SAR",((E$28*10)*$B31),IF(E$27="%w/w DM",(((E$28*10)*($B$28/100))*$B31),IF(E$27="kg/t SAR",(E$28*$B31),IF(E$27="kg/t DM",((E$28*($B$28/100))*$B31),IF(E$27="mg/kg SAR",((E$28*0.001)*$B31),IF(E$27="mg/kg DM",(((E$28*0.001)*($B$28/100))*$B31),"0")))))))*1.205</f>
        <v>4.0804312500000011</v>
      </c>
      <c r="F31" s="76">
        <f>(IF(F$27="%w/w SAR",((F$28*10)*$B31),IF(F$27="%w/w DM",(((F$28*10)*($B$28/100))*$B31),IF(F$27="kg/t SAR",(F$28*$B31),IF(F$27="kg/t DM",((F$28*($B$28/100))*$B31),IF(F$27="mg/kg SAR",((F$28*0.001)*$B31),IF(F$27="mg/kg DM",(((F$28*0.001)*($B$28/100))*$B31),"0")))))))*1.658</f>
        <v>6.0795958499999996</v>
      </c>
      <c r="G31" s="76">
        <f t="shared" ref="G31:P46" si="5">IF(G$27="%w/w SAR",((G$28*10)*$B31),IF(G$27="%w/w DM",(((G$28*10)*($B$28/100))*$B31),IF(G$27="kg/t SAR",(G$28*$B31),IF(G$27="kg/t DM",((G$28*($B$28/100))*$B31),IF(G$27="mg/kg SAR",((G$28*0.001)*$B31),IF(G$27="mg/kg DM",(((G$28*0.001)*($B$28/100))*$B31),0))))))</f>
        <v>0.27960749999999995</v>
      </c>
      <c r="H31" s="76">
        <f t="shared" si="5"/>
        <v>1.1222999999999999</v>
      </c>
      <c r="I31" s="76">
        <f t="shared" si="5"/>
        <v>3.2508000000000002E-2</v>
      </c>
      <c r="J31" s="76">
        <f t="shared" si="5"/>
        <v>1.654425E-2</v>
      </c>
      <c r="K31" s="76">
        <f t="shared" si="5"/>
        <v>5.0310000000000007E-3</v>
      </c>
      <c r="L31" s="76">
        <f t="shared" si="5"/>
        <v>7.8367499999999993E-2</v>
      </c>
      <c r="M31" s="76">
        <f t="shared" si="5"/>
        <v>1.7028000000000001E-2</v>
      </c>
      <c r="N31" s="76">
        <f t="shared" si="5"/>
        <v>1654.425</v>
      </c>
      <c r="O31" s="76">
        <f t="shared" si="5"/>
        <v>42.860249999999994</v>
      </c>
      <c r="P31" s="76">
        <f t="shared" si="5"/>
        <v>0</v>
      </c>
      <c r="Q31" s="76">
        <f>(IF(Q$27="%w/w SAR",((Q$28*10)*$B31),IF(Q$27="%w/w DM",(((Q$28*10)*($B$28/100))*$B31),IF(Q$27="kg/t SAR",(Q$28*$B31),IF(Q$27="kg/t DM",((Q$28*($B$28/100))*$B31),IF(Q$27="mg/kg SAR",((Q$28*0.001)*$B31),IF(Q$27="mg/kg DM",(((Q$28*0.001)*($B$28/100))*$B31),0)))))))*2.5</f>
        <v>290.25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0.54373500000000008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250</v>
      </c>
      <c r="C32" s="76">
        <f t="shared" ref="C32:C50" si="6">IF(C$27="%w/w SAR",((C$28*10)*$B32),IF(C$27="%w/w DM",(((C$28*10)*($B$28/100))*$B32),IF(C$27="kg/t SAR",(C$28*$B32),IF(C$27="kg/t DM",((C$28*($B$28/100))*$B32),IF(C$27="mg/kg SAR",((C$28*0.001)*$B32),IF(C$27="mg/kg DM",(((C$28*0.001)*($B$28/100))*$B32),0))))))</f>
        <v>88.719750000000005</v>
      </c>
      <c r="D32" s="76">
        <f t="shared" ref="D32:D50" si="7">(IF(D$27="%w/w SAR",((D$28*10)*$B32),IF(D$27="%w/w DM",(((D$28*10)*($B$28/100))*$B32),IF(D$27="kg/t SAR",(D$28*$B32),IF(D$27="kg/t DM",((D$28*($B$28/100))*$B32),IF(D$27="mg/kg SAR",((D$28*0.001)*$B32),IF(D$27="mg/kg DM",(((D$28*0.001)*($B$28/100))*$B32),"0")))))))*2.291</f>
        <v>17.023046399999998</v>
      </c>
      <c r="E32" s="76">
        <f t="shared" ref="E32:E50" si="8">(IF(E$27="%w/w SAR",((E$28*10)*$B32),IF(E$27="%w/w DM",(((E$28*10)*($B$28/100))*$B32),IF(E$27="kg/t SAR",(E$28*$B32),IF(E$27="kg/t DM",((E$28*($B$28/100))*$B32),IF(E$27="mg/kg SAR",((E$28*0.001)*$B32),IF(E$27="mg/kg DM",(((E$28*0.001)*($B$28/100))*$B32),"0")))))))*1.205</f>
        <v>4.0804312500000011</v>
      </c>
      <c r="F32" s="76">
        <f t="shared" ref="F32:F50" si="9">(IF(F$27="%w/w SAR",((F$28*10)*$B32),IF(F$27="%w/w DM",(((F$28*10)*($B$28/100))*$B32),IF(F$27="kg/t SAR",(F$28*$B32),IF(F$27="kg/t DM",((F$28*($B$28/100))*$B32),IF(F$27="mg/kg SAR",((F$28*0.001)*$B32),IF(F$27="mg/kg DM",(((F$28*0.001)*($B$28/100))*$B32),"0")))))))*1.658</f>
        <v>6.0795958499999996</v>
      </c>
      <c r="G32" s="76">
        <f t="shared" si="5"/>
        <v>0.27960749999999995</v>
      </c>
      <c r="H32" s="76">
        <f t="shared" si="5"/>
        <v>1.1222999999999999</v>
      </c>
      <c r="I32" s="76">
        <f t="shared" si="5"/>
        <v>3.2508000000000002E-2</v>
      </c>
      <c r="J32" s="76">
        <f t="shared" si="5"/>
        <v>1.654425E-2</v>
      </c>
      <c r="K32" s="76">
        <f t="shared" si="5"/>
        <v>5.0310000000000007E-3</v>
      </c>
      <c r="L32" s="76">
        <f t="shared" si="5"/>
        <v>7.8367499999999993E-2</v>
      </c>
      <c r="M32" s="76">
        <f t="shared" si="5"/>
        <v>1.7028000000000001E-2</v>
      </c>
      <c r="N32" s="76">
        <f t="shared" si="5"/>
        <v>1654.425</v>
      </c>
      <c r="O32" s="76">
        <f t="shared" si="5"/>
        <v>42.860249999999994</v>
      </c>
      <c r="P32" s="76">
        <f t="shared" si="5"/>
        <v>0</v>
      </c>
      <c r="Q32" s="76">
        <f t="shared" ref="Q32:Q50" si="10">(IF(Q$27="%w/w SAR",((Q$28*10)*$B32),IF(Q$27="%w/w DM",(((Q$28*10)*($B$28/100))*$B32),IF(Q$27="kg/t SAR",(Q$28*$B32),IF(Q$27="kg/t DM",((Q$28*($B$28/100))*$B32),IF(Q$27="mg/kg SAR",((Q$28*0.001)*$B32),IF(Q$27="mg/kg DM",(((Q$28*0.001)*($B$28/100))*$B32),0)))))))*2.5</f>
        <v>290.25</v>
      </c>
      <c r="R32" s="76">
        <f t="shared" ref="R32:U50" si="11">IF(R$27="%w/w SAR",((R$28*10)*$B32),IF(R$27="%w/w DM",(((R$28*10)*($B$28/100))*$B32),IF(R$27="kg/t SAR",(R$28*$B32),IF(R$27="kg/t DM",((R$28*($B$28/100))*$B32),IF(R$27="mg/kg SAR",((R$28*0.001)*$B32),IF(R$27="mg/kg DM",(((R$28*0.001)*($B$28/100))*$B32),0))))))</f>
        <v>0</v>
      </c>
      <c r="S32" s="76">
        <f t="shared" si="11"/>
        <v>0.54373500000000008</v>
      </c>
      <c r="T32" s="76">
        <f t="shared" si="11"/>
        <v>0</v>
      </c>
      <c r="U32" s="76">
        <f t="shared" si="11"/>
        <v>0</v>
      </c>
      <c r="AB32" s="58"/>
      <c r="AC32" s="58"/>
      <c r="AD32" s="58"/>
      <c r="AE32" s="58"/>
      <c r="AF32" s="58"/>
      <c r="AG32" s="58"/>
      <c r="AH32" s="58"/>
      <c r="AI32" s="58"/>
    </row>
    <row r="33" spans="1:35" s="71" customFormat="1" ht="13" x14ac:dyDescent="0.35">
      <c r="A33" s="13" t="str">
        <f>E8</f>
        <v>N17</v>
      </c>
      <c r="B33" s="15">
        <v>250</v>
      </c>
      <c r="C33" s="76">
        <f t="shared" si="6"/>
        <v>88.719750000000005</v>
      </c>
      <c r="D33" s="76">
        <f t="shared" si="7"/>
        <v>17.023046399999998</v>
      </c>
      <c r="E33" s="76">
        <f t="shared" si="8"/>
        <v>4.0804312500000011</v>
      </c>
      <c r="F33" s="76">
        <f t="shared" si="9"/>
        <v>6.0795958499999996</v>
      </c>
      <c r="G33" s="76">
        <f t="shared" si="5"/>
        <v>0.27960749999999995</v>
      </c>
      <c r="H33" s="76">
        <f t="shared" si="5"/>
        <v>1.1222999999999999</v>
      </c>
      <c r="I33" s="76">
        <f t="shared" si="5"/>
        <v>3.2508000000000002E-2</v>
      </c>
      <c r="J33" s="76">
        <f t="shared" si="5"/>
        <v>1.654425E-2</v>
      </c>
      <c r="K33" s="76">
        <f t="shared" si="5"/>
        <v>5.0310000000000007E-3</v>
      </c>
      <c r="L33" s="76">
        <f t="shared" si="5"/>
        <v>7.8367499999999993E-2</v>
      </c>
      <c r="M33" s="76">
        <f t="shared" si="5"/>
        <v>1.7028000000000001E-2</v>
      </c>
      <c r="N33" s="76">
        <f t="shared" si="5"/>
        <v>1654.425</v>
      </c>
      <c r="O33" s="76">
        <f t="shared" si="5"/>
        <v>42.860249999999994</v>
      </c>
      <c r="P33" s="76">
        <f t="shared" si="5"/>
        <v>0</v>
      </c>
      <c r="Q33" s="76">
        <f t="shared" si="10"/>
        <v>290.25</v>
      </c>
      <c r="R33" s="76">
        <f t="shared" si="11"/>
        <v>0</v>
      </c>
      <c r="S33" s="76">
        <f t="shared" si="11"/>
        <v>0.54373500000000008</v>
      </c>
      <c r="T33" s="76">
        <f t="shared" si="11"/>
        <v>0</v>
      </c>
      <c r="U33" s="76">
        <f t="shared" si="11"/>
        <v>0</v>
      </c>
      <c r="AB33" s="58"/>
      <c r="AC33" s="58"/>
      <c r="AD33" s="58"/>
      <c r="AE33" s="58"/>
      <c r="AF33" s="58"/>
      <c r="AG33" s="58"/>
      <c r="AH33" s="58"/>
      <c r="AI33" s="58"/>
    </row>
    <row r="34" spans="1:35" s="71" customFormat="1" ht="13" x14ac:dyDescent="0.35">
      <c r="A34" s="13" t="str">
        <f>F8</f>
        <v>BG1</v>
      </c>
      <c r="B34" s="15">
        <v>250</v>
      </c>
      <c r="C34" s="76">
        <f t="shared" si="6"/>
        <v>88.719750000000005</v>
      </c>
      <c r="D34" s="76">
        <f t="shared" si="7"/>
        <v>17.023046399999998</v>
      </c>
      <c r="E34" s="76">
        <f t="shared" si="8"/>
        <v>4.0804312500000011</v>
      </c>
      <c r="F34" s="76">
        <f t="shared" si="9"/>
        <v>6.0795958499999996</v>
      </c>
      <c r="G34" s="76">
        <f t="shared" si="5"/>
        <v>0.27960749999999995</v>
      </c>
      <c r="H34" s="76">
        <f t="shared" si="5"/>
        <v>1.1222999999999999</v>
      </c>
      <c r="I34" s="76">
        <f t="shared" si="5"/>
        <v>3.2508000000000002E-2</v>
      </c>
      <c r="J34" s="76">
        <f t="shared" si="5"/>
        <v>1.654425E-2</v>
      </c>
      <c r="K34" s="76">
        <f t="shared" si="5"/>
        <v>5.0310000000000007E-3</v>
      </c>
      <c r="L34" s="76">
        <f t="shared" si="5"/>
        <v>7.8367499999999993E-2</v>
      </c>
      <c r="M34" s="76">
        <f t="shared" si="5"/>
        <v>1.7028000000000001E-2</v>
      </c>
      <c r="N34" s="76">
        <f t="shared" si="5"/>
        <v>1654.425</v>
      </c>
      <c r="O34" s="76">
        <f t="shared" si="5"/>
        <v>42.860249999999994</v>
      </c>
      <c r="P34" s="76">
        <f t="shared" si="5"/>
        <v>0</v>
      </c>
      <c r="Q34" s="76">
        <f t="shared" si="10"/>
        <v>290.25</v>
      </c>
      <c r="R34" s="76">
        <f t="shared" si="11"/>
        <v>0</v>
      </c>
      <c r="S34" s="76">
        <f t="shared" si="11"/>
        <v>0.54373500000000008</v>
      </c>
      <c r="T34" s="76">
        <f t="shared" si="11"/>
        <v>0</v>
      </c>
      <c r="U34" s="76">
        <f t="shared" si="11"/>
        <v>0</v>
      </c>
      <c r="AB34" s="58"/>
      <c r="AC34" s="58"/>
      <c r="AD34" s="58"/>
      <c r="AE34" s="58"/>
      <c r="AF34" s="58"/>
      <c r="AG34" s="58"/>
      <c r="AH34" s="58"/>
      <c r="AI34" s="58"/>
    </row>
    <row r="35" spans="1:35" s="71" customFormat="1" ht="13" x14ac:dyDescent="0.35">
      <c r="A35" s="13" t="str">
        <f>G8</f>
        <v>BG2</v>
      </c>
      <c r="B35" s="15">
        <v>250</v>
      </c>
      <c r="C35" s="76">
        <f t="shared" si="6"/>
        <v>88.719750000000005</v>
      </c>
      <c r="D35" s="76">
        <f t="shared" si="7"/>
        <v>17.023046399999998</v>
      </c>
      <c r="E35" s="76">
        <f t="shared" si="8"/>
        <v>4.0804312500000011</v>
      </c>
      <c r="F35" s="76">
        <f t="shared" si="9"/>
        <v>6.0795958499999996</v>
      </c>
      <c r="G35" s="76">
        <f t="shared" si="5"/>
        <v>0.27960749999999995</v>
      </c>
      <c r="H35" s="76">
        <f t="shared" si="5"/>
        <v>1.1222999999999999</v>
      </c>
      <c r="I35" s="76">
        <f t="shared" si="5"/>
        <v>3.2508000000000002E-2</v>
      </c>
      <c r="J35" s="76">
        <f t="shared" si="5"/>
        <v>1.654425E-2</v>
      </c>
      <c r="K35" s="76">
        <f t="shared" si="5"/>
        <v>5.0310000000000007E-3</v>
      </c>
      <c r="L35" s="76">
        <f t="shared" si="5"/>
        <v>7.8367499999999993E-2</v>
      </c>
      <c r="M35" s="76">
        <f t="shared" si="5"/>
        <v>1.7028000000000001E-2</v>
      </c>
      <c r="N35" s="76">
        <f t="shared" si="5"/>
        <v>1654.425</v>
      </c>
      <c r="O35" s="76">
        <f t="shared" si="5"/>
        <v>42.860249999999994</v>
      </c>
      <c r="P35" s="76">
        <f t="shared" si="5"/>
        <v>0</v>
      </c>
      <c r="Q35" s="76">
        <f t="shared" si="10"/>
        <v>290.25</v>
      </c>
      <c r="R35" s="76">
        <f t="shared" si="11"/>
        <v>0</v>
      </c>
      <c r="S35" s="76">
        <f t="shared" si="11"/>
        <v>0.54373500000000008</v>
      </c>
      <c r="T35" s="76">
        <f t="shared" si="11"/>
        <v>0</v>
      </c>
      <c r="U35" s="76">
        <f t="shared" si="11"/>
        <v>0</v>
      </c>
      <c r="AB35" s="58"/>
      <c r="AC35" s="58"/>
      <c r="AD35" s="58"/>
      <c r="AE35" s="58"/>
      <c r="AF35" s="58"/>
      <c r="AG35" s="58"/>
      <c r="AH35" s="58"/>
      <c r="AI35" s="58"/>
    </row>
    <row r="36" spans="1:35" s="71" customFormat="1" ht="13" x14ac:dyDescent="0.35">
      <c r="A36" s="13" t="str">
        <f>H8</f>
        <v>BG3</v>
      </c>
      <c r="B36" s="15">
        <v>250</v>
      </c>
      <c r="C36" s="76">
        <f t="shared" si="6"/>
        <v>88.719750000000005</v>
      </c>
      <c r="D36" s="76">
        <f t="shared" si="7"/>
        <v>17.023046399999998</v>
      </c>
      <c r="E36" s="76">
        <f t="shared" si="8"/>
        <v>4.0804312500000011</v>
      </c>
      <c r="F36" s="76">
        <f t="shared" si="9"/>
        <v>6.0795958499999996</v>
      </c>
      <c r="G36" s="76">
        <f t="shared" si="5"/>
        <v>0.27960749999999995</v>
      </c>
      <c r="H36" s="76">
        <f t="shared" si="5"/>
        <v>1.1222999999999999</v>
      </c>
      <c r="I36" s="76">
        <f t="shared" si="5"/>
        <v>3.2508000000000002E-2</v>
      </c>
      <c r="J36" s="76">
        <f t="shared" si="5"/>
        <v>1.654425E-2</v>
      </c>
      <c r="K36" s="76">
        <f t="shared" si="5"/>
        <v>5.0310000000000007E-3</v>
      </c>
      <c r="L36" s="76">
        <f t="shared" si="5"/>
        <v>7.8367499999999993E-2</v>
      </c>
      <c r="M36" s="76">
        <f t="shared" si="5"/>
        <v>1.7028000000000001E-2</v>
      </c>
      <c r="N36" s="76">
        <f t="shared" si="5"/>
        <v>1654.425</v>
      </c>
      <c r="O36" s="76">
        <f t="shared" si="5"/>
        <v>42.860249999999994</v>
      </c>
      <c r="P36" s="76">
        <f t="shared" si="5"/>
        <v>0</v>
      </c>
      <c r="Q36" s="76">
        <f t="shared" si="10"/>
        <v>290.25</v>
      </c>
      <c r="R36" s="76">
        <f t="shared" si="11"/>
        <v>0</v>
      </c>
      <c r="S36" s="76">
        <f t="shared" si="11"/>
        <v>0.54373500000000008</v>
      </c>
      <c r="T36" s="76">
        <f t="shared" si="11"/>
        <v>0</v>
      </c>
      <c r="U36" s="76">
        <f t="shared" si="11"/>
        <v>0</v>
      </c>
      <c r="AB36" s="58"/>
      <c r="AC36" s="58"/>
      <c r="AD36" s="58"/>
      <c r="AE36" s="58"/>
      <c r="AF36" s="58"/>
      <c r="AG36" s="58"/>
      <c r="AH36" s="58"/>
      <c r="AI36" s="58"/>
    </row>
    <row r="37" spans="1:35" s="71" customFormat="1" ht="13" x14ac:dyDescent="0.35">
      <c r="A37" s="13" t="str">
        <f>I8</f>
        <v>BG4</v>
      </c>
      <c r="B37" s="15">
        <v>250</v>
      </c>
      <c r="C37" s="76">
        <f t="shared" si="6"/>
        <v>88.719750000000005</v>
      </c>
      <c r="D37" s="76">
        <f t="shared" si="7"/>
        <v>17.023046399999998</v>
      </c>
      <c r="E37" s="76">
        <f t="shared" si="8"/>
        <v>4.0804312500000011</v>
      </c>
      <c r="F37" s="76">
        <f t="shared" si="9"/>
        <v>6.0795958499999996</v>
      </c>
      <c r="G37" s="76">
        <f t="shared" si="5"/>
        <v>0.27960749999999995</v>
      </c>
      <c r="H37" s="76">
        <f t="shared" si="5"/>
        <v>1.1222999999999999</v>
      </c>
      <c r="I37" s="76">
        <f t="shared" si="5"/>
        <v>3.2508000000000002E-2</v>
      </c>
      <c r="J37" s="76">
        <f t="shared" si="5"/>
        <v>1.654425E-2</v>
      </c>
      <c r="K37" s="76">
        <f t="shared" si="5"/>
        <v>5.0310000000000007E-3</v>
      </c>
      <c r="L37" s="76">
        <f t="shared" si="5"/>
        <v>7.8367499999999993E-2</v>
      </c>
      <c r="M37" s="76">
        <f t="shared" si="5"/>
        <v>1.7028000000000001E-2</v>
      </c>
      <c r="N37" s="76">
        <f t="shared" si="5"/>
        <v>1654.425</v>
      </c>
      <c r="O37" s="76">
        <f t="shared" si="5"/>
        <v>42.860249999999994</v>
      </c>
      <c r="P37" s="76">
        <f t="shared" si="5"/>
        <v>0</v>
      </c>
      <c r="Q37" s="76">
        <f t="shared" si="10"/>
        <v>290.25</v>
      </c>
      <c r="R37" s="76">
        <f t="shared" si="11"/>
        <v>0</v>
      </c>
      <c r="S37" s="76">
        <f t="shared" si="11"/>
        <v>0.54373500000000008</v>
      </c>
      <c r="T37" s="76">
        <f t="shared" si="11"/>
        <v>0</v>
      </c>
      <c r="U37" s="76">
        <f t="shared" si="11"/>
        <v>0</v>
      </c>
      <c r="AB37" s="58"/>
      <c r="AC37" s="58"/>
      <c r="AD37" s="58"/>
      <c r="AE37" s="58"/>
      <c r="AF37" s="58"/>
      <c r="AG37" s="58"/>
      <c r="AH37" s="58"/>
      <c r="AI37" s="58"/>
    </row>
    <row r="38" spans="1:35" s="71" customFormat="1" ht="13" x14ac:dyDescent="0.35">
      <c r="A38" s="13" t="str">
        <f>J8</f>
        <v>BG5</v>
      </c>
      <c r="B38" s="15">
        <v>250</v>
      </c>
      <c r="C38" s="76">
        <f t="shared" si="6"/>
        <v>88.719750000000005</v>
      </c>
      <c r="D38" s="76">
        <f t="shared" si="7"/>
        <v>17.023046399999998</v>
      </c>
      <c r="E38" s="76">
        <f t="shared" si="8"/>
        <v>4.0804312500000011</v>
      </c>
      <c r="F38" s="76">
        <f t="shared" si="9"/>
        <v>6.0795958499999996</v>
      </c>
      <c r="G38" s="76">
        <f t="shared" si="5"/>
        <v>0.27960749999999995</v>
      </c>
      <c r="H38" s="76">
        <f t="shared" si="5"/>
        <v>1.1222999999999999</v>
      </c>
      <c r="I38" s="76">
        <f t="shared" si="5"/>
        <v>3.2508000000000002E-2</v>
      </c>
      <c r="J38" s="76">
        <f t="shared" si="5"/>
        <v>1.654425E-2</v>
      </c>
      <c r="K38" s="76">
        <f t="shared" si="5"/>
        <v>5.0310000000000007E-3</v>
      </c>
      <c r="L38" s="76">
        <f t="shared" si="5"/>
        <v>7.8367499999999993E-2</v>
      </c>
      <c r="M38" s="76">
        <f t="shared" si="5"/>
        <v>1.7028000000000001E-2</v>
      </c>
      <c r="N38" s="76">
        <f t="shared" si="5"/>
        <v>1654.425</v>
      </c>
      <c r="O38" s="76">
        <f t="shared" si="5"/>
        <v>42.860249999999994</v>
      </c>
      <c r="P38" s="76">
        <f t="shared" si="5"/>
        <v>0</v>
      </c>
      <c r="Q38" s="76">
        <f t="shared" si="10"/>
        <v>290.25</v>
      </c>
      <c r="R38" s="76">
        <f t="shared" si="11"/>
        <v>0</v>
      </c>
      <c r="S38" s="76">
        <f t="shared" si="11"/>
        <v>0.54373500000000008</v>
      </c>
      <c r="T38" s="76">
        <f t="shared" si="11"/>
        <v>0</v>
      </c>
      <c r="U38" s="76">
        <f t="shared" si="11"/>
        <v>0</v>
      </c>
      <c r="AB38" s="58"/>
      <c r="AC38" s="58"/>
      <c r="AD38" s="58"/>
      <c r="AE38" s="58"/>
      <c r="AF38" s="58"/>
      <c r="AG38" s="58"/>
      <c r="AH38" s="58"/>
      <c r="AI38" s="58"/>
    </row>
    <row r="39" spans="1:35" s="71" customFormat="1" ht="13" x14ac:dyDescent="0.35">
      <c r="A39" s="13" t="str">
        <f>K8</f>
        <v>Peny1</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t="str">
        <f>L8</f>
        <v>G1</v>
      </c>
      <c r="B40" s="15">
        <v>250</v>
      </c>
      <c r="C40" s="76">
        <f t="shared" si="6"/>
        <v>88.719750000000005</v>
      </c>
      <c r="D40" s="76">
        <f t="shared" si="7"/>
        <v>17.023046399999998</v>
      </c>
      <c r="E40" s="76">
        <f t="shared" si="8"/>
        <v>4.0804312500000011</v>
      </c>
      <c r="F40" s="76">
        <f t="shared" si="9"/>
        <v>6.0795958499999996</v>
      </c>
      <c r="G40" s="76">
        <f t="shared" si="5"/>
        <v>0.27960749999999995</v>
      </c>
      <c r="H40" s="76">
        <f t="shared" si="5"/>
        <v>1.1222999999999999</v>
      </c>
      <c r="I40" s="76">
        <f t="shared" si="5"/>
        <v>3.2508000000000002E-2</v>
      </c>
      <c r="J40" s="76">
        <f t="shared" si="5"/>
        <v>1.654425E-2</v>
      </c>
      <c r="K40" s="76">
        <f t="shared" si="5"/>
        <v>5.0310000000000007E-3</v>
      </c>
      <c r="L40" s="76">
        <f t="shared" si="5"/>
        <v>7.8367499999999993E-2</v>
      </c>
      <c r="M40" s="76">
        <f t="shared" si="5"/>
        <v>1.7028000000000001E-2</v>
      </c>
      <c r="N40" s="76">
        <f t="shared" si="5"/>
        <v>1654.425</v>
      </c>
      <c r="O40" s="76">
        <f t="shared" si="5"/>
        <v>42.860249999999994</v>
      </c>
      <c r="P40" s="76">
        <f t="shared" si="5"/>
        <v>0</v>
      </c>
      <c r="Q40" s="76">
        <f t="shared" si="10"/>
        <v>290.25</v>
      </c>
      <c r="R40" s="76">
        <f t="shared" si="11"/>
        <v>0</v>
      </c>
      <c r="S40" s="76">
        <f t="shared" si="11"/>
        <v>0.54373500000000008</v>
      </c>
      <c r="T40" s="76">
        <f t="shared" si="11"/>
        <v>0</v>
      </c>
      <c r="U40" s="76">
        <f t="shared" si="11"/>
        <v>0</v>
      </c>
      <c r="AB40" s="58"/>
      <c r="AC40" s="58"/>
      <c r="AD40" s="58"/>
      <c r="AE40" s="58"/>
      <c r="AF40" s="58"/>
      <c r="AG40" s="58"/>
      <c r="AH40" s="58"/>
      <c r="AI40" s="58"/>
    </row>
    <row r="41" spans="1:35" s="71" customFormat="1" ht="13" x14ac:dyDescent="0.35">
      <c r="A41" s="13" t="str">
        <f>M8</f>
        <v>G2</v>
      </c>
      <c r="B41" s="15">
        <v>250</v>
      </c>
      <c r="C41" s="76">
        <f t="shared" si="6"/>
        <v>88.719750000000005</v>
      </c>
      <c r="D41" s="76">
        <f t="shared" si="7"/>
        <v>17.023046399999998</v>
      </c>
      <c r="E41" s="76">
        <f t="shared" si="8"/>
        <v>4.0804312500000011</v>
      </c>
      <c r="F41" s="76">
        <f t="shared" si="9"/>
        <v>6.0795958499999996</v>
      </c>
      <c r="G41" s="76">
        <f t="shared" si="5"/>
        <v>0.27960749999999995</v>
      </c>
      <c r="H41" s="76">
        <f t="shared" si="5"/>
        <v>1.1222999999999999</v>
      </c>
      <c r="I41" s="76">
        <f t="shared" si="5"/>
        <v>3.2508000000000002E-2</v>
      </c>
      <c r="J41" s="76">
        <f t="shared" si="5"/>
        <v>1.654425E-2</v>
      </c>
      <c r="K41" s="76">
        <f t="shared" si="5"/>
        <v>5.0310000000000007E-3</v>
      </c>
      <c r="L41" s="76">
        <f t="shared" si="5"/>
        <v>7.8367499999999993E-2</v>
      </c>
      <c r="M41" s="76">
        <f t="shared" si="5"/>
        <v>1.7028000000000001E-2</v>
      </c>
      <c r="N41" s="76">
        <f t="shared" si="5"/>
        <v>1654.425</v>
      </c>
      <c r="O41" s="76">
        <f t="shared" si="5"/>
        <v>42.860249999999994</v>
      </c>
      <c r="P41" s="76">
        <f t="shared" si="5"/>
        <v>0</v>
      </c>
      <c r="Q41" s="76">
        <f t="shared" si="10"/>
        <v>290.25</v>
      </c>
      <c r="R41" s="76">
        <f t="shared" si="11"/>
        <v>0</v>
      </c>
      <c r="S41" s="76">
        <f t="shared" si="11"/>
        <v>0.54373500000000008</v>
      </c>
      <c r="T41" s="76">
        <f t="shared" si="11"/>
        <v>0</v>
      </c>
      <c r="U41" s="76">
        <f t="shared" si="11"/>
        <v>0</v>
      </c>
      <c r="AB41" s="58"/>
      <c r="AC41" s="58"/>
      <c r="AD41" s="58"/>
      <c r="AE41" s="58"/>
      <c r="AF41" s="58"/>
      <c r="AG41" s="58"/>
      <c r="AH41" s="58"/>
      <c r="AI41" s="58"/>
    </row>
    <row r="42" spans="1:35" s="71" customFormat="1" ht="13" x14ac:dyDescent="0.35">
      <c r="A42" s="13" t="str">
        <f>N8</f>
        <v>G3</v>
      </c>
      <c r="B42" s="15">
        <v>250</v>
      </c>
      <c r="C42" s="76">
        <f t="shared" si="6"/>
        <v>88.719750000000005</v>
      </c>
      <c r="D42" s="76">
        <f t="shared" si="7"/>
        <v>17.023046399999998</v>
      </c>
      <c r="E42" s="76">
        <f t="shared" si="8"/>
        <v>4.0804312500000011</v>
      </c>
      <c r="F42" s="76">
        <f t="shared" si="9"/>
        <v>6.0795958499999996</v>
      </c>
      <c r="G42" s="76">
        <f t="shared" si="5"/>
        <v>0.27960749999999995</v>
      </c>
      <c r="H42" s="76">
        <f t="shared" si="5"/>
        <v>1.1222999999999999</v>
      </c>
      <c r="I42" s="76">
        <f t="shared" si="5"/>
        <v>3.2508000000000002E-2</v>
      </c>
      <c r="J42" s="76">
        <f t="shared" si="5"/>
        <v>1.654425E-2</v>
      </c>
      <c r="K42" s="76">
        <f t="shared" si="5"/>
        <v>5.0310000000000007E-3</v>
      </c>
      <c r="L42" s="76">
        <f t="shared" si="5"/>
        <v>7.8367499999999993E-2</v>
      </c>
      <c r="M42" s="76">
        <f t="shared" si="5"/>
        <v>1.7028000000000001E-2</v>
      </c>
      <c r="N42" s="76">
        <f t="shared" si="5"/>
        <v>1654.425</v>
      </c>
      <c r="O42" s="76">
        <f t="shared" si="5"/>
        <v>42.860249999999994</v>
      </c>
      <c r="P42" s="76">
        <f t="shared" si="5"/>
        <v>0</v>
      </c>
      <c r="Q42" s="76">
        <f t="shared" si="10"/>
        <v>290.25</v>
      </c>
      <c r="R42" s="76">
        <f t="shared" si="11"/>
        <v>0</v>
      </c>
      <c r="S42" s="76">
        <f t="shared" si="11"/>
        <v>0.54373500000000008</v>
      </c>
      <c r="T42" s="76">
        <f t="shared" si="11"/>
        <v>0</v>
      </c>
      <c r="U42" s="76">
        <f t="shared" si="11"/>
        <v>0</v>
      </c>
      <c r="AB42" s="58"/>
      <c r="AC42" s="58"/>
      <c r="AD42" s="58"/>
      <c r="AE42" s="58"/>
      <c r="AF42" s="58"/>
      <c r="AG42" s="58"/>
      <c r="AH42" s="58"/>
      <c r="AI42" s="58"/>
    </row>
    <row r="43" spans="1:35" s="71" customFormat="1" ht="13" x14ac:dyDescent="0.35">
      <c r="A43" s="13" t="str">
        <f>O8</f>
        <v>G4A</v>
      </c>
      <c r="B43" s="15">
        <v>250</v>
      </c>
      <c r="C43" s="76">
        <f t="shared" si="6"/>
        <v>88.719750000000005</v>
      </c>
      <c r="D43" s="76">
        <f t="shared" si="7"/>
        <v>17.023046399999998</v>
      </c>
      <c r="E43" s="76">
        <f t="shared" si="8"/>
        <v>4.0804312500000011</v>
      </c>
      <c r="F43" s="76">
        <f t="shared" si="9"/>
        <v>6.0795958499999996</v>
      </c>
      <c r="G43" s="76">
        <f t="shared" si="5"/>
        <v>0.27960749999999995</v>
      </c>
      <c r="H43" s="76">
        <f t="shared" si="5"/>
        <v>1.1222999999999999</v>
      </c>
      <c r="I43" s="76">
        <f t="shared" si="5"/>
        <v>3.2508000000000002E-2</v>
      </c>
      <c r="J43" s="76">
        <f t="shared" si="5"/>
        <v>1.654425E-2</v>
      </c>
      <c r="K43" s="76">
        <f t="shared" si="5"/>
        <v>5.0310000000000007E-3</v>
      </c>
      <c r="L43" s="76">
        <f t="shared" si="5"/>
        <v>7.8367499999999993E-2</v>
      </c>
      <c r="M43" s="76">
        <f t="shared" si="5"/>
        <v>1.7028000000000001E-2</v>
      </c>
      <c r="N43" s="76">
        <f t="shared" si="5"/>
        <v>1654.425</v>
      </c>
      <c r="O43" s="76">
        <f t="shared" si="5"/>
        <v>42.860249999999994</v>
      </c>
      <c r="P43" s="76">
        <f t="shared" si="5"/>
        <v>0</v>
      </c>
      <c r="Q43" s="76">
        <f t="shared" si="10"/>
        <v>290.25</v>
      </c>
      <c r="R43" s="76">
        <f t="shared" si="11"/>
        <v>0</v>
      </c>
      <c r="S43" s="76">
        <f t="shared" si="11"/>
        <v>0.54373500000000008</v>
      </c>
      <c r="T43" s="76">
        <f t="shared" si="11"/>
        <v>0</v>
      </c>
      <c r="U43" s="76">
        <f t="shared" si="11"/>
        <v>0</v>
      </c>
      <c r="AB43" s="58"/>
      <c r="AC43" s="58"/>
      <c r="AD43" s="58"/>
      <c r="AE43" s="58"/>
      <c r="AF43" s="58"/>
      <c r="AG43" s="58"/>
      <c r="AH43" s="58"/>
      <c r="AI43" s="58"/>
    </row>
    <row r="44" spans="1:35" s="71" customFormat="1" ht="13" x14ac:dyDescent="0.35">
      <c r="A44" s="13" t="str">
        <f>P8</f>
        <v>G4B</v>
      </c>
      <c r="B44" s="15">
        <v>250</v>
      </c>
      <c r="C44" s="76">
        <f t="shared" si="6"/>
        <v>88.719750000000005</v>
      </c>
      <c r="D44" s="76">
        <f t="shared" si="7"/>
        <v>17.023046399999998</v>
      </c>
      <c r="E44" s="76">
        <f t="shared" si="8"/>
        <v>4.0804312500000011</v>
      </c>
      <c r="F44" s="76">
        <f t="shared" si="9"/>
        <v>6.0795958499999996</v>
      </c>
      <c r="G44" s="76">
        <f t="shared" si="5"/>
        <v>0.27960749999999995</v>
      </c>
      <c r="H44" s="76">
        <f t="shared" si="5"/>
        <v>1.1222999999999999</v>
      </c>
      <c r="I44" s="76">
        <f t="shared" si="5"/>
        <v>3.2508000000000002E-2</v>
      </c>
      <c r="J44" s="76">
        <f t="shared" si="5"/>
        <v>1.654425E-2</v>
      </c>
      <c r="K44" s="76">
        <f t="shared" si="5"/>
        <v>5.0310000000000007E-3</v>
      </c>
      <c r="L44" s="76">
        <f t="shared" si="5"/>
        <v>7.8367499999999993E-2</v>
      </c>
      <c r="M44" s="76">
        <f t="shared" si="5"/>
        <v>1.7028000000000001E-2</v>
      </c>
      <c r="N44" s="76">
        <f t="shared" si="5"/>
        <v>1654.425</v>
      </c>
      <c r="O44" s="76">
        <f t="shared" si="5"/>
        <v>42.860249999999994</v>
      </c>
      <c r="P44" s="76">
        <f t="shared" si="5"/>
        <v>0</v>
      </c>
      <c r="Q44" s="76">
        <f t="shared" si="10"/>
        <v>290.25</v>
      </c>
      <c r="R44" s="76">
        <f t="shared" si="11"/>
        <v>0</v>
      </c>
      <c r="S44" s="76">
        <f t="shared" si="11"/>
        <v>0.54373500000000008</v>
      </c>
      <c r="T44" s="76">
        <f t="shared" si="11"/>
        <v>0</v>
      </c>
      <c r="U44" s="76">
        <f t="shared" si="11"/>
        <v>0</v>
      </c>
      <c r="AB44" s="58"/>
      <c r="AC44" s="58"/>
      <c r="AD44" s="58"/>
      <c r="AE44" s="58"/>
      <c r="AF44" s="58"/>
      <c r="AG44" s="58"/>
      <c r="AH44" s="58"/>
      <c r="AI44" s="58"/>
    </row>
    <row r="45" spans="1:35" s="71" customFormat="1" ht="13" x14ac:dyDescent="0.35">
      <c r="A45" s="13" t="str">
        <f>Q8</f>
        <v>G5</v>
      </c>
      <c r="B45" s="15">
        <v>250</v>
      </c>
      <c r="C45" s="76">
        <f t="shared" si="6"/>
        <v>88.719750000000005</v>
      </c>
      <c r="D45" s="76">
        <f t="shared" si="7"/>
        <v>17.023046399999998</v>
      </c>
      <c r="E45" s="76">
        <f t="shared" si="8"/>
        <v>4.0804312500000011</v>
      </c>
      <c r="F45" s="76">
        <f t="shared" si="9"/>
        <v>6.0795958499999996</v>
      </c>
      <c r="G45" s="76">
        <f t="shared" si="5"/>
        <v>0.27960749999999995</v>
      </c>
      <c r="H45" s="76">
        <f t="shared" si="5"/>
        <v>1.1222999999999999</v>
      </c>
      <c r="I45" s="76">
        <f t="shared" si="5"/>
        <v>3.2508000000000002E-2</v>
      </c>
      <c r="J45" s="76">
        <f t="shared" si="5"/>
        <v>1.654425E-2</v>
      </c>
      <c r="K45" s="76">
        <f t="shared" si="5"/>
        <v>5.0310000000000007E-3</v>
      </c>
      <c r="L45" s="76">
        <f t="shared" si="5"/>
        <v>7.8367499999999993E-2</v>
      </c>
      <c r="M45" s="76">
        <f t="shared" si="5"/>
        <v>1.7028000000000001E-2</v>
      </c>
      <c r="N45" s="76">
        <f t="shared" si="5"/>
        <v>1654.425</v>
      </c>
      <c r="O45" s="76">
        <f t="shared" si="5"/>
        <v>42.860249999999994</v>
      </c>
      <c r="P45" s="76">
        <f t="shared" si="5"/>
        <v>0</v>
      </c>
      <c r="Q45" s="76">
        <f t="shared" si="10"/>
        <v>290.25</v>
      </c>
      <c r="R45" s="76">
        <f t="shared" si="11"/>
        <v>0</v>
      </c>
      <c r="S45" s="76">
        <f t="shared" si="11"/>
        <v>0.54373500000000008</v>
      </c>
      <c r="T45" s="76">
        <f t="shared" si="11"/>
        <v>0</v>
      </c>
      <c r="U45" s="76">
        <f t="shared" si="11"/>
        <v>0</v>
      </c>
      <c r="AB45" s="58"/>
      <c r="AC45" s="58"/>
      <c r="AD45" s="58"/>
      <c r="AE45" s="58"/>
      <c r="AF45" s="58"/>
      <c r="AG45" s="58"/>
      <c r="AH45" s="58"/>
      <c r="AI45" s="58"/>
    </row>
    <row r="46" spans="1:35" s="71" customFormat="1" ht="13" x14ac:dyDescent="0.35">
      <c r="A46" s="13" t="str">
        <f>R8</f>
        <v>G9</v>
      </c>
      <c r="B46" s="15">
        <v>250</v>
      </c>
      <c r="C46" s="76">
        <f t="shared" si="6"/>
        <v>88.719750000000005</v>
      </c>
      <c r="D46" s="76">
        <f t="shared" si="7"/>
        <v>17.023046399999998</v>
      </c>
      <c r="E46" s="76">
        <f t="shared" si="8"/>
        <v>4.0804312500000011</v>
      </c>
      <c r="F46" s="76">
        <f t="shared" si="9"/>
        <v>6.0795958499999996</v>
      </c>
      <c r="G46" s="76">
        <f t="shared" si="5"/>
        <v>0.27960749999999995</v>
      </c>
      <c r="H46" s="76">
        <f t="shared" si="5"/>
        <v>1.1222999999999999</v>
      </c>
      <c r="I46" s="76">
        <f t="shared" si="5"/>
        <v>3.2508000000000002E-2</v>
      </c>
      <c r="J46" s="76">
        <f t="shared" si="5"/>
        <v>1.654425E-2</v>
      </c>
      <c r="K46" s="76">
        <f t="shared" si="5"/>
        <v>5.0310000000000007E-3</v>
      </c>
      <c r="L46" s="76">
        <f t="shared" si="5"/>
        <v>7.8367499999999993E-2</v>
      </c>
      <c r="M46" s="76">
        <f t="shared" si="5"/>
        <v>1.7028000000000001E-2</v>
      </c>
      <c r="N46" s="76">
        <f t="shared" si="5"/>
        <v>1654.425</v>
      </c>
      <c r="O46" s="76">
        <f t="shared" si="5"/>
        <v>42.860249999999994</v>
      </c>
      <c r="P46" s="76">
        <f t="shared" si="5"/>
        <v>0</v>
      </c>
      <c r="Q46" s="76">
        <f t="shared" si="10"/>
        <v>290.25</v>
      </c>
      <c r="R46" s="76">
        <f t="shared" si="11"/>
        <v>0</v>
      </c>
      <c r="S46" s="76">
        <f t="shared" si="11"/>
        <v>0.54373500000000008</v>
      </c>
      <c r="T46" s="76">
        <f t="shared" si="11"/>
        <v>0</v>
      </c>
      <c r="U46" s="76">
        <f t="shared" si="11"/>
        <v>0</v>
      </c>
      <c r="AB46" s="58"/>
      <c r="AC46" s="58"/>
      <c r="AD46" s="58"/>
      <c r="AE46" s="58"/>
      <c r="AF46" s="58"/>
      <c r="AG46" s="58"/>
      <c r="AH46" s="58"/>
      <c r="AI46" s="58"/>
    </row>
    <row r="47" spans="1:35" s="71" customFormat="1" ht="13" x14ac:dyDescent="0.35">
      <c r="A47" s="13" t="str">
        <f>S8</f>
        <v>G12</v>
      </c>
      <c r="B47" s="15">
        <v>250</v>
      </c>
      <c r="C47" s="76">
        <f t="shared" si="6"/>
        <v>88.719750000000005</v>
      </c>
      <c r="D47" s="76">
        <f t="shared" si="7"/>
        <v>17.023046399999998</v>
      </c>
      <c r="E47" s="76">
        <f t="shared" si="8"/>
        <v>4.0804312500000011</v>
      </c>
      <c r="F47" s="76">
        <f t="shared" si="9"/>
        <v>6.0795958499999996</v>
      </c>
      <c r="G47" s="76">
        <f t="shared" ref="G47:P50" si="12">IF(G$27="%w/w SAR",((G$28*10)*$B47),IF(G$27="%w/w DM",(((G$28*10)*($B$28/100))*$B47),IF(G$27="kg/t SAR",(G$28*$B47),IF(G$27="kg/t DM",((G$28*($B$28/100))*$B47),IF(G$27="mg/kg SAR",((G$28*0.001)*$B47),IF(G$27="mg/kg DM",(((G$28*0.001)*($B$28/100))*$B47),0))))))</f>
        <v>0.27960749999999995</v>
      </c>
      <c r="H47" s="76">
        <f t="shared" si="12"/>
        <v>1.1222999999999999</v>
      </c>
      <c r="I47" s="76">
        <f t="shared" si="12"/>
        <v>3.2508000000000002E-2</v>
      </c>
      <c r="J47" s="76">
        <f t="shared" si="12"/>
        <v>1.654425E-2</v>
      </c>
      <c r="K47" s="76">
        <f t="shared" si="12"/>
        <v>5.0310000000000007E-3</v>
      </c>
      <c r="L47" s="76">
        <f t="shared" si="12"/>
        <v>7.8367499999999993E-2</v>
      </c>
      <c r="M47" s="76">
        <f t="shared" si="12"/>
        <v>1.7028000000000001E-2</v>
      </c>
      <c r="N47" s="76">
        <f t="shared" si="12"/>
        <v>1654.425</v>
      </c>
      <c r="O47" s="76">
        <f t="shared" si="12"/>
        <v>42.860249999999994</v>
      </c>
      <c r="P47" s="76">
        <f t="shared" si="12"/>
        <v>0</v>
      </c>
      <c r="Q47" s="76">
        <f t="shared" si="10"/>
        <v>290.25</v>
      </c>
      <c r="R47" s="76">
        <f t="shared" si="11"/>
        <v>0</v>
      </c>
      <c r="S47" s="76">
        <f t="shared" si="11"/>
        <v>0.54373500000000008</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str">
        <f>L16&amp;" I "&amp;(VLOOKUP(L14,Table245811[],6,FALSE))</f>
        <v>Medium/Clay I Grass</v>
      </c>
      <c r="L58" s="13" t="str">
        <f>M16&amp;" I "&amp;(VLOOKUP(M14,Table245811[],6,FALSE))</f>
        <v>Medium/Clay I Grass</v>
      </c>
      <c r="M58" s="13" t="str">
        <f>N16&amp;" I "&amp;(VLOOKUP(N14,Table245811[],6,FALSE))</f>
        <v>Medium/Clay I Grass</v>
      </c>
      <c r="N58" s="13" t="str">
        <f>O16&amp;" I "&amp;(VLOOKUP(O14,Table245811[],6,FALSE))</f>
        <v>Medium/Clay I Grass</v>
      </c>
      <c r="O58" s="13" t="str">
        <f>P16&amp;" I "&amp;(VLOOKUP(P14,Table245811[],6,FALSE))</f>
        <v>Medium/Clay I Grass</v>
      </c>
      <c r="P58" s="13" t="str">
        <f>Q16&amp;" I "&amp;(VLOOKUP(Q14,Table245811[],6,FALSE))</f>
        <v>Medium/Clay I Grass</v>
      </c>
      <c r="Q58" s="13" t="str">
        <f>R16&amp;" I "&amp;(VLOOKUP(R14,Table245811[],6,FALSE))</f>
        <v>Medium/Clay I Grass</v>
      </c>
      <c r="R58" s="13" t="str">
        <f>S16&amp;" I "&amp;(VLOOKUP(S14,Table245811[],6,FALSE))</f>
        <v>Medium/Clay I Grass</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f>VLOOKUP(L$14,Table245811[],5,FALSE)</f>
        <v>6.2</v>
      </c>
      <c r="L59" s="75">
        <f>VLOOKUP(M$14,Table245811[],5,FALSE)</f>
        <v>6.2</v>
      </c>
      <c r="M59" s="75">
        <f>VLOOKUP(N$14,Table245811[],5,FALSE)</f>
        <v>6.2</v>
      </c>
      <c r="N59" s="75">
        <f>VLOOKUP(O$14,Table245811[],5,FALSE)</f>
        <v>6.2</v>
      </c>
      <c r="O59" s="75">
        <f>VLOOKUP(P$14,Table245811[],5,FALSE)</f>
        <v>6.2</v>
      </c>
      <c r="P59" s="75">
        <f>VLOOKUP(Q$14,Table245811[],5,FALSE)</f>
        <v>6.2</v>
      </c>
      <c r="Q59" s="75">
        <f>VLOOKUP(R$14,Table245811[],5,FALSE)</f>
        <v>6.2</v>
      </c>
      <c r="R59" s="75">
        <f>VLOOKUP(S$14,Table245811[],5,FALSE)</f>
        <v>6.2</v>
      </c>
      <c r="S59" s="75" t="e">
        <f>VLOOKUP(T$14,Table245811[],5,FALSE)</f>
        <v>#N/A</v>
      </c>
      <c r="T59" s="75" t="e">
        <f>VLOOKUP(U$14,Table245811[],5,FALSE)</f>
        <v>#N/A</v>
      </c>
      <c r="U59" s="75" t="e">
        <f>VLOOKUP(V$14,Table245811[],5,FALSE)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0</v>
      </c>
      <c r="K62" s="76">
        <f>B40</f>
        <v>250</v>
      </c>
      <c r="L62" s="76">
        <f>B41</f>
        <v>250</v>
      </c>
      <c r="M62" s="76">
        <f>B42</f>
        <v>250</v>
      </c>
      <c r="N62" s="76">
        <f>B43</f>
        <v>250</v>
      </c>
      <c r="O62" s="76">
        <f>B44</f>
        <v>250</v>
      </c>
      <c r="P62" s="76">
        <f>B45</f>
        <v>250</v>
      </c>
      <c r="Q62" s="76">
        <f>B46</f>
        <v>250</v>
      </c>
      <c r="R62" s="76">
        <f>B47</f>
        <v>250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10" zoomScale="90" zoomScaleNormal="90" workbookViewId="0">
      <selection activeCell="C47" sqref="C4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Bryngwyn!C1:D1</f>
        <v>PAN-020670</v>
      </c>
      <c r="D1" s="143"/>
      <c r="E1" s="92" t="s">
        <v>45</v>
      </c>
      <c r="F1" s="38">
        <f>Bryngwyn!F1</f>
        <v>34</v>
      </c>
      <c r="G1" s="121" t="s">
        <v>43</v>
      </c>
      <c r="H1" s="122"/>
      <c r="I1" s="117">
        <v>7.1</v>
      </c>
      <c r="J1" s="120" t="s">
        <v>153</v>
      </c>
      <c r="K1" s="120"/>
      <c r="L1" s="96">
        <v>332</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0.77600000000000002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4.2783505154639174</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20.137030875000001</v>
      </c>
      <c r="D18" s="16">
        <f>$D32</f>
        <v>20.137030875000001</v>
      </c>
      <c r="E18" s="16">
        <f>$D33</f>
        <v>20.137030875000001</v>
      </c>
      <c r="F18" s="16">
        <f>$D34</f>
        <v>20.137030875000001</v>
      </c>
      <c r="G18" s="16">
        <f>$D35</f>
        <v>20.137030875000001</v>
      </c>
      <c r="H18" s="16">
        <f>$D36</f>
        <v>20.137030875000001</v>
      </c>
      <c r="I18" s="16">
        <f>$D37</f>
        <v>20.137030875000001</v>
      </c>
      <c r="J18" s="16">
        <f>$D38</f>
        <v>20.137030875000001</v>
      </c>
      <c r="K18" s="16">
        <f>$D39</f>
        <v>20.137030875000001</v>
      </c>
      <c r="L18" s="16">
        <f>$D40</f>
        <v>20.137030875000001</v>
      </c>
      <c r="M18" s="16">
        <f>$D41</f>
        <v>20.137030875000001</v>
      </c>
      <c r="N18" s="16">
        <f>$D42</f>
        <v>20.137030875000001</v>
      </c>
      <c r="O18" s="16">
        <f>$D43</f>
        <v>20.137030875000001</v>
      </c>
      <c r="P18" s="16">
        <f>$D44</f>
        <v>20.137030875000001</v>
      </c>
      <c r="Q18" s="16">
        <f>$D45</f>
        <v>20.137030875000001</v>
      </c>
      <c r="R18" s="16">
        <f>$D46</f>
        <v>20.137030875000001</v>
      </c>
      <c r="S18" s="16">
        <f>$D47</f>
        <v>20.137030875000001</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-44.462969124999994</v>
      </c>
      <c r="D19" s="16">
        <f t="shared" ref="D19:V19" si="1">D18-D17</f>
        <v>-44.462969124999994</v>
      </c>
      <c r="E19" s="16">
        <f t="shared" si="1"/>
        <v>-44.462969124999994</v>
      </c>
      <c r="F19" s="16">
        <f t="shared" si="1"/>
        <v>-44.462969124999994</v>
      </c>
      <c r="G19" s="16">
        <f t="shared" si="1"/>
        <v>-44.462969124999994</v>
      </c>
      <c r="H19" s="16">
        <f t="shared" si="1"/>
        <v>-44.462969124999994</v>
      </c>
      <c r="I19" s="16">
        <f t="shared" si="1"/>
        <v>-44.462969124999994</v>
      </c>
      <c r="J19" s="16">
        <f t="shared" si="1"/>
        <v>-44.462969124999994</v>
      </c>
      <c r="K19" s="16">
        <f t="shared" si="1"/>
        <v>-44.462969124999994</v>
      </c>
      <c r="L19" s="16">
        <f t="shared" si="1"/>
        <v>-44.462969124999994</v>
      </c>
      <c r="M19" s="16">
        <f t="shared" si="1"/>
        <v>-44.462969124999994</v>
      </c>
      <c r="N19" s="16">
        <f t="shared" si="1"/>
        <v>-44.462969124999994</v>
      </c>
      <c r="O19" s="16">
        <f t="shared" si="1"/>
        <v>-44.462969124999994</v>
      </c>
      <c r="P19" s="16">
        <f t="shared" si="1"/>
        <v>-44.462969124999994</v>
      </c>
      <c r="Q19" s="16">
        <f t="shared" si="1"/>
        <v>-44.462969124999994</v>
      </c>
      <c r="R19" s="16">
        <f t="shared" si="1"/>
        <v>-44.462969124999994</v>
      </c>
      <c r="S19" s="16">
        <f t="shared" si="1"/>
        <v>-44.462969124999994</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2.5709277500000001</v>
      </c>
      <c r="D22" s="16">
        <f>$E32</f>
        <v>2.5709277500000001</v>
      </c>
      <c r="E22" s="16">
        <f>$E33</f>
        <v>2.5709277500000001</v>
      </c>
      <c r="F22" s="16">
        <f>$E34</f>
        <v>2.5709277500000001</v>
      </c>
      <c r="G22" s="16">
        <f>$E35</f>
        <v>2.5709277500000001</v>
      </c>
      <c r="H22" s="16">
        <f>$E36</f>
        <v>2.5709277500000001</v>
      </c>
      <c r="I22" s="16">
        <f>$E37</f>
        <v>2.5709277500000001</v>
      </c>
      <c r="J22" s="16">
        <f>$E38</f>
        <v>2.5709277500000001</v>
      </c>
      <c r="K22" s="16">
        <f>$E39</f>
        <v>2.5709277500000001</v>
      </c>
      <c r="L22" s="16">
        <f>$E40</f>
        <v>2.5709277500000001</v>
      </c>
      <c r="M22" s="16">
        <f>$E41</f>
        <v>2.5709277500000001</v>
      </c>
      <c r="N22" s="16">
        <f>$E42</f>
        <v>2.5709277500000001</v>
      </c>
      <c r="O22" s="16">
        <f>$E43</f>
        <v>2.5709277500000001</v>
      </c>
      <c r="P22" s="16">
        <f>$E44</f>
        <v>2.5709277500000001</v>
      </c>
      <c r="Q22" s="16">
        <f>$E45</f>
        <v>2.5709277500000001</v>
      </c>
      <c r="R22" s="16">
        <f>$E46</f>
        <v>2.5709277500000001</v>
      </c>
      <c r="S22" s="16">
        <f>$E47</f>
        <v>2.5709277500000001</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-225.42907224999999</v>
      </c>
      <c r="D23" s="16">
        <f t="shared" ref="D23:V23" si="3">D22-D21</f>
        <v>-225.42907224999999</v>
      </c>
      <c r="E23" s="16">
        <f t="shared" si="3"/>
        <v>-225.42907224999999</v>
      </c>
      <c r="F23" s="16">
        <f t="shared" si="3"/>
        <v>-225.42907224999999</v>
      </c>
      <c r="G23" s="16">
        <f t="shared" si="3"/>
        <v>-225.42907224999999</v>
      </c>
      <c r="H23" s="16">
        <f t="shared" si="3"/>
        <v>-225.42907224999999</v>
      </c>
      <c r="I23" s="16">
        <f t="shared" si="3"/>
        <v>-225.42907224999999</v>
      </c>
      <c r="J23" s="16">
        <f t="shared" si="3"/>
        <v>-225.42907224999999</v>
      </c>
      <c r="K23" s="16">
        <f t="shared" si="3"/>
        <v>-225.42907224999999</v>
      </c>
      <c r="L23" s="16">
        <f t="shared" si="3"/>
        <v>-225.42907224999999</v>
      </c>
      <c r="M23" s="16">
        <f t="shared" si="3"/>
        <v>-225.42907224999999</v>
      </c>
      <c r="N23" s="16">
        <f t="shared" si="3"/>
        <v>-225.42907224999999</v>
      </c>
      <c r="O23" s="16">
        <f t="shared" si="3"/>
        <v>-225.42907224999999</v>
      </c>
      <c r="P23" s="16">
        <f t="shared" si="3"/>
        <v>-225.42907224999999</v>
      </c>
      <c r="Q23" s="16">
        <f t="shared" si="3"/>
        <v>-225.42907224999999</v>
      </c>
      <c r="R23" s="16">
        <f t="shared" si="3"/>
        <v>-225.42907224999999</v>
      </c>
      <c r="S23" s="16">
        <f t="shared" si="3"/>
        <v>-225.42907224999999</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6.01</v>
      </c>
      <c r="C28" s="15">
        <v>0.77600000000000002</v>
      </c>
      <c r="D28" s="15">
        <v>0.11700000000000001</v>
      </c>
      <c r="E28" s="15">
        <v>2.8400000000000002E-2</v>
      </c>
      <c r="F28" s="15">
        <v>761</v>
      </c>
      <c r="G28" s="15">
        <v>16.2</v>
      </c>
      <c r="H28" s="15">
        <v>212</v>
      </c>
      <c r="I28" s="15">
        <v>45</v>
      </c>
      <c r="J28" s="15">
        <v>1.37</v>
      </c>
      <c r="K28" s="15">
        <v>0.34</v>
      </c>
      <c r="L28" s="15">
        <v>30.6</v>
      </c>
      <c r="M28" s="15">
        <v>15.8</v>
      </c>
      <c r="N28" s="15">
        <v>2360</v>
      </c>
      <c r="O28" s="15">
        <v>481000</v>
      </c>
      <c r="P28" s="15"/>
      <c r="Q28" s="15">
        <v>1970</v>
      </c>
      <c r="R28" s="15"/>
      <c r="S28" s="15">
        <v>84.2</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125</v>
      </c>
      <c r="C31" s="76">
        <f>IF(C$27="%w/w SAR",((C$28*10)*$B31),IF(C$27="%w/w DM",(((C$28*10)*($B$28/100))*$B31),IF(C$27="kg/t SAR",(C$28*$B31),IF(C$27="kg/t DM",((C$28*($B$28/100))*$B31),IF(C$27="mg/kg SAR",((C$28*0.001)*$B31),IF(C$27="mg/kg DM",(((C$28*0.001)*($B$28/100))*$B31),0))))))</f>
        <v>58.297000000000004</v>
      </c>
      <c r="D31" s="76">
        <f>(IF(D$27="%w/w SAR",((D$28*10)*$B31),IF(D$27="%w/w DM",(((D$28*10)*($B$28/100))*$B31),IF(D$27="kg/t SAR",(D$28*$B31),IF(D$27="kg/t DM",((D$28*($B$28/100))*$B31),IF(D$27="mg/kg SAR",((D$28*0.001)*$B31),IF(D$27="mg/kg DM",(((D$28*0.001)*($B$28/100))*$B31),"0")))))))*2.291</f>
        <v>20.137030875000001</v>
      </c>
      <c r="E31" s="76">
        <f>(IF(E$27="%w/w SAR",((E$28*10)*$B31),IF(E$27="%w/w DM",(((E$28*10)*($B$28/100))*$B31),IF(E$27="kg/t SAR",(E$28*$B31),IF(E$27="kg/t DM",((E$28*($B$28/100))*$B31),IF(E$27="mg/kg SAR",((E$28*0.001)*$B31),IF(E$27="mg/kg DM",(((E$28*0.001)*($B$28/100))*$B31),"0")))))))*1.205</f>
        <v>2.5709277500000001</v>
      </c>
      <c r="F31" s="76">
        <f>(IF(F$27="%w/w SAR",((F$28*10)*$B31),IF(F$27="%w/w DM",(((F$28*10)*($B$28/100))*$B31),IF(F$27="kg/t SAR",(F$28*$B31),IF(F$27="kg/t DM",((F$28*($B$28/100))*$B31),IF(F$27="mg/kg SAR",((F$28*0.001)*$B31),IF(F$27="mg/kg DM",(((F$28*0.001)*($B$28/100))*$B31),"0")))))))*1.658</f>
        <v>9.4788067250000001</v>
      </c>
      <c r="G31" s="76">
        <f t="shared" ref="G31:P46" si="5">IF(G$27="%w/w SAR",((G$28*10)*$B31),IF(G$27="%w/w DM",(((G$28*10)*($B$28/100))*$B31),IF(G$27="kg/t SAR",(G$28*$B31),IF(G$27="kg/t DM",((G$28*($B$28/100))*$B31),IF(G$27="mg/kg SAR",((G$28*0.001)*$B31),IF(G$27="mg/kg DM",(((G$28*0.001)*($B$28/100))*$B31),0))))))</f>
        <v>0.12170249999999999</v>
      </c>
      <c r="H31" s="76">
        <f t="shared" si="5"/>
        <v>1.5926499999999999</v>
      </c>
      <c r="I31" s="76">
        <f t="shared" si="5"/>
        <v>0.33806249999999999</v>
      </c>
      <c r="J31" s="76">
        <f t="shared" si="5"/>
        <v>1.0292125000000001E-2</v>
      </c>
      <c r="K31" s="76">
        <f t="shared" si="5"/>
        <v>2.5542500000000001E-3</v>
      </c>
      <c r="L31" s="76">
        <f t="shared" si="5"/>
        <v>0.22988250000000002</v>
      </c>
      <c r="M31" s="76">
        <f t="shared" si="5"/>
        <v>0.11869750000000001</v>
      </c>
      <c r="N31" s="76">
        <f t="shared" si="5"/>
        <v>17.729499999999998</v>
      </c>
      <c r="O31" s="76">
        <f t="shared" si="5"/>
        <v>3613.5125000000003</v>
      </c>
      <c r="P31" s="76">
        <f t="shared" si="5"/>
        <v>0</v>
      </c>
      <c r="Q31" s="76">
        <f>(IF(Q$27="%w/w SAR",((Q$28*10)*$B31),IF(Q$27="%w/w DM",(((Q$28*10)*($B$28/100))*$B31),IF(Q$27="kg/t SAR",(Q$28*$B31),IF(Q$27="kg/t DM",((Q$28*($B$28/100))*$B31),IF(Q$27="mg/kg SAR",((Q$28*0.001)*$B31),IF(Q$27="mg/kg DM",(((Q$28*0.001)*($B$28/100))*$B31),0)))))))*2.5</f>
        <v>36.999062500000001</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0.63255250000000007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125</v>
      </c>
      <c r="C32" s="76">
        <f t="shared" ref="C32:C50" si="6">IF(C$27="%w/w SAR",((C$28*10)*$B32),IF(C$27="%w/w DM",(((C$28*10)*($B$28/100))*$B32),IF(C$27="kg/t SAR",(C$28*$B32),IF(C$27="kg/t DM",((C$28*($B$28/100))*$B32),IF(C$27="mg/kg SAR",((C$28*0.001)*$B32),IF(C$27="mg/kg DM",(((C$28*0.001)*($B$28/100))*$B32),0))))))</f>
        <v>58.297000000000004</v>
      </c>
      <c r="D32" s="76">
        <f t="shared" ref="D32:D50" si="7">(IF(D$27="%w/w SAR",((D$28*10)*$B32),IF(D$27="%w/w DM",(((D$28*10)*($B$28/100))*$B32),IF(D$27="kg/t SAR",(D$28*$B32),IF(D$27="kg/t DM",((D$28*($B$28/100))*$B32),IF(D$27="mg/kg SAR",((D$28*0.001)*$B32),IF(D$27="mg/kg DM",(((D$28*0.001)*($B$28/100))*$B32),"0")))))))*2.291</f>
        <v>20.137030875000001</v>
      </c>
      <c r="E32" s="76">
        <f t="shared" ref="E32:E50" si="8">(IF(E$27="%w/w SAR",((E$28*10)*$B32),IF(E$27="%w/w DM",(((E$28*10)*($B$28/100))*$B32),IF(E$27="kg/t SAR",(E$28*$B32),IF(E$27="kg/t DM",((E$28*($B$28/100))*$B32),IF(E$27="mg/kg SAR",((E$28*0.001)*$B32),IF(E$27="mg/kg DM",(((E$28*0.001)*($B$28/100))*$B32),"0")))))))*1.205</f>
        <v>2.5709277500000001</v>
      </c>
      <c r="F32" s="76">
        <f t="shared" ref="F32:F50" si="9">(IF(F$27="%w/w SAR",((F$28*10)*$B32),IF(F$27="%w/w DM",(((F$28*10)*($B$28/100))*$B32),IF(F$27="kg/t SAR",(F$28*$B32),IF(F$27="kg/t DM",((F$28*($B$28/100))*$B32),IF(F$27="mg/kg SAR",((F$28*0.001)*$B32),IF(F$27="mg/kg DM",(((F$28*0.001)*($B$28/100))*$B32),"0")))))))*1.658</f>
        <v>9.4788067250000001</v>
      </c>
      <c r="G32" s="76">
        <f t="shared" si="5"/>
        <v>0.12170249999999999</v>
      </c>
      <c r="H32" s="76">
        <f t="shared" si="5"/>
        <v>1.5926499999999999</v>
      </c>
      <c r="I32" s="76">
        <f t="shared" si="5"/>
        <v>0.33806249999999999</v>
      </c>
      <c r="J32" s="76">
        <f t="shared" si="5"/>
        <v>1.0292125000000001E-2</v>
      </c>
      <c r="K32" s="76">
        <f t="shared" si="5"/>
        <v>2.5542500000000001E-3</v>
      </c>
      <c r="L32" s="76">
        <f t="shared" si="5"/>
        <v>0.22988250000000002</v>
      </c>
      <c r="M32" s="76">
        <f t="shared" si="5"/>
        <v>0.11869750000000001</v>
      </c>
      <c r="N32" s="76">
        <f t="shared" si="5"/>
        <v>17.729499999999998</v>
      </c>
      <c r="O32" s="76">
        <f t="shared" si="5"/>
        <v>3613.5125000000003</v>
      </c>
      <c r="P32" s="76">
        <f t="shared" si="5"/>
        <v>0</v>
      </c>
      <c r="Q32" s="76">
        <f t="shared" ref="Q32:Q50" si="10">(IF(Q$27="%w/w SAR",((Q$28*10)*$B32),IF(Q$27="%w/w DM",(((Q$28*10)*($B$28/100))*$B32),IF(Q$27="kg/t SAR",(Q$28*$B32),IF(Q$27="kg/t DM",((Q$28*($B$28/100))*$B32),IF(Q$27="mg/kg SAR",((Q$28*0.001)*$B32),IF(Q$27="mg/kg DM",(((Q$28*0.001)*($B$28/100))*$B32),0)))))))*2.5</f>
        <v>36.999062500000001</v>
      </c>
      <c r="R32" s="76">
        <f t="shared" ref="R32:U50" si="11">IF(R$27="%w/w SAR",((R$28*10)*$B32),IF(R$27="%w/w DM",(((R$28*10)*($B$28/100))*$B32),IF(R$27="kg/t SAR",(R$28*$B32),IF(R$27="kg/t DM",((R$28*($B$28/100))*$B32),IF(R$27="mg/kg SAR",((R$28*0.001)*$B32),IF(R$27="mg/kg DM",(((R$28*0.001)*($B$28/100))*$B32),0))))))</f>
        <v>0</v>
      </c>
      <c r="S32" s="76">
        <f t="shared" si="11"/>
        <v>0.63255250000000007</v>
      </c>
      <c r="T32" s="76">
        <f t="shared" si="11"/>
        <v>0</v>
      </c>
      <c r="U32" s="76">
        <f t="shared" si="11"/>
        <v>0</v>
      </c>
      <c r="AB32" s="58"/>
      <c r="AC32" s="58"/>
      <c r="AD32" s="58"/>
      <c r="AE32" s="58"/>
      <c r="AF32" s="58"/>
      <c r="AG32" s="58"/>
      <c r="AH32" s="58"/>
      <c r="AI32" s="58"/>
    </row>
    <row r="33" spans="1:35" s="71" customFormat="1" ht="13" x14ac:dyDescent="0.35">
      <c r="A33" s="13" t="str">
        <f>E8</f>
        <v>N17</v>
      </c>
      <c r="B33" s="15">
        <v>125</v>
      </c>
      <c r="C33" s="76">
        <f t="shared" si="6"/>
        <v>58.297000000000004</v>
      </c>
      <c r="D33" s="76">
        <f t="shared" si="7"/>
        <v>20.137030875000001</v>
      </c>
      <c r="E33" s="76">
        <f t="shared" si="8"/>
        <v>2.5709277500000001</v>
      </c>
      <c r="F33" s="76">
        <f t="shared" si="9"/>
        <v>9.4788067250000001</v>
      </c>
      <c r="G33" s="76">
        <f t="shared" si="5"/>
        <v>0.12170249999999999</v>
      </c>
      <c r="H33" s="76">
        <f t="shared" si="5"/>
        <v>1.5926499999999999</v>
      </c>
      <c r="I33" s="76">
        <f t="shared" si="5"/>
        <v>0.33806249999999999</v>
      </c>
      <c r="J33" s="76">
        <f t="shared" si="5"/>
        <v>1.0292125000000001E-2</v>
      </c>
      <c r="K33" s="76">
        <f t="shared" si="5"/>
        <v>2.5542500000000001E-3</v>
      </c>
      <c r="L33" s="76">
        <f t="shared" si="5"/>
        <v>0.22988250000000002</v>
      </c>
      <c r="M33" s="76">
        <f t="shared" si="5"/>
        <v>0.11869750000000001</v>
      </c>
      <c r="N33" s="76">
        <f t="shared" si="5"/>
        <v>17.729499999999998</v>
      </c>
      <c r="O33" s="76">
        <f t="shared" si="5"/>
        <v>3613.5125000000003</v>
      </c>
      <c r="P33" s="76">
        <f t="shared" si="5"/>
        <v>0</v>
      </c>
      <c r="Q33" s="76">
        <f t="shared" si="10"/>
        <v>36.999062500000001</v>
      </c>
      <c r="R33" s="76">
        <f t="shared" si="11"/>
        <v>0</v>
      </c>
      <c r="S33" s="76">
        <f t="shared" si="11"/>
        <v>0.63255250000000007</v>
      </c>
      <c r="T33" s="76">
        <f t="shared" si="11"/>
        <v>0</v>
      </c>
      <c r="U33" s="76">
        <f t="shared" si="11"/>
        <v>0</v>
      </c>
      <c r="AB33" s="58"/>
      <c r="AC33" s="58"/>
      <c r="AD33" s="58"/>
      <c r="AE33" s="58"/>
      <c r="AF33" s="58"/>
      <c r="AG33" s="58"/>
      <c r="AH33" s="58"/>
      <c r="AI33" s="58"/>
    </row>
    <row r="34" spans="1:35" s="71" customFormat="1" ht="13" x14ac:dyDescent="0.35">
      <c r="A34" s="13" t="str">
        <f>F8</f>
        <v>BG1</v>
      </c>
      <c r="B34" s="15">
        <v>125</v>
      </c>
      <c r="C34" s="76">
        <f t="shared" si="6"/>
        <v>58.297000000000004</v>
      </c>
      <c r="D34" s="76">
        <f t="shared" si="7"/>
        <v>20.137030875000001</v>
      </c>
      <c r="E34" s="76">
        <f t="shared" si="8"/>
        <v>2.5709277500000001</v>
      </c>
      <c r="F34" s="76">
        <f t="shared" si="9"/>
        <v>9.4788067250000001</v>
      </c>
      <c r="G34" s="76">
        <f t="shared" si="5"/>
        <v>0.12170249999999999</v>
      </c>
      <c r="H34" s="76">
        <f t="shared" si="5"/>
        <v>1.5926499999999999</v>
      </c>
      <c r="I34" s="76">
        <f t="shared" si="5"/>
        <v>0.33806249999999999</v>
      </c>
      <c r="J34" s="76">
        <f t="shared" si="5"/>
        <v>1.0292125000000001E-2</v>
      </c>
      <c r="K34" s="76">
        <f t="shared" si="5"/>
        <v>2.5542500000000001E-3</v>
      </c>
      <c r="L34" s="76">
        <f t="shared" si="5"/>
        <v>0.22988250000000002</v>
      </c>
      <c r="M34" s="76">
        <f t="shared" si="5"/>
        <v>0.11869750000000001</v>
      </c>
      <c r="N34" s="76">
        <f t="shared" si="5"/>
        <v>17.729499999999998</v>
      </c>
      <c r="O34" s="76">
        <f t="shared" si="5"/>
        <v>3613.5125000000003</v>
      </c>
      <c r="P34" s="76">
        <f t="shared" si="5"/>
        <v>0</v>
      </c>
      <c r="Q34" s="76">
        <f t="shared" si="10"/>
        <v>36.999062500000001</v>
      </c>
      <c r="R34" s="76">
        <f t="shared" si="11"/>
        <v>0</v>
      </c>
      <c r="S34" s="76">
        <f t="shared" si="11"/>
        <v>0.63255250000000007</v>
      </c>
      <c r="T34" s="76">
        <f t="shared" si="11"/>
        <v>0</v>
      </c>
      <c r="U34" s="76">
        <f t="shared" si="11"/>
        <v>0</v>
      </c>
      <c r="AB34" s="58"/>
      <c r="AC34" s="58"/>
      <c r="AD34" s="58"/>
      <c r="AE34" s="58"/>
      <c r="AF34" s="58"/>
      <c r="AG34" s="58"/>
      <c r="AH34" s="58"/>
      <c r="AI34" s="58"/>
    </row>
    <row r="35" spans="1:35" s="71" customFormat="1" ht="13" x14ac:dyDescent="0.35">
      <c r="A35" s="13" t="str">
        <f>G8</f>
        <v>BG2</v>
      </c>
      <c r="B35" s="15">
        <v>125</v>
      </c>
      <c r="C35" s="76">
        <f t="shared" si="6"/>
        <v>58.297000000000004</v>
      </c>
      <c r="D35" s="76">
        <f t="shared" si="7"/>
        <v>20.137030875000001</v>
      </c>
      <c r="E35" s="76">
        <f t="shared" si="8"/>
        <v>2.5709277500000001</v>
      </c>
      <c r="F35" s="76">
        <f t="shared" si="9"/>
        <v>9.4788067250000001</v>
      </c>
      <c r="G35" s="76">
        <f t="shared" si="5"/>
        <v>0.12170249999999999</v>
      </c>
      <c r="H35" s="76">
        <f t="shared" si="5"/>
        <v>1.5926499999999999</v>
      </c>
      <c r="I35" s="76">
        <f t="shared" si="5"/>
        <v>0.33806249999999999</v>
      </c>
      <c r="J35" s="76">
        <f t="shared" si="5"/>
        <v>1.0292125000000001E-2</v>
      </c>
      <c r="K35" s="76">
        <f t="shared" si="5"/>
        <v>2.5542500000000001E-3</v>
      </c>
      <c r="L35" s="76">
        <f t="shared" si="5"/>
        <v>0.22988250000000002</v>
      </c>
      <c r="M35" s="76">
        <f t="shared" si="5"/>
        <v>0.11869750000000001</v>
      </c>
      <c r="N35" s="76">
        <f t="shared" si="5"/>
        <v>17.729499999999998</v>
      </c>
      <c r="O35" s="76">
        <f t="shared" si="5"/>
        <v>3613.5125000000003</v>
      </c>
      <c r="P35" s="76">
        <f t="shared" si="5"/>
        <v>0</v>
      </c>
      <c r="Q35" s="76">
        <f t="shared" si="10"/>
        <v>36.999062500000001</v>
      </c>
      <c r="R35" s="76">
        <f t="shared" si="11"/>
        <v>0</v>
      </c>
      <c r="S35" s="76">
        <f t="shared" si="11"/>
        <v>0.63255250000000007</v>
      </c>
      <c r="T35" s="76">
        <f t="shared" si="11"/>
        <v>0</v>
      </c>
      <c r="U35" s="76">
        <f t="shared" si="11"/>
        <v>0</v>
      </c>
      <c r="AB35" s="58"/>
      <c r="AC35" s="58"/>
      <c r="AD35" s="58"/>
      <c r="AE35" s="58"/>
      <c r="AF35" s="58"/>
      <c r="AG35" s="58"/>
      <c r="AH35" s="58"/>
      <c r="AI35" s="58"/>
    </row>
    <row r="36" spans="1:35" s="71" customFormat="1" ht="13" x14ac:dyDescent="0.35">
      <c r="A36" s="13" t="str">
        <f>H8</f>
        <v>BG3</v>
      </c>
      <c r="B36" s="15">
        <v>125</v>
      </c>
      <c r="C36" s="76">
        <f t="shared" si="6"/>
        <v>58.297000000000004</v>
      </c>
      <c r="D36" s="76">
        <f t="shared" si="7"/>
        <v>20.137030875000001</v>
      </c>
      <c r="E36" s="76">
        <f t="shared" si="8"/>
        <v>2.5709277500000001</v>
      </c>
      <c r="F36" s="76">
        <f t="shared" si="9"/>
        <v>9.4788067250000001</v>
      </c>
      <c r="G36" s="76">
        <f t="shared" si="5"/>
        <v>0.12170249999999999</v>
      </c>
      <c r="H36" s="76">
        <f t="shared" si="5"/>
        <v>1.5926499999999999</v>
      </c>
      <c r="I36" s="76">
        <f t="shared" si="5"/>
        <v>0.33806249999999999</v>
      </c>
      <c r="J36" s="76">
        <f t="shared" si="5"/>
        <v>1.0292125000000001E-2</v>
      </c>
      <c r="K36" s="76">
        <f t="shared" si="5"/>
        <v>2.5542500000000001E-3</v>
      </c>
      <c r="L36" s="76">
        <f t="shared" si="5"/>
        <v>0.22988250000000002</v>
      </c>
      <c r="M36" s="76">
        <f t="shared" si="5"/>
        <v>0.11869750000000001</v>
      </c>
      <c r="N36" s="76">
        <f t="shared" si="5"/>
        <v>17.729499999999998</v>
      </c>
      <c r="O36" s="76">
        <f t="shared" si="5"/>
        <v>3613.5125000000003</v>
      </c>
      <c r="P36" s="76">
        <f t="shared" si="5"/>
        <v>0</v>
      </c>
      <c r="Q36" s="76">
        <f t="shared" si="10"/>
        <v>36.999062500000001</v>
      </c>
      <c r="R36" s="76">
        <f t="shared" si="11"/>
        <v>0</v>
      </c>
      <c r="S36" s="76">
        <f t="shared" si="11"/>
        <v>0.63255250000000007</v>
      </c>
      <c r="T36" s="76">
        <f t="shared" si="11"/>
        <v>0</v>
      </c>
      <c r="U36" s="76">
        <f t="shared" si="11"/>
        <v>0</v>
      </c>
      <c r="AB36" s="58"/>
      <c r="AC36" s="58"/>
      <c r="AD36" s="58"/>
      <c r="AE36" s="58"/>
      <c r="AF36" s="58"/>
      <c r="AG36" s="58"/>
      <c r="AH36" s="58"/>
      <c r="AI36" s="58"/>
    </row>
    <row r="37" spans="1:35" s="71" customFormat="1" ht="13" x14ac:dyDescent="0.35">
      <c r="A37" s="13" t="str">
        <f>I8</f>
        <v>BG4</v>
      </c>
      <c r="B37" s="15">
        <v>125</v>
      </c>
      <c r="C37" s="76">
        <f t="shared" si="6"/>
        <v>58.297000000000004</v>
      </c>
      <c r="D37" s="76">
        <f t="shared" si="7"/>
        <v>20.137030875000001</v>
      </c>
      <c r="E37" s="76">
        <f t="shared" si="8"/>
        <v>2.5709277500000001</v>
      </c>
      <c r="F37" s="76">
        <f t="shared" si="9"/>
        <v>9.4788067250000001</v>
      </c>
      <c r="G37" s="76">
        <f t="shared" si="5"/>
        <v>0.12170249999999999</v>
      </c>
      <c r="H37" s="76">
        <f t="shared" si="5"/>
        <v>1.5926499999999999</v>
      </c>
      <c r="I37" s="76">
        <f t="shared" si="5"/>
        <v>0.33806249999999999</v>
      </c>
      <c r="J37" s="76">
        <f t="shared" si="5"/>
        <v>1.0292125000000001E-2</v>
      </c>
      <c r="K37" s="76">
        <f t="shared" si="5"/>
        <v>2.5542500000000001E-3</v>
      </c>
      <c r="L37" s="76">
        <f t="shared" si="5"/>
        <v>0.22988250000000002</v>
      </c>
      <c r="M37" s="76">
        <f t="shared" si="5"/>
        <v>0.11869750000000001</v>
      </c>
      <c r="N37" s="76">
        <f t="shared" si="5"/>
        <v>17.729499999999998</v>
      </c>
      <c r="O37" s="76">
        <f t="shared" si="5"/>
        <v>3613.5125000000003</v>
      </c>
      <c r="P37" s="76">
        <f t="shared" si="5"/>
        <v>0</v>
      </c>
      <c r="Q37" s="76">
        <f t="shared" si="10"/>
        <v>36.999062500000001</v>
      </c>
      <c r="R37" s="76">
        <f t="shared" si="11"/>
        <v>0</v>
      </c>
      <c r="S37" s="76">
        <f t="shared" si="11"/>
        <v>0.63255250000000007</v>
      </c>
      <c r="T37" s="76">
        <f t="shared" si="11"/>
        <v>0</v>
      </c>
      <c r="U37" s="76">
        <f t="shared" si="11"/>
        <v>0</v>
      </c>
      <c r="AB37" s="58"/>
      <c r="AC37" s="58"/>
      <c r="AD37" s="58"/>
      <c r="AE37" s="58"/>
      <c r="AF37" s="58"/>
      <c r="AG37" s="58"/>
      <c r="AH37" s="58"/>
      <c r="AI37" s="58"/>
    </row>
    <row r="38" spans="1:35" s="71" customFormat="1" ht="13" x14ac:dyDescent="0.35">
      <c r="A38" s="13" t="str">
        <f>J8</f>
        <v>BG5</v>
      </c>
      <c r="B38" s="15">
        <v>125</v>
      </c>
      <c r="C38" s="76">
        <f t="shared" si="6"/>
        <v>58.297000000000004</v>
      </c>
      <c r="D38" s="76">
        <f t="shared" si="7"/>
        <v>20.137030875000001</v>
      </c>
      <c r="E38" s="76">
        <f t="shared" si="8"/>
        <v>2.5709277500000001</v>
      </c>
      <c r="F38" s="76">
        <f t="shared" si="9"/>
        <v>9.4788067250000001</v>
      </c>
      <c r="G38" s="76">
        <f t="shared" si="5"/>
        <v>0.12170249999999999</v>
      </c>
      <c r="H38" s="76">
        <f t="shared" si="5"/>
        <v>1.5926499999999999</v>
      </c>
      <c r="I38" s="76">
        <f t="shared" si="5"/>
        <v>0.33806249999999999</v>
      </c>
      <c r="J38" s="76">
        <f t="shared" si="5"/>
        <v>1.0292125000000001E-2</v>
      </c>
      <c r="K38" s="76">
        <f t="shared" si="5"/>
        <v>2.5542500000000001E-3</v>
      </c>
      <c r="L38" s="76">
        <f t="shared" si="5"/>
        <v>0.22988250000000002</v>
      </c>
      <c r="M38" s="76">
        <f t="shared" si="5"/>
        <v>0.11869750000000001</v>
      </c>
      <c r="N38" s="76">
        <f t="shared" si="5"/>
        <v>17.729499999999998</v>
      </c>
      <c r="O38" s="76">
        <f t="shared" si="5"/>
        <v>3613.5125000000003</v>
      </c>
      <c r="P38" s="76">
        <f t="shared" si="5"/>
        <v>0</v>
      </c>
      <c r="Q38" s="76">
        <f t="shared" si="10"/>
        <v>36.999062500000001</v>
      </c>
      <c r="R38" s="76">
        <f t="shared" si="11"/>
        <v>0</v>
      </c>
      <c r="S38" s="76">
        <f t="shared" si="11"/>
        <v>0.63255250000000007</v>
      </c>
      <c r="T38" s="76">
        <f t="shared" si="11"/>
        <v>0</v>
      </c>
      <c r="U38" s="76">
        <f t="shared" si="11"/>
        <v>0</v>
      </c>
      <c r="AB38" s="58"/>
      <c r="AC38" s="58"/>
      <c r="AD38" s="58"/>
      <c r="AE38" s="58"/>
      <c r="AF38" s="58"/>
      <c r="AG38" s="58"/>
      <c r="AH38" s="58"/>
      <c r="AI38" s="58"/>
    </row>
    <row r="39" spans="1:35" s="71" customFormat="1" ht="13" x14ac:dyDescent="0.35">
      <c r="A39" s="13" t="str">
        <f>K8</f>
        <v>Peny1</v>
      </c>
      <c r="B39" s="15">
        <v>125</v>
      </c>
      <c r="C39" s="76">
        <f t="shared" si="6"/>
        <v>58.297000000000004</v>
      </c>
      <c r="D39" s="76">
        <f t="shared" si="7"/>
        <v>20.137030875000001</v>
      </c>
      <c r="E39" s="76">
        <f t="shared" si="8"/>
        <v>2.5709277500000001</v>
      </c>
      <c r="F39" s="76">
        <f t="shared" si="9"/>
        <v>9.4788067250000001</v>
      </c>
      <c r="G39" s="76">
        <f t="shared" si="5"/>
        <v>0.12170249999999999</v>
      </c>
      <c r="H39" s="76">
        <f t="shared" si="5"/>
        <v>1.5926499999999999</v>
      </c>
      <c r="I39" s="76">
        <f t="shared" si="5"/>
        <v>0.33806249999999999</v>
      </c>
      <c r="J39" s="76">
        <f t="shared" si="5"/>
        <v>1.0292125000000001E-2</v>
      </c>
      <c r="K39" s="76">
        <f t="shared" si="5"/>
        <v>2.5542500000000001E-3</v>
      </c>
      <c r="L39" s="76">
        <f t="shared" si="5"/>
        <v>0.22988250000000002</v>
      </c>
      <c r="M39" s="76">
        <f t="shared" si="5"/>
        <v>0.11869750000000001</v>
      </c>
      <c r="N39" s="76">
        <f t="shared" si="5"/>
        <v>17.729499999999998</v>
      </c>
      <c r="O39" s="76">
        <f t="shared" si="5"/>
        <v>3613.5125000000003</v>
      </c>
      <c r="P39" s="76">
        <f t="shared" si="5"/>
        <v>0</v>
      </c>
      <c r="Q39" s="76">
        <f t="shared" si="10"/>
        <v>36.999062500000001</v>
      </c>
      <c r="R39" s="76">
        <f t="shared" si="11"/>
        <v>0</v>
      </c>
      <c r="S39" s="76">
        <f t="shared" si="11"/>
        <v>0.63255250000000007</v>
      </c>
      <c r="T39" s="76">
        <f t="shared" si="11"/>
        <v>0</v>
      </c>
      <c r="U39" s="76">
        <f t="shared" si="11"/>
        <v>0</v>
      </c>
      <c r="AB39" s="58"/>
      <c r="AC39" s="58"/>
      <c r="AD39" s="58"/>
      <c r="AE39" s="58"/>
      <c r="AF39" s="58"/>
      <c r="AG39" s="58"/>
      <c r="AH39" s="58"/>
      <c r="AI39" s="58"/>
    </row>
    <row r="40" spans="1:35" s="71" customFormat="1" ht="13" x14ac:dyDescent="0.35">
      <c r="A40" s="13" t="str">
        <f>L8</f>
        <v>G1</v>
      </c>
      <c r="B40" s="15">
        <v>125</v>
      </c>
      <c r="C40" s="76">
        <f t="shared" si="6"/>
        <v>58.297000000000004</v>
      </c>
      <c r="D40" s="76">
        <f t="shared" si="7"/>
        <v>20.137030875000001</v>
      </c>
      <c r="E40" s="76">
        <f t="shared" si="8"/>
        <v>2.5709277500000001</v>
      </c>
      <c r="F40" s="76">
        <f t="shared" si="9"/>
        <v>9.4788067250000001</v>
      </c>
      <c r="G40" s="76">
        <f t="shared" si="5"/>
        <v>0.12170249999999999</v>
      </c>
      <c r="H40" s="76">
        <f t="shared" si="5"/>
        <v>1.5926499999999999</v>
      </c>
      <c r="I40" s="76">
        <f t="shared" si="5"/>
        <v>0.33806249999999999</v>
      </c>
      <c r="J40" s="76">
        <f t="shared" si="5"/>
        <v>1.0292125000000001E-2</v>
      </c>
      <c r="K40" s="76">
        <f t="shared" si="5"/>
        <v>2.5542500000000001E-3</v>
      </c>
      <c r="L40" s="76">
        <f t="shared" si="5"/>
        <v>0.22988250000000002</v>
      </c>
      <c r="M40" s="76">
        <f t="shared" si="5"/>
        <v>0.11869750000000001</v>
      </c>
      <c r="N40" s="76">
        <f t="shared" si="5"/>
        <v>17.729499999999998</v>
      </c>
      <c r="O40" s="76">
        <f t="shared" si="5"/>
        <v>3613.5125000000003</v>
      </c>
      <c r="P40" s="76">
        <f t="shared" si="5"/>
        <v>0</v>
      </c>
      <c r="Q40" s="76">
        <f t="shared" si="10"/>
        <v>36.999062500000001</v>
      </c>
      <c r="R40" s="76">
        <f t="shared" si="11"/>
        <v>0</v>
      </c>
      <c r="S40" s="76">
        <f t="shared" si="11"/>
        <v>0.63255250000000007</v>
      </c>
      <c r="T40" s="76">
        <f t="shared" si="11"/>
        <v>0</v>
      </c>
      <c r="U40" s="76">
        <f t="shared" si="11"/>
        <v>0</v>
      </c>
      <c r="AB40" s="58"/>
      <c r="AC40" s="58"/>
      <c r="AD40" s="58"/>
      <c r="AE40" s="58"/>
      <c r="AF40" s="58"/>
      <c r="AG40" s="58"/>
      <c r="AH40" s="58"/>
      <c r="AI40" s="58"/>
    </row>
    <row r="41" spans="1:35" s="71" customFormat="1" ht="13" x14ac:dyDescent="0.35">
      <c r="A41" s="13" t="str">
        <f>M8</f>
        <v>G2</v>
      </c>
      <c r="B41" s="15">
        <v>125</v>
      </c>
      <c r="C41" s="76">
        <f t="shared" si="6"/>
        <v>58.297000000000004</v>
      </c>
      <c r="D41" s="76">
        <f t="shared" si="7"/>
        <v>20.137030875000001</v>
      </c>
      <c r="E41" s="76">
        <f t="shared" si="8"/>
        <v>2.5709277500000001</v>
      </c>
      <c r="F41" s="76">
        <f t="shared" si="9"/>
        <v>9.4788067250000001</v>
      </c>
      <c r="G41" s="76">
        <f t="shared" si="5"/>
        <v>0.12170249999999999</v>
      </c>
      <c r="H41" s="76">
        <f t="shared" si="5"/>
        <v>1.5926499999999999</v>
      </c>
      <c r="I41" s="76">
        <f t="shared" si="5"/>
        <v>0.33806249999999999</v>
      </c>
      <c r="J41" s="76">
        <f t="shared" si="5"/>
        <v>1.0292125000000001E-2</v>
      </c>
      <c r="K41" s="76">
        <f t="shared" si="5"/>
        <v>2.5542500000000001E-3</v>
      </c>
      <c r="L41" s="76">
        <f t="shared" si="5"/>
        <v>0.22988250000000002</v>
      </c>
      <c r="M41" s="76">
        <f t="shared" si="5"/>
        <v>0.11869750000000001</v>
      </c>
      <c r="N41" s="76">
        <f t="shared" si="5"/>
        <v>17.729499999999998</v>
      </c>
      <c r="O41" s="76">
        <f t="shared" si="5"/>
        <v>3613.5125000000003</v>
      </c>
      <c r="P41" s="76">
        <f t="shared" si="5"/>
        <v>0</v>
      </c>
      <c r="Q41" s="76">
        <f t="shared" si="10"/>
        <v>36.999062500000001</v>
      </c>
      <c r="R41" s="76">
        <f t="shared" si="11"/>
        <v>0</v>
      </c>
      <c r="S41" s="76">
        <f t="shared" si="11"/>
        <v>0.63255250000000007</v>
      </c>
      <c r="T41" s="76">
        <f t="shared" si="11"/>
        <v>0</v>
      </c>
      <c r="U41" s="76">
        <f t="shared" si="11"/>
        <v>0</v>
      </c>
      <c r="AB41" s="58"/>
      <c r="AC41" s="58"/>
      <c r="AD41" s="58"/>
      <c r="AE41" s="58"/>
      <c r="AF41" s="58"/>
      <c r="AG41" s="58"/>
      <c r="AH41" s="58"/>
      <c r="AI41" s="58"/>
    </row>
    <row r="42" spans="1:35" s="71" customFormat="1" ht="13" x14ac:dyDescent="0.35">
      <c r="A42" s="13" t="str">
        <f>N8</f>
        <v>G3</v>
      </c>
      <c r="B42" s="15">
        <v>125</v>
      </c>
      <c r="C42" s="76">
        <f t="shared" si="6"/>
        <v>58.297000000000004</v>
      </c>
      <c r="D42" s="76">
        <f t="shared" si="7"/>
        <v>20.137030875000001</v>
      </c>
      <c r="E42" s="76">
        <f t="shared" si="8"/>
        <v>2.5709277500000001</v>
      </c>
      <c r="F42" s="76">
        <f t="shared" si="9"/>
        <v>9.4788067250000001</v>
      </c>
      <c r="G42" s="76">
        <f t="shared" si="5"/>
        <v>0.12170249999999999</v>
      </c>
      <c r="H42" s="76">
        <f t="shared" si="5"/>
        <v>1.5926499999999999</v>
      </c>
      <c r="I42" s="76">
        <f t="shared" si="5"/>
        <v>0.33806249999999999</v>
      </c>
      <c r="J42" s="76">
        <f t="shared" si="5"/>
        <v>1.0292125000000001E-2</v>
      </c>
      <c r="K42" s="76">
        <f t="shared" si="5"/>
        <v>2.5542500000000001E-3</v>
      </c>
      <c r="L42" s="76">
        <f t="shared" si="5"/>
        <v>0.22988250000000002</v>
      </c>
      <c r="M42" s="76">
        <f t="shared" si="5"/>
        <v>0.11869750000000001</v>
      </c>
      <c r="N42" s="76">
        <f t="shared" si="5"/>
        <v>17.729499999999998</v>
      </c>
      <c r="O42" s="76">
        <f t="shared" si="5"/>
        <v>3613.5125000000003</v>
      </c>
      <c r="P42" s="76">
        <f t="shared" si="5"/>
        <v>0</v>
      </c>
      <c r="Q42" s="76">
        <f t="shared" si="10"/>
        <v>36.999062500000001</v>
      </c>
      <c r="R42" s="76">
        <f t="shared" si="11"/>
        <v>0</v>
      </c>
      <c r="S42" s="76">
        <f t="shared" si="11"/>
        <v>0.63255250000000007</v>
      </c>
      <c r="T42" s="76">
        <f t="shared" si="11"/>
        <v>0</v>
      </c>
      <c r="U42" s="76">
        <f t="shared" si="11"/>
        <v>0</v>
      </c>
      <c r="AB42" s="58"/>
      <c r="AC42" s="58"/>
      <c r="AD42" s="58"/>
      <c r="AE42" s="58"/>
      <c r="AF42" s="58"/>
      <c r="AG42" s="58"/>
      <c r="AH42" s="58"/>
      <c r="AI42" s="58"/>
    </row>
    <row r="43" spans="1:35" s="71" customFormat="1" ht="13" x14ac:dyDescent="0.35">
      <c r="A43" s="13" t="str">
        <f>O8</f>
        <v>G4A</v>
      </c>
      <c r="B43" s="15">
        <v>125</v>
      </c>
      <c r="C43" s="76">
        <f t="shared" si="6"/>
        <v>58.297000000000004</v>
      </c>
      <c r="D43" s="76">
        <f t="shared" si="7"/>
        <v>20.137030875000001</v>
      </c>
      <c r="E43" s="76">
        <f t="shared" si="8"/>
        <v>2.5709277500000001</v>
      </c>
      <c r="F43" s="76">
        <f t="shared" si="9"/>
        <v>9.4788067250000001</v>
      </c>
      <c r="G43" s="76">
        <f t="shared" si="5"/>
        <v>0.12170249999999999</v>
      </c>
      <c r="H43" s="76">
        <f t="shared" si="5"/>
        <v>1.5926499999999999</v>
      </c>
      <c r="I43" s="76">
        <f t="shared" si="5"/>
        <v>0.33806249999999999</v>
      </c>
      <c r="J43" s="76">
        <f t="shared" si="5"/>
        <v>1.0292125000000001E-2</v>
      </c>
      <c r="K43" s="76">
        <f t="shared" si="5"/>
        <v>2.5542500000000001E-3</v>
      </c>
      <c r="L43" s="76">
        <f t="shared" si="5"/>
        <v>0.22988250000000002</v>
      </c>
      <c r="M43" s="76">
        <f t="shared" si="5"/>
        <v>0.11869750000000001</v>
      </c>
      <c r="N43" s="76">
        <f t="shared" si="5"/>
        <v>17.729499999999998</v>
      </c>
      <c r="O43" s="76">
        <f t="shared" si="5"/>
        <v>3613.5125000000003</v>
      </c>
      <c r="P43" s="76">
        <f t="shared" si="5"/>
        <v>0</v>
      </c>
      <c r="Q43" s="76">
        <f t="shared" si="10"/>
        <v>36.999062500000001</v>
      </c>
      <c r="R43" s="76">
        <f t="shared" si="11"/>
        <v>0</v>
      </c>
      <c r="S43" s="76">
        <f t="shared" si="11"/>
        <v>0.63255250000000007</v>
      </c>
      <c r="T43" s="76">
        <f t="shared" si="11"/>
        <v>0</v>
      </c>
      <c r="U43" s="76">
        <f t="shared" si="11"/>
        <v>0</v>
      </c>
      <c r="AB43" s="58"/>
      <c r="AC43" s="58"/>
      <c r="AD43" s="58"/>
      <c r="AE43" s="58"/>
      <c r="AF43" s="58"/>
      <c r="AG43" s="58"/>
      <c r="AH43" s="58"/>
      <c r="AI43" s="58"/>
    </row>
    <row r="44" spans="1:35" s="71" customFormat="1" ht="13" x14ac:dyDescent="0.35">
      <c r="A44" s="13" t="str">
        <f>P8</f>
        <v>G4B</v>
      </c>
      <c r="B44" s="15">
        <v>125</v>
      </c>
      <c r="C44" s="76">
        <f t="shared" si="6"/>
        <v>58.297000000000004</v>
      </c>
      <c r="D44" s="76">
        <f t="shared" si="7"/>
        <v>20.137030875000001</v>
      </c>
      <c r="E44" s="76">
        <f t="shared" si="8"/>
        <v>2.5709277500000001</v>
      </c>
      <c r="F44" s="76">
        <f t="shared" si="9"/>
        <v>9.4788067250000001</v>
      </c>
      <c r="G44" s="76">
        <f t="shared" si="5"/>
        <v>0.12170249999999999</v>
      </c>
      <c r="H44" s="76">
        <f t="shared" si="5"/>
        <v>1.5926499999999999</v>
      </c>
      <c r="I44" s="76">
        <f t="shared" si="5"/>
        <v>0.33806249999999999</v>
      </c>
      <c r="J44" s="76">
        <f t="shared" si="5"/>
        <v>1.0292125000000001E-2</v>
      </c>
      <c r="K44" s="76">
        <f t="shared" si="5"/>
        <v>2.5542500000000001E-3</v>
      </c>
      <c r="L44" s="76">
        <f t="shared" si="5"/>
        <v>0.22988250000000002</v>
      </c>
      <c r="M44" s="76">
        <f t="shared" si="5"/>
        <v>0.11869750000000001</v>
      </c>
      <c r="N44" s="76">
        <f t="shared" si="5"/>
        <v>17.729499999999998</v>
      </c>
      <c r="O44" s="76">
        <f t="shared" si="5"/>
        <v>3613.5125000000003</v>
      </c>
      <c r="P44" s="76">
        <f t="shared" si="5"/>
        <v>0</v>
      </c>
      <c r="Q44" s="76">
        <f t="shared" si="10"/>
        <v>36.999062500000001</v>
      </c>
      <c r="R44" s="76">
        <f t="shared" si="11"/>
        <v>0</v>
      </c>
      <c r="S44" s="76">
        <f t="shared" si="11"/>
        <v>0.63255250000000007</v>
      </c>
      <c r="T44" s="76">
        <f t="shared" si="11"/>
        <v>0</v>
      </c>
      <c r="U44" s="76">
        <f t="shared" si="11"/>
        <v>0</v>
      </c>
      <c r="AB44" s="58"/>
      <c r="AC44" s="58"/>
      <c r="AD44" s="58"/>
      <c r="AE44" s="58"/>
      <c r="AF44" s="58"/>
      <c r="AG44" s="58"/>
      <c r="AH44" s="58"/>
      <c r="AI44" s="58"/>
    </row>
    <row r="45" spans="1:35" s="71" customFormat="1" ht="13" x14ac:dyDescent="0.35">
      <c r="A45" s="13" t="str">
        <f>Q8</f>
        <v>G5</v>
      </c>
      <c r="B45" s="15">
        <v>125</v>
      </c>
      <c r="C45" s="76">
        <f t="shared" si="6"/>
        <v>58.297000000000004</v>
      </c>
      <c r="D45" s="76">
        <f t="shared" si="7"/>
        <v>20.137030875000001</v>
      </c>
      <c r="E45" s="76">
        <f t="shared" si="8"/>
        <v>2.5709277500000001</v>
      </c>
      <c r="F45" s="76">
        <f t="shared" si="9"/>
        <v>9.4788067250000001</v>
      </c>
      <c r="G45" s="76">
        <f t="shared" si="5"/>
        <v>0.12170249999999999</v>
      </c>
      <c r="H45" s="76">
        <f t="shared" si="5"/>
        <v>1.5926499999999999</v>
      </c>
      <c r="I45" s="76">
        <f t="shared" si="5"/>
        <v>0.33806249999999999</v>
      </c>
      <c r="J45" s="76">
        <f t="shared" si="5"/>
        <v>1.0292125000000001E-2</v>
      </c>
      <c r="K45" s="76">
        <f t="shared" si="5"/>
        <v>2.5542500000000001E-3</v>
      </c>
      <c r="L45" s="76">
        <f t="shared" si="5"/>
        <v>0.22988250000000002</v>
      </c>
      <c r="M45" s="76">
        <f t="shared" si="5"/>
        <v>0.11869750000000001</v>
      </c>
      <c r="N45" s="76">
        <f t="shared" si="5"/>
        <v>17.729499999999998</v>
      </c>
      <c r="O45" s="76">
        <f t="shared" si="5"/>
        <v>3613.5125000000003</v>
      </c>
      <c r="P45" s="76">
        <f t="shared" si="5"/>
        <v>0</v>
      </c>
      <c r="Q45" s="76">
        <f t="shared" si="10"/>
        <v>36.999062500000001</v>
      </c>
      <c r="R45" s="76">
        <f t="shared" si="11"/>
        <v>0</v>
      </c>
      <c r="S45" s="76">
        <f t="shared" si="11"/>
        <v>0.63255250000000007</v>
      </c>
      <c r="T45" s="76">
        <f t="shared" si="11"/>
        <v>0</v>
      </c>
      <c r="U45" s="76">
        <f t="shared" si="11"/>
        <v>0</v>
      </c>
      <c r="AB45" s="58"/>
      <c r="AC45" s="58"/>
      <c r="AD45" s="58"/>
      <c r="AE45" s="58"/>
      <c r="AF45" s="58"/>
      <c r="AG45" s="58"/>
      <c r="AH45" s="58"/>
      <c r="AI45" s="58"/>
    </row>
    <row r="46" spans="1:35" s="71" customFormat="1" ht="13" x14ac:dyDescent="0.35">
      <c r="A46" s="13" t="str">
        <f>R8</f>
        <v>G9</v>
      </c>
      <c r="B46" s="15">
        <v>125</v>
      </c>
      <c r="C46" s="76">
        <f t="shared" si="6"/>
        <v>58.297000000000004</v>
      </c>
      <c r="D46" s="76">
        <f t="shared" si="7"/>
        <v>20.137030875000001</v>
      </c>
      <c r="E46" s="76">
        <f t="shared" si="8"/>
        <v>2.5709277500000001</v>
      </c>
      <c r="F46" s="76">
        <f t="shared" si="9"/>
        <v>9.4788067250000001</v>
      </c>
      <c r="G46" s="76">
        <f t="shared" si="5"/>
        <v>0.12170249999999999</v>
      </c>
      <c r="H46" s="76">
        <f t="shared" si="5"/>
        <v>1.5926499999999999</v>
      </c>
      <c r="I46" s="76">
        <f t="shared" si="5"/>
        <v>0.33806249999999999</v>
      </c>
      <c r="J46" s="76">
        <f t="shared" si="5"/>
        <v>1.0292125000000001E-2</v>
      </c>
      <c r="K46" s="76">
        <f t="shared" si="5"/>
        <v>2.5542500000000001E-3</v>
      </c>
      <c r="L46" s="76">
        <f t="shared" si="5"/>
        <v>0.22988250000000002</v>
      </c>
      <c r="M46" s="76">
        <f t="shared" si="5"/>
        <v>0.11869750000000001</v>
      </c>
      <c r="N46" s="76">
        <f t="shared" si="5"/>
        <v>17.729499999999998</v>
      </c>
      <c r="O46" s="76">
        <f t="shared" si="5"/>
        <v>3613.5125000000003</v>
      </c>
      <c r="P46" s="76">
        <f t="shared" si="5"/>
        <v>0</v>
      </c>
      <c r="Q46" s="76">
        <f t="shared" si="10"/>
        <v>36.999062500000001</v>
      </c>
      <c r="R46" s="76">
        <f t="shared" si="11"/>
        <v>0</v>
      </c>
      <c r="S46" s="76">
        <f t="shared" si="11"/>
        <v>0.63255250000000007</v>
      </c>
      <c r="T46" s="76">
        <f t="shared" si="11"/>
        <v>0</v>
      </c>
      <c r="U46" s="76">
        <f t="shared" si="11"/>
        <v>0</v>
      </c>
      <c r="AB46" s="58"/>
      <c r="AC46" s="58"/>
      <c r="AD46" s="58"/>
      <c r="AE46" s="58"/>
      <c r="AF46" s="58"/>
      <c r="AG46" s="58"/>
      <c r="AH46" s="58"/>
      <c r="AI46" s="58"/>
    </row>
    <row r="47" spans="1:35" s="71" customFormat="1" ht="13" x14ac:dyDescent="0.35">
      <c r="A47" s="13" t="str">
        <f>S8</f>
        <v>G12</v>
      </c>
      <c r="B47" s="15">
        <v>125</v>
      </c>
      <c r="C47" s="76">
        <f t="shared" si="6"/>
        <v>58.297000000000004</v>
      </c>
      <c r="D47" s="76">
        <f t="shared" si="7"/>
        <v>20.137030875000001</v>
      </c>
      <c r="E47" s="76">
        <f t="shared" si="8"/>
        <v>2.5709277500000001</v>
      </c>
      <c r="F47" s="76">
        <f t="shared" si="9"/>
        <v>9.4788067250000001</v>
      </c>
      <c r="G47" s="76">
        <f t="shared" ref="G47:P50" si="12">IF(G$27="%w/w SAR",((G$28*10)*$B47),IF(G$27="%w/w DM",(((G$28*10)*($B$28/100))*$B47),IF(G$27="kg/t SAR",(G$28*$B47),IF(G$27="kg/t DM",((G$28*($B$28/100))*$B47),IF(G$27="mg/kg SAR",((G$28*0.001)*$B47),IF(G$27="mg/kg DM",(((G$28*0.001)*($B$28/100))*$B47),0))))))</f>
        <v>0.12170249999999999</v>
      </c>
      <c r="H47" s="76">
        <f t="shared" si="12"/>
        <v>1.5926499999999999</v>
      </c>
      <c r="I47" s="76">
        <f t="shared" si="12"/>
        <v>0.33806249999999999</v>
      </c>
      <c r="J47" s="76">
        <f t="shared" si="12"/>
        <v>1.0292125000000001E-2</v>
      </c>
      <c r="K47" s="76">
        <f t="shared" si="12"/>
        <v>2.5542500000000001E-3</v>
      </c>
      <c r="L47" s="76">
        <f t="shared" si="12"/>
        <v>0.22988250000000002</v>
      </c>
      <c r="M47" s="76">
        <f t="shared" si="12"/>
        <v>0.11869750000000001</v>
      </c>
      <c r="N47" s="76">
        <f t="shared" si="12"/>
        <v>17.729499999999998</v>
      </c>
      <c r="O47" s="76">
        <f t="shared" si="12"/>
        <v>3613.5125000000003</v>
      </c>
      <c r="P47" s="76">
        <f t="shared" si="12"/>
        <v>0</v>
      </c>
      <c r="Q47" s="76">
        <f t="shared" si="10"/>
        <v>36.999062500000001</v>
      </c>
      <c r="R47" s="76">
        <f t="shared" si="11"/>
        <v>0</v>
      </c>
      <c r="S47" s="76">
        <f t="shared" si="11"/>
        <v>0.63255250000000007</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str">
        <f>L16&amp;" I "&amp;(VLOOKUP(L14,Table24581112[],6,FALSE))</f>
        <v>Medium/Clay I Grass</v>
      </c>
      <c r="L58" s="13" t="str">
        <f>M16&amp;" I "&amp;(VLOOKUP(M14,Table24581112[],6,FALSE))</f>
        <v>Medium/Clay I Grass</v>
      </c>
      <c r="M58" s="13" t="str">
        <f>N16&amp;" I "&amp;(VLOOKUP(N14,Table24581112[],6,FALSE))</f>
        <v>Medium/Clay I Grass</v>
      </c>
      <c r="N58" s="13" t="str">
        <f>O16&amp;" I "&amp;(VLOOKUP(O14,Table24581112[],6,FALSE))</f>
        <v>Medium/Clay I Grass</v>
      </c>
      <c r="O58" s="13" t="str">
        <f>P16&amp;" I "&amp;(VLOOKUP(P14,Table24581112[],6,FALSE))</f>
        <v>Medium/Clay I Grass</v>
      </c>
      <c r="P58" s="13" t="str">
        <f>Q16&amp;" I "&amp;(VLOOKUP(Q14,Table24581112[],6,FALSE))</f>
        <v>Medium/Clay I Grass</v>
      </c>
      <c r="Q58" s="13" t="str">
        <f>R16&amp;" I "&amp;(VLOOKUP(R14,Table24581112[],6,FALSE))</f>
        <v>Medium/Clay I Grass</v>
      </c>
      <c r="R58" s="13" t="str">
        <f>S16&amp;" I "&amp;(VLOOKUP(S14,Table24581112[],6,FALSE))</f>
        <v>Medium/Clay I Grass</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f>VLOOKUP(L$14,Table24581112[],5,FALSE)</f>
        <v>6.2</v>
      </c>
      <c r="L59" s="75">
        <f>VLOOKUP(M$14,Table24581112[],5,FALSE)</f>
        <v>6.2</v>
      </c>
      <c r="M59" s="75">
        <f>VLOOKUP(N$14,Table24581112[],5,FALSE)</f>
        <v>6.2</v>
      </c>
      <c r="N59" s="75">
        <f>VLOOKUP(O$14,Table24581112[],5,FALSE)</f>
        <v>6.2</v>
      </c>
      <c r="O59" s="75">
        <f>VLOOKUP(P$14,Table24581112[],5,FALSE)</f>
        <v>6.2</v>
      </c>
      <c r="P59" s="75">
        <f>VLOOKUP(Q$14,Table24581112[],5,FALSE)</f>
        <v>6.2</v>
      </c>
      <c r="Q59" s="75">
        <f>VLOOKUP(R$14,Table24581112[],5,FALSE)</f>
        <v>6.2</v>
      </c>
      <c r="R59" s="75">
        <f>VLOOKUP(S$14,Table24581112[],5,FALSE)</f>
        <v>6.2</v>
      </c>
      <c r="S59" s="75" t="e">
        <f>VLOOKUP(T$14,Table24581112[],5,FALSE)</f>
        <v>#N/A</v>
      </c>
      <c r="T59" s="75" t="e">
        <f>VLOOKUP(U$14,Table24581112[],5,FALSE)</f>
        <v>#N/A</v>
      </c>
      <c r="U59" s="75" t="e">
        <f>VLOOKUP(V$14,Table24581112[],5,FALSE)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125</v>
      </c>
      <c r="C62" s="76">
        <f>B32</f>
        <v>125</v>
      </c>
      <c r="D62" s="76">
        <f>B33</f>
        <v>125</v>
      </c>
      <c r="E62" s="76">
        <f>B34</f>
        <v>125</v>
      </c>
      <c r="F62" s="76">
        <f>B35</f>
        <v>125</v>
      </c>
      <c r="G62" s="76">
        <f>B36</f>
        <v>125</v>
      </c>
      <c r="H62" s="76">
        <f>B37</f>
        <v>125</v>
      </c>
      <c r="I62" s="76">
        <f>B38</f>
        <v>125</v>
      </c>
      <c r="J62" s="76">
        <f>B39</f>
        <v>125</v>
      </c>
      <c r="K62" s="76">
        <f>B40</f>
        <v>125</v>
      </c>
      <c r="L62" s="76">
        <f>B41</f>
        <v>125</v>
      </c>
      <c r="M62" s="76">
        <f>B42</f>
        <v>125</v>
      </c>
      <c r="N62" s="76">
        <f>B43</f>
        <v>125</v>
      </c>
      <c r="O62" s="76">
        <f>B44</f>
        <v>125</v>
      </c>
      <c r="P62" s="76">
        <f>B45</f>
        <v>125</v>
      </c>
      <c r="Q62" s="76">
        <f>B46</f>
        <v>125</v>
      </c>
      <c r="R62" s="76">
        <f>B47</f>
        <v>125</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3" zoomScale="90" zoomScaleNormal="90" workbookViewId="0">
      <selection activeCell="B48" sqref="B48:B5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0" t="s">
        <v>41</v>
      </c>
      <c r="B1" s="120"/>
      <c r="C1" s="142" t="str">
        <f>Bryngwyn!C1:D1</f>
        <v>PAN-020670</v>
      </c>
      <c r="D1" s="143"/>
      <c r="E1" s="92" t="s">
        <v>45</v>
      </c>
      <c r="F1" s="38">
        <f>Bryngwyn!F1</f>
        <v>34</v>
      </c>
      <c r="G1" s="121" t="s">
        <v>43</v>
      </c>
      <c r="H1" s="122"/>
      <c r="I1" s="117">
        <v>7</v>
      </c>
      <c r="J1" s="120" t="s">
        <v>153</v>
      </c>
      <c r="K1" s="120"/>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0.48</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0.125</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3.6701820000000001</v>
      </c>
      <c r="D18" s="16">
        <f>$D32</f>
        <v>3.6701820000000001</v>
      </c>
      <c r="E18" s="16">
        <f>$D33</f>
        <v>3.6701820000000001</v>
      </c>
      <c r="F18" s="16">
        <f>$D34</f>
        <v>3.6701820000000001</v>
      </c>
      <c r="G18" s="16">
        <f>$D35</f>
        <v>3.6701820000000001</v>
      </c>
      <c r="H18" s="16">
        <f>$D36</f>
        <v>3.6701820000000001</v>
      </c>
      <c r="I18" s="16">
        <f>$D37</f>
        <v>3.6701820000000001</v>
      </c>
      <c r="J18" s="16">
        <f>$D38</f>
        <v>3.6701820000000001</v>
      </c>
      <c r="K18" s="16">
        <f>$D39</f>
        <v>3.6701820000000001</v>
      </c>
      <c r="L18" s="16">
        <f>$D40</f>
        <v>3.6701820000000001</v>
      </c>
      <c r="M18" s="16">
        <f>$D41</f>
        <v>3.6701820000000001</v>
      </c>
      <c r="N18" s="16">
        <f>$D42</f>
        <v>3.6701820000000001</v>
      </c>
      <c r="O18" s="16">
        <f>$D43</f>
        <v>3.6701820000000001</v>
      </c>
      <c r="P18" s="16">
        <f>$D44</f>
        <v>3.6701820000000001</v>
      </c>
      <c r="Q18" s="16">
        <f>$D45</f>
        <v>3.6701820000000001</v>
      </c>
      <c r="R18" s="16">
        <f>$D46</f>
        <v>3.6701820000000001</v>
      </c>
      <c r="S18" s="16">
        <f>$D47</f>
        <v>3.6701820000000001</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-60.929817999999997</v>
      </c>
      <c r="D19" s="16">
        <f t="shared" ref="D19:V19" si="1">D18-D17</f>
        <v>-60.929817999999997</v>
      </c>
      <c r="E19" s="16">
        <f t="shared" si="1"/>
        <v>-60.929817999999997</v>
      </c>
      <c r="F19" s="16">
        <f t="shared" si="1"/>
        <v>-60.929817999999997</v>
      </c>
      <c r="G19" s="16">
        <f t="shared" si="1"/>
        <v>-60.929817999999997</v>
      </c>
      <c r="H19" s="16">
        <f t="shared" si="1"/>
        <v>-60.929817999999997</v>
      </c>
      <c r="I19" s="16">
        <f t="shared" si="1"/>
        <v>-60.929817999999997</v>
      </c>
      <c r="J19" s="16">
        <f t="shared" si="1"/>
        <v>-60.929817999999997</v>
      </c>
      <c r="K19" s="16">
        <f t="shared" si="1"/>
        <v>-60.929817999999997</v>
      </c>
      <c r="L19" s="16">
        <f t="shared" si="1"/>
        <v>-60.929817999999997</v>
      </c>
      <c r="M19" s="16">
        <f t="shared" si="1"/>
        <v>-60.929817999999997</v>
      </c>
      <c r="N19" s="16">
        <f t="shared" si="1"/>
        <v>-60.929817999999997</v>
      </c>
      <c r="O19" s="16">
        <f t="shared" si="1"/>
        <v>-60.929817999999997</v>
      </c>
      <c r="P19" s="16">
        <f t="shared" si="1"/>
        <v>-60.929817999999997</v>
      </c>
      <c r="Q19" s="16">
        <f t="shared" si="1"/>
        <v>-60.929817999999997</v>
      </c>
      <c r="R19" s="16">
        <f t="shared" si="1"/>
        <v>-60.929817999999997</v>
      </c>
      <c r="S19" s="16">
        <f t="shared" si="1"/>
        <v>-60.929817999999997</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1.5616800000000004</v>
      </c>
      <c r="D22" s="16">
        <f>$E32</f>
        <v>1.5616800000000004</v>
      </c>
      <c r="E22" s="16">
        <f>$E33</f>
        <v>1.5616800000000004</v>
      </c>
      <c r="F22" s="16">
        <f>$E34</f>
        <v>1.5616800000000004</v>
      </c>
      <c r="G22" s="16">
        <f>$E35</f>
        <v>1.5616800000000004</v>
      </c>
      <c r="H22" s="16">
        <f>$E36</f>
        <v>1.5616800000000004</v>
      </c>
      <c r="I22" s="16">
        <f>$E37</f>
        <v>1.5616800000000004</v>
      </c>
      <c r="J22" s="16">
        <f>$E38</f>
        <v>1.5616800000000004</v>
      </c>
      <c r="K22" s="16">
        <f>$E39</f>
        <v>1.5616800000000004</v>
      </c>
      <c r="L22" s="16">
        <f>$E40</f>
        <v>1.5616800000000004</v>
      </c>
      <c r="M22" s="16">
        <f>$E41</f>
        <v>1.5616800000000004</v>
      </c>
      <c r="N22" s="16">
        <f>$E42</f>
        <v>1.5616800000000004</v>
      </c>
      <c r="O22" s="16">
        <f>$E43</f>
        <v>1.5616800000000004</v>
      </c>
      <c r="P22" s="16">
        <f>$E44</f>
        <v>1.5616800000000004</v>
      </c>
      <c r="Q22" s="16">
        <f>$E45</f>
        <v>1.5616800000000004</v>
      </c>
      <c r="R22" s="16">
        <f>$E46</f>
        <v>1.5616800000000004</v>
      </c>
      <c r="S22" s="16">
        <f>$E47</f>
        <v>1.5616800000000004</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-226.43832</v>
      </c>
      <c r="D23" s="16">
        <f t="shared" ref="D23:V23" si="3">D22-D21</f>
        <v>-226.43832</v>
      </c>
      <c r="E23" s="16">
        <f t="shared" si="3"/>
        <v>-226.43832</v>
      </c>
      <c r="F23" s="16">
        <f t="shared" si="3"/>
        <v>-226.43832</v>
      </c>
      <c r="G23" s="16">
        <f t="shared" si="3"/>
        <v>-226.43832</v>
      </c>
      <c r="H23" s="16">
        <f t="shared" si="3"/>
        <v>-226.43832</v>
      </c>
      <c r="I23" s="16">
        <f t="shared" si="3"/>
        <v>-226.43832</v>
      </c>
      <c r="J23" s="16">
        <f t="shared" si="3"/>
        <v>-226.43832</v>
      </c>
      <c r="K23" s="16">
        <f t="shared" si="3"/>
        <v>-226.43832</v>
      </c>
      <c r="L23" s="16">
        <f t="shared" si="3"/>
        <v>-226.43832</v>
      </c>
      <c r="M23" s="16">
        <f t="shared" si="3"/>
        <v>-226.43832</v>
      </c>
      <c r="N23" s="16">
        <f t="shared" si="3"/>
        <v>-226.43832</v>
      </c>
      <c r="O23" s="16">
        <f t="shared" si="3"/>
        <v>-226.43832</v>
      </c>
      <c r="P23" s="16">
        <f t="shared" si="3"/>
        <v>-226.43832</v>
      </c>
      <c r="Q23" s="16">
        <f t="shared" si="3"/>
        <v>-226.43832</v>
      </c>
      <c r="R23" s="16">
        <f t="shared" si="3"/>
        <v>-226.43832</v>
      </c>
      <c r="S23" s="16">
        <f t="shared" si="3"/>
        <v>-226.43832</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2.4</v>
      </c>
      <c r="C28" s="15">
        <v>0.48</v>
      </c>
      <c r="D28" s="15">
        <v>2.6700000000000002E-2</v>
      </c>
      <c r="E28" s="15">
        <v>2.1600000000000001E-2</v>
      </c>
      <c r="F28" s="15">
        <v>524</v>
      </c>
      <c r="G28" s="15">
        <v>33.1</v>
      </c>
      <c r="H28" s="15">
        <v>381</v>
      </c>
      <c r="I28" s="15">
        <v>193.9</v>
      </c>
      <c r="J28" s="15">
        <v>2.12</v>
      </c>
      <c r="K28" s="15">
        <v>0.84</v>
      </c>
      <c r="L28" s="15">
        <v>87.9</v>
      </c>
      <c r="M28" s="15">
        <v>27.7</v>
      </c>
      <c r="N28" s="15">
        <v>5680</v>
      </c>
      <c r="O28" s="15">
        <v>535000</v>
      </c>
      <c r="P28" s="15"/>
      <c r="Q28" s="15">
        <v>2590</v>
      </c>
      <c r="R28" s="15"/>
      <c r="S28" s="15">
        <v>56.6</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250</v>
      </c>
      <c r="C31" s="76">
        <f>IF(C$27="%w/w SAR",((C$28*10)*$B31),IF(C$27="%w/w DM",(((C$28*10)*($B$28/100))*$B31),IF(C$27="kg/t SAR",(C$28*$B31),IF(C$27="kg/t DM",((C$28*($B$28/100))*$B31),IF(C$27="mg/kg SAR",((C$28*0.001)*$B31),IF(C$27="mg/kg DM",(((C$28*0.001)*($B$28/100))*$B31),0))))))</f>
        <v>28.8</v>
      </c>
      <c r="D31" s="76">
        <f>(IF(D$27="%w/w SAR",((D$28*10)*$B31),IF(D$27="%w/w DM",(((D$28*10)*($B$28/100))*$B31),IF(D$27="kg/t SAR",(D$28*$B31),IF(D$27="kg/t DM",((D$28*($B$28/100))*$B31),IF(D$27="mg/kg SAR",((D$28*0.001)*$B31),IF(D$27="mg/kg DM",(((D$28*0.001)*($B$28/100))*$B31),"0")))))))*2.291</f>
        <v>3.6701820000000001</v>
      </c>
      <c r="E31" s="76">
        <f>(IF(E$27="%w/w SAR",((E$28*10)*$B31),IF(E$27="%w/w DM",(((E$28*10)*($B$28/100))*$B31),IF(E$27="kg/t SAR",(E$28*$B31),IF(E$27="kg/t DM",((E$28*($B$28/100))*$B31),IF(E$27="mg/kg SAR",((E$28*0.001)*$B31),IF(E$27="mg/kg DM",(((E$28*0.001)*($B$28/100))*$B31),"0")))))))*1.205</f>
        <v>1.5616800000000004</v>
      </c>
      <c r="F31" s="76">
        <f>(IF(F$27="%w/w SAR",((F$28*10)*$B31),IF(F$27="%w/w DM",(((F$28*10)*($B$28/100))*$B31),IF(F$27="kg/t SAR",(F$28*$B31),IF(F$27="kg/t DM",((F$28*($B$28/100))*$B31),IF(F$27="mg/kg SAR",((F$28*0.001)*$B31),IF(F$27="mg/kg DM",(((F$28*0.001)*($B$28/100))*$B31),"0")))))))*1.658</f>
        <v>5.2127520000000001</v>
      </c>
      <c r="G31" s="76">
        <f t="shared" ref="G31:P46" si="5">IF(G$27="%w/w SAR",((G$28*10)*$B31),IF(G$27="%w/w DM",(((G$28*10)*($B$28/100))*$B31),IF(G$27="kg/t SAR",(G$28*$B31),IF(G$27="kg/t DM",((G$28*($B$28/100))*$B31),IF(G$27="mg/kg SAR",((G$28*0.001)*$B31),IF(G$27="mg/kg DM",(((G$28*0.001)*($B$28/100))*$B31),0))))))</f>
        <v>0.19860000000000003</v>
      </c>
      <c r="H31" s="76">
        <f t="shared" si="5"/>
        <v>2.2860000000000005</v>
      </c>
      <c r="I31" s="76">
        <f t="shared" si="5"/>
        <v>1.1634000000000002</v>
      </c>
      <c r="J31" s="76">
        <f t="shared" si="5"/>
        <v>1.2720000000000002E-2</v>
      </c>
      <c r="K31" s="76">
        <f t="shared" si="5"/>
        <v>5.0400000000000002E-3</v>
      </c>
      <c r="L31" s="76">
        <f t="shared" si="5"/>
        <v>0.52739999999999998</v>
      </c>
      <c r="M31" s="76">
        <f t="shared" si="5"/>
        <v>0.16620000000000001</v>
      </c>
      <c r="N31" s="76">
        <f t="shared" si="5"/>
        <v>34.08</v>
      </c>
      <c r="O31" s="76">
        <f t="shared" si="5"/>
        <v>3210</v>
      </c>
      <c r="P31" s="76">
        <f t="shared" si="5"/>
        <v>0</v>
      </c>
      <c r="Q31" s="76">
        <f>(IF(Q$27="%w/w SAR",((Q$28*10)*$B31),IF(Q$27="%w/w DM",(((Q$28*10)*($B$28/100))*$B31),IF(Q$27="kg/t SAR",(Q$28*$B31),IF(Q$27="kg/t DM",((Q$28*($B$28/100))*$B31),IF(Q$27="mg/kg SAR",((Q$28*0.001)*$B31),IF(Q$27="mg/kg DM",(((Q$28*0.001)*($B$28/100))*$B31),0)))))))*2.5</f>
        <v>38.849999999999994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0.33960000000000001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250</v>
      </c>
      <c r="C32" s="76">
        <f t="shared" ref="C32:C50" si="6">IF(C$27="%w/w SAR",((C$28*10)*$B32),IF(C$27="%w/w DM",(((C$28*10)*($B$28/100))*$B32),IF(C$27="kg/t SAR",(C$28*$B32),IF(C$27="kg/t DM",((C$28*($B$28/100))*$B32),IF(C$27="mg/kg SAR",((C$28*0.001)*$B32),IF(C$27="mg/kg DM",(((C$28*0.001)*($B$28/100))*$B32),0))))))</f>
        <v>28.8</v>
      </c>
      <c r="D32" s="76">
        <f t="shared" ref="D32:D50" si="7">(IF(D$27="%w/w SAR",((D$28*10)*$B32),IF(D$27="%w/w DM",(((D$28*10)*($B$28/100))*$B32),IF(D$27="kg/t SAR",(D$28*$B32),IF(D$27="kg/t DM",((D$28*($B$28/100))*$B32),IF(D$27="mg/kg SAR",((D$28*0.001)*$B32),IF(D$27="mg/kg DM",(((D$28*0.001)*($B$28/100))*$B32),"0")))))))*2.291</f>
        <v>3.6701820000000001</v>
      </c>
      <c r="E32" s="76">
        <f t="shared" ref="E32:E50" si="8">(IF(E$27="%w/w SAR",((E$28*10)*$B32),IF(E$27="%w/w DM",(((E$28*10)*($B$28/100))*$B32),IF(E$27="kg/t SAR",(E$28*$B32),IF(E$27="kg/t DM",((E$28*($B$28/100))*$B32),IF(E$27="mg/kg SAR",((E$28*0.001)*$B32),IF(E$27="mg/kg DM",(((E$28*0.001)*($B$28/100))*$B32),"0")))))))*1.205</f>
        <v>1.5616800000000004</v>
      </c>
      <c r="F32" s="76">
        <f t="shared" ref="F32:F50" si="9">(IF(F$27="%w/w SAR",((F$28*10)*$B32),IF(F$27="%w/w DM",(((F$28*10)*($B$28/100))*$B32),IF(F$27="kg/t SAR",(F$28*$B32),IF(F$27="kg/t DM",((F$28*($B$28/100))*$B32),IF(F$27="mg/kg SAR",((F$28*0.001)*$B32),IF(F$27="mg/kg DM",(((F$28*0.001)*($B$28/100))*$B32),"0")))))))*1.658</f>
        <v>5.2127520000000001</v>
      </c>
      <c r="G32" s="76">
        <f t="shared" si="5"/>
        <v>0.19860000000000003</v>
      </c>
      <c r="H32" s="76">
        <f t="shared" si="5"/>
        <v>2.2860000000000005</v>
      </c>
      <c r="I32" s="76">
        <f t="shared" si="5"/>
        <v>1.1634000000000002</v>
      </c>
      <c r="J32" s="76">
        <f t="shared" si="5"/>
        <v>1.2720000000000002E-2</v>
      </c>
      <c r="K32" s="76">
        <f t="shared" si="5"/>
        <v>5.0400000000000002E-3</v>
      </c>
      <c r="L32" s="76">
        <f t="shared" si="5"/>
        <v>0.52739999999999998</v>
      </c>
      <c r="M32" s="76">
        <f t="shared" si="5"/>
        <v>0.16620000000000001</v>
      </c>
      <c r="N32" s="76">
        <f t="shared" si="5"/>
        <v>34.08</v>
      </c>
      <c r="O32" s="76">
        <f t="shared" si="5"/>
        <v>3210</v>
      </c>
      <c r="P32" s="76">
        <f t="shared" si="5"/>
        <v>0</v>
      </c>
      <c r="Q32" s="76">
        <f t="shared" ref="Q32:Q50" si="10">(IF(Q$27="%w/w SAR",((Q$28*10)*$B32),IF(Q$27="%w/w DM",(((Q$28*10)*($B$28/100))*$B32),IF(Q$27="kg/t SAR",(Q$28*$B32),IF(Q$27="kg/t DM",((Q$28*($B$28/100))*$B32),IF(Q$27="mg/kg SAR",((Q$28*0.001)*$B32),IF(Q$27="mg/kg DM",(((Q$28*0.001)*($B$28/100))*$B32),0)))))))*2.5</f>
        <v>38.849999999999994</v>
      </c>
      <c r="R32" s="76">
        <f t="shared" ref="R32:U50" si="11">IF(R$27="%w/w SAR",((R$28*10)*$B32),IF(R$27="%w/w DM",(((R$28*10)*($B$28/100))*$B32),IF(R$27="kg/t SAR",(R$28*$B32),IF(R$27="kg/t DM",((R$28*($B$28/100))*$B32),IF(R$27="mg/kg SAR",((R$28*0.001)*$B32),IF(R$27="mg/kg DM",(((R$28*0.001)*($B$28/100))*$B32),0))))))</f>
        <v>0</v>
      </c>
      <c r="S32" s="76">
        <f t="shared" si="11"/>
        <v>0.33960000000000001</v>
      </c>
      <c r="T32" s="76">
        <f t="shared" si="11"/>
        <v>0</v>
      </c>
      <c r="U32" s="76">
        <f t="shared" si="11"/>
        <v>0</v>
      </c>
      <c r="AB32" s="58"/>
      <c r="AC32" s="58"/>
      <c r="AD32" s="58"/>
      <c r="AE32" s="58"/>
      <c r="AF32" s="58"/>
      <c r="AG32" s="58"/>
      <c r="AH32" s="58"/>
      <c r="AI32" s="58"/>
    </row>
    <row r="33" spans="1:35" s="71" customFormat="1" ht="13" x14ac:dyDescent="0.35">
      <c r="A33" s="13" t="str">
        <f>E8</f>
        <v>N17</v>
      </c>
      <c r="B33" s="15">
        <v>250</v>
      </c>
      <c r="C33" s="76">
        <f t="shared" si="6"/>
        <v>28.8</v>
      </c>
      <c r="D33" s="76">
        <f t="shared" si="7"/>
        <v>3.6701820000000001</v>
      </c>
      <c r="E33" s="76">
        <f t="shared" si="8"/>
        <v>1.5616800000000004</v>
      </c>
      <c r="F33" s="76">
        <f t="shared" si="9"/>
        <v>5.2127520000000001</v>
      </c>
      <c r="G33" s="76">
        <f t="shared" si="5"/>
        <v>0.19860000000000003</v>
      </c>
      <c r="H33" s="76">
        <f t="shared" si="5"/>
        <v>2.2860000000000005</v>
      </c>
      <c r="I33" s="76">
        <f t="shared" si="5"/>
        <v>1.1634000000000002</v>
      </c>
      <c r="J33" s="76">
        <f t="shared" si="5"/>
        <v>1.2720000000000002E-2</v>
      </c>
      <c r="K33" s="76">
        <f t="shared" si="5"/>
        <v>5.0400000000000002E-3</v>
      </c>
      <c r="L33" s="76">
        <f t="shared" si="5"/>
        <v>0.52739999999999998</v>
      </c>
      <c r="M33" s="76">
        <f t="shared" si="5"/>
        <v>0.16620000000000001</v>
      </c>
      <c r="N33" s="76">
        <f t="shared" si="5"/>
        <v>34.08</v>
      </c>
      <c r="O33" s="76">
        <f t="shared" si="5"/>
        <v>3210</v>
      </c>
      <c r="P33" s="76">
        <f t="shared" si="5"/>
        <v>0</v>
      </c>
      <c r="Q33" s="76">
        <f t="shared" si="10"/>
        <v>38.849999999999994</v>
      </c>
      <c r="R33" s="76">
        <f t="shared" si="11"/>
        <v>0</v>
      </c>
      <c r="S33" s="76">
        <f t="shared" si="11"/>
        <v>0.33960000000000001</v>
      </c>
      <c r="T33" s="76">
        <f t="shared" si="11"/>
        <v>0</v>
      </c>
      <c r="U33" s="76">
        <f t="shared" si="11"/>
        <v>0</v>
      </c>
      <c r="AB33" s="58"/>
      <c r="AC33" s="58"/>
      <c r="AD33" s="58"/>
      <c r="AE33" s="58"/>
      <c r="AF33" s="58"/>
      <c r="AG33" s="58"/>
      <c r="AH33" s="58"/>
      <c r="AI33" s="58"/>
    </row>
    <row r="34" spans="1:35" s="71" customFormat="1" ht="13" x14ac:dyDescent="0.35">
      <c r="A34" s="13" t="str">
        <f>F8</f>
        <v>BG1</v>
      </c>
      <c r="B34" s="15">
        <v>250</v>
      </c>
      <c r="C34" s="76">
        <f t="shared" si="6"/>
        <v>28.8</v>
      </c>
      <c r="D34" s="76">
        <f t="shared" si="7"/>
        <v>3.6701820000000001</v>
      </c>
      <c r="E34" s="76">
        <f t="shared" si="8"/>
        <v>1.5616800000000004</v>
      </c>
      <c r="F34" s="76">
        <f t="shared" si="9"/>
        <v>5.2127520000000001</v>
      </c>
      <c r="G34" s="76">
        <f t="shared" si="5"/>
        <v>0.19860000000000003</v>
      </c>
      <c r="H34" s="76">
        <f t="shared" si="5"/>
        <v>2.2860000000000005</v>
      </c>
      <c r="I34" s="76">
        <f t="shared" si="5"/>
        <v>1.1634000000000002</v>
      </c>
      <c r="J34" s="76">
        <f t="shared" si="5"/>
        <v>1.2720000000000002E-2</v>
      </c>
      <c r="K34" s="76">
        <f t="shared" si="5"/>
        <v>5.0400000000000002E-3</v>
      </c>
      <c r="L34" s="76">
        <f t="shared" si="5"/>
        <v>0.52739999999999998</v>
      </c>
      <c r="M34" s="76">
        <f t="shared" si="5"/>
        <v>0.16620000000000001</v>
      </c>
      <c r="N34" s="76">
        <f t="shared" si="5"/>
        <v>34.08</v>
      </c>
      <c r="O34" s="76">
        <f t="shared" si="5"/>
        <v>3210</v>
      </c>
      <c r="P34" s="76">
        <f t="shared" si="5"/>
        <v>0</v>
      </c>
      <c r="Q34" s="76">
        <f t="shared" si="10"/>
        <v>38.849999999999994</v>
      </c>
      <c r="R34" s="76">
        <f t="shared" si="11"/>
        <v>0</v>
      </c>
      <c r="S34" s="76">
        <f t="shared" si="11"/>
        <v>0.33960000000000001</v>
      </c>
      <c r="T34" s="76">
        <f t="shared" si="11"/>
        <v>0</v>
      </c>
      <c r="U34" s="76">
        <f t="shared" si="11"/>
        <v>0</v>
      </c>
      <c r="AB34" s="58"/>
      <c r="AC34" s="58"/>
      <c r="AD34" s="58"/>
      <c r="AE34" s="58"/>
      <c r="AF34" s="58"/>
      <c r="AG34" s="58"/>
      <c r="AH34" s="58"/>
      <c r="AI34" s="58"/>
    </row>
    <row r="35" spans="1:35" s="71" customFormat="1" ht="13" x14ac:dyDescent="0.35">
      <c r="A35" s="13" t="str">
        <f>G8</f>
        <v>BG2</v>
      </c>
      <c r="B35" s="15">
        <v>250</v>
      </c>
      <c r="C35" s="76">
        <f t="shared" si="6"/>
        <v>28.8</v>
      </c>
      <c r="D35" s="76">
        <f t="shared" si="7"/>
        <v>3.6701820000000001</v>
      </c>
      <c r="E35" s="76">
        <f t="shared" si="8"/>
        <v>1.5616800000000004</v>
      </c>
      <c r="F35" s="76">
        <f t="shared" si="9"/>
        <v>5.2127520000000001</v>
      </c>
      <c r="G35" s="76">
        <f t="shared" si="5"/>
        <v>0.19860000000000003</v>
      </c>
      <c r="H35" s="76">
        <f t="shared" si="5"/>
        <v>2.2860000000000005</v>
      </c>
      <c r="I35" s="76">
        <f t="shared" si="5"/>
        <v>1.1634000000000002</v>
      </c>
      <c r="J35" s="76">
        <f t="shared" si="5"/>
        <v>1.2720000000000002E-2</v>
      </c>
      <c r="K35" s="76">
        <f t="shared" si="5"/>
        <v>5.0400000000000002E-3</v>
      </c>
      <c r="L35" s="76">
        <f t="shared" si="5"/>
        <v>0.52739999999999998</v>
      </c>
      <c r="M35" s="76">
        <f t="shared" si="5"/>
        <v>0.16620000000000001</v>
      </c>
      <c r="N35" s="76">
        <f t="shared" si="5"/>
        <v>34.08</v>
      </c>
      <c r="O35" s="76">
        <f t="shared" si="5"/>
        <v>3210</v>
      </c>
      <c r="P35" s="76">
        <f t="shared" si="5"/>
        <v>0</v>
      </c>
      <c r="Q35" s="76">
        <f t="shared" si="10"/>
        <v>38.849999999999994</v>
      </c>
      <c r="R35" s="76">
        <f t="shared" si="11"/>
        <v>0</v>
      </c>
      <c r="S35" s="76">
        <f t="shared" si="11"/>
        <v>0.33960000000000001</v>
      </c>
      <c r="T35" s="76">
        <f t="shared" si="11"/>
        <v>0</v>
      </c>
      <c r="U35" s="76">
        <f t="shared" si="11"/>
        <v>0</v>
      </c>
      <c r="AB35" s="58"/>
      <c r="AC35" s="58"/>
      <c r="AD35" s="58"/>
      <c r="AE35" s="58"/>
      <c r="AF35" s="58"/>
      <c r="AG35" s="58"/>
      <c r="AH35" s="58"/>
      <c r="AI35" s="58"/>
    </row>
    <row r="36" spans="1:35" s="71" customFormat="1" ht="13" x14ac:dyDescent="0.35">
      <c r="A36" s="13" t="str">
        <f>H8</f>
        <v>BG3</v>
      </c>
      <c r="B36" s="15">
        <v>250</v>
      </c>
      <c r="C36" s="76">
        <f t="shared" si="6"/>
        <v>28.8</v>
      </c>
      <c r="D36" s="76">
        <f t="shared" si="7"/>
        <v>3.6701820000000001</v>
      </c>
      <c r="E36" s="76">
        <f t="shared" si="8"/>
        <v>1.5616800000000004</v>
      </c>
      <c r="F36" s="76">
        <f t="shared" si="9"/>
        <v>5.2127520000000001</v>
      </c>
      <c r="G36" s="76">
        <f t="shared" si="5"/>
        <v>0.19860000000000003</v>
      </c>
      <c r="H36" s="76">
        <f t="shared" si="5"/>
        <v>2.2860000000000005</v>
      </c>
      <c r="I36" s="76">
        <f t="shared" si="5"/>
        <v>1.1634000000000002</v>
      </c>
      <c r="J36" s="76">
        <f t="shared" si="5"/>
        <v>1.2720000000000002E-2</v>
      </c>
      <c r="K36" s="76">
        <f t="shared" si="5"/>
        <v>5.0400000000000002E-3</v>
      </c>
      <c r="L36" s="76">
        <f t="shared" si="5"/>
        <v>0.52739999999999998</v>
      </c>
      <c r="M36" s="76">
        <f t="shared" si="5"/>
        <v>0.16620000000000001</v>
      </c>
      <c r="N36" s="76">
        <f t="shared" si="5"/>
        <v>34.08</v>
      </c>
      <c r="O36" s="76">
        <f t="shared" si="5"/>
        <v>3210</v>
      </c>
      <c r="P36" s="76">
        <f t="shared" si="5"/>
        <v>0</v>
      </c>
      <c r="Q36" s="76">
        <f t="shared" si="10"/>
        <v>38.849999999999994</v>
      </c>
      <c r="R36" s="76">
        <f t="shared" si="11"/>
        <v>0</v>
      </c>
      <c r="S36" s="76">
        <f t="shared" si="11"/>
        <v>0.33960000000000001</v>
      </c>
      <c r="T36" s="76">
        <f t="shared" si="11"/>
        <v>0</v>
      </c>
      <c r="U36" s="76">
        <f t="shared" si="11"/>
        <v>0</v>
      </c>
      <c r="AB36" s="58"/>
      <c r="AC36" s="58"/>
      <c r="AD36" s="58"/>
      <c r="AE36" s="58"/>
      <c r="AF36" s="58"/>
      <c r="AG36" s="58"/>
      <c r="AH36" s="58"/>
      <c r="AI36" s="58"/>
    </row>
    <row r="37" spans="1:35" s="71" customFormat="1" ht="13" x14ac:dyDescent="0.35">
      <c r="A37" s="13" t="str">
        <f>I8</f>
        <v>BG4</v>
      </c>
      <c r="B37" s="15">
        <v>250</v>
      </c>
      <c r="C37" s="76">
        <f t="shared" si="6"/>
        <v>28.8</v>
      </c>
      <c r="D37" s="76">
        <f t="shared" si="7"/>
        <v>3.6701820000000001</v>
      </c>
      <c r="E37" s="76">
        <f t="shared" si="8"/>
        <v>1.5616800000000004</v>
      </c>
      <c r="F37" s="76">
        <f t="shared" si="9"/>
        <v>5.2127520000000001</v>
      </c>
      <c r="G37" s="76">
        <f t="shared" si="5"/>
        <v>0.19860000000000003</v>
      </c>
      <c r="H37" s="76">
        <f t="shared" si="5"/>
        <v>2.2860000000000005</v>
      </c>
      <c r="I37" s="76">
        <f t="shared" si="5"/>
        <v>1.1634000000000002</v>
      </c>
      <c r="J37" s="76">
        <f t="shared" si="5"/>
        <v>1.2720000000000002E-2</v>
      </c>
      <c r="K37" s="76">
        <f t="shared" si="5"/>
        <v>5.0400000000000002E-3</v>
      </c>
      <c r="L37" s="76">
        <f t="shared" si="5"/>
        <v>0.52739999999999998</v>
      </c>
      <c r="M37" s="76">
        <f t="shared" si="5"/>
        <v>0.16620000000000001</v>
      </c>
      <c r="N37" s="76">
        <f t="shared" si="5"/>
        <v>34.08</v>
      </c>
      <c r="O37" s="76">
        <f t="shared" si="5"/>
        <v>3210</v>
      </c>
      <c r="P37" s="76">
        <f t="shared" si="5"/>
        <v>0</v>
      </c>
      <c r="Q37" s="76">
        <f t="shared" si="10"/>
        <v>38.849999999999994</v>
      </c>
      <c r="R37" s="76">
        <f t="shared" si="11"/>
        <v>0</v>
      </c>
      <c r="S37" s="76">
        <f t="shared" si="11"/>
        <v>0.33960000000000001</v>
      </c>
      <c r="T37" s="76">
        <f t="shared" si="11"/>
        <v>0</v>
      </c>
      <c r="U37" s="76">
        <f t="shared" si="11"/>
        <v>0</v>
      </c>
      <c r="AB37" s="58"/>
      <c r="AC37" s="58"/>
      <c r="AD37" s="58"/>
      <c r="AE37" s="58"/>
      <c r="AF37" s="58"/>
      <c r="AG37" s="58"/>
      <c r="AH37" s="58"/>
      <c r="AI37" s="58"/>
    </row>
    <row r="38" spans="1:35" s="71" customFormat="1" ht="13" x14ac:dyDescent="0.35">
      <c r="A38" s="13" t="str">
        <f>J8</f>
        <v>BG5</v>
      </c>
      <c r="B38" s="15">
        <v>250</v>
      </c>
      <c r="C38" s="76">
        <f t="shared" si="6"/>
        <v>28.8</v>
      </c>
      <c r="D38" s="76">
        <f t="shared" si="7"/>
        <v>3.6701820000000001</v>
      </c>
      <c r="E38" s="76">
        <f t="shared" si="8"/>
        <v>1.5616800000000004</v>
      </c>
      <c r="F38" s="76">
        <f t="shared" si="9"/>
        <v>5.2127520000000001</v>
      </c>
      <c r="G38" s="76">
        <f t="shared" si="5"/>
        <v>0.19860000000000003</v>
      </c>
      <c r="H38" s="76">
        <f t="shared" si="5"/>
        <v>2.2860000000000005</v>
      </c>
      <c r="I38" s="76">
        <f t="shared" si="5"/>
        <v>1.1634000000000002</v>
      </c>
      <c r="J38" s="76">
        <f t="shared" si="5"/>
        <v>1.2720000000000002E-2</v>
      </c>
      <c r="K38" s="76">
        <f t="shared" si="5"/>
        <v>5.0400000000000002E-3</v>
      </c>
      <c r="L38" s="76">
        <f t="shared" si="5"/>
        <v>0.52739999999999998</v>
      </c>
      <c r="M38" s="76">
        <f t="shared" si="5"/>
        <v>0.16620000000000001</v>
      </c>
      <c r="N38" s="76">
        <f t="shared" si="5"/>
        <v>34.08</v>
      </c>
      <c r="O38" s="76">
        <f t="shared" si="5"/>
        <v>3210</v>
      </c>
      <c r="P38" s="76">
        <f t="shared" si="5"/>
        <v>0</v>
      </c>
      <c r="Q38" s="76">
        <f t="shared" si="10"/>
        <v>38.849999999999994</v>
      </c>
      <c r="R38" s="76">
        <f t="shared" si="11"/>
        <v>0</v>
      </c>
      <c r="S38" s="76">
        <f t="shared" si="11"/>
        <v>0.33960000000000001</v>
      </c>
      <c r="T38" s="76">
        <f t="shared" si="11"/>
        <v>0</v>
      </c>
      <c r="U38" s="76">
        <f t="shared" si="11"/>
        <v>0</v>
      </c>
      <c r="AB38" s="58"/>
      <c r="AC38" s="58"/>
      <c r="AD38" s="58"/>
      <c r="AE38" s="58"/>
      <c r="AF38" s="58"/>
      <c r="AG38" s="58"/>
      <c r="AH38" s="58"/>
      <c r="AI38" s="58"/>
    </row>
    <row r="39" spans="1:35" s="71" customFormat="1" ht="13" x14ac:dyDescent="0.35">
      <c r="A39" s="13" t="str">
        <f>K8</f>
        <v>Peny1</v>
      </c>
      <c r="B39" s="15">
        <v>250</v>
      </c>
      <c r="C39" s="76">
        <f t="shared" si="6"/>
        <v>28.8</v>
      </c>
      <c r="D39" s="76">
        <f t="shared" si="7"/>
        <v>3.6701820000000001</v>
      </c>
      <c r="E39" s="76">
        <f t="shared" si="8"/>
        <v>1.5616800000000004</v>
      </c>
      <c r="F39" s="76">
        <f t="shared" si="9"/>
        <v>5.2127520000000001</v>
      </c>
      <c r="G39" s="76">
        <f t="shared" si="5"/>
        <v>0.19860000000000003</v>
      </c>
      <c r="H39" s="76">
        <f t="shared" si="5"/>
        <v>2.2860000000000005</v>
      </c>
      <c r="I39" s="76">
        <f t="shared" si="5"/>
        <v>1.1634000000000002</v>
      </c>
      <c r="J39" s="76">
        <f t="shared" si="5"/>
        <v>1.2720000000000002E-2</v>
      </c>
      <c r="K39" s="76">
        <f t="shared" si="5"/>
        <v>5.0400000000000002E-3</v>
      </c>
      <c r="L39" s="76">
        <f t="shared" si="5"/>
        <v>0.52739999999999998</v>
      </c>
      <c r="M39" s="76">
        <f t="shared" si="5"/>
        <v>0.16620000000000001</v>
      </c>
      <c r="N39" s="76">
        <f t="shared" si="5"/>
        <v>34.08</v>
      </c>
      <c r="O39" s="76">
        <f t="shared" si="5"/>
        <v>3210</v>
      </c>
      <c r="P39" s="76">
        <f t="shared" si="5"/>
        <v>0</v>
      </c>
      <c r="Q39" s="76">
        <f t="shared" si="10"/>
        <v>38.849999999999994</v>
      </c>
      <c r="R39" s="76">
        <f t="shared" si="11"/>
        <v>0</v>
      </c>
      <c r="S39" s="76">
        <f t="shared" si="11"/>
        <v>0.33960000000000001</v>
      </c>
      <c r="T39" s="76">
        <f t="shared" si="11"/>
        <v>0</v>
      </c>
      <c r="U39" s="76">
        <f t="shared" si="11"/>
        <v>0</v>
      </c>
      <c r="AB39" s="58"/>
      <c r="AC39" s="58"/>
      <c r="AD39" s="58"/>
      <c r="AE39" s="58"/>
      <c r="AF39" s="58"/>
      <c r="AG39" s="58"/>
      <c r="AH39" s="58"/>
      <c r="AI39" s="58"/>
    </row>
    <row r="40" spans="1:35" s="71" customFormat="1" ht="13" x14ac:dyDescent="0.35">
      <c r="A40" s="13" t="str">
        <f>L8</f>
        <v>G1</v>
      </c>
      <c r="B40" s="15">
        <v>250</v>
      </c>
      <c r="C40" s="76">
        <f t="shared" si="6"/>
        <v>28.8</v>
      </c>
      <c r="D40" s="76">
        <f t="shared" si="7"/>
        <v>3.6701820000000001</v>
      </c>
      <c r="E40" s="76">
        <f t="shared" si="8"/>
        <v>1.5616800000000004</v>
      </c>
      <c r="F40" s="76">
        <f t="shared" si="9"/>
        <v>5.2127520000000001</v>
      </c>
      <c r="G40" s="76">
        <f t="shared" si="5"/>
        <v>0.19860000000000003</v>
      </c>
      <c r="H40" s="76">
        <f t="shared" si="5"/>
        <v>2.2860000000000005</v>
      </c>
      <c r="I40" s="76">
        <f t="shared" si="5"/>
        <v>1.1634000000000002</v>
      </c>
      <c r="J40" s="76">
        <f t="shared" si="5"/>
        <v>1.2720000000000002E-2</v>
      </c>
      <c r="K40" s="76">
        <f t="shared" si="5"/>
        <v>5.0400000000000002E-3</v>
      </c>
      <c r="L40" s="76">
        <f t="shared" si="5"/>
        <v>0.52739999999999998</v>
      </c>
      <c r="M40" s="76">
        <f t="shared" si="5"/>
        <v>0.16620000000000001</v>
      </c>
      <c r="N40" s="76">
        <f t="shared" si="5"/>
        <v>34.08</v>
      </c>
      <c r="O40" s="76">
        <f t="shared" si="5"/>
        <v>3210</v>
      </c>
      <c r="P40" s="76">
        <f t="shared" si="5"/>
        <v>0</v>
      </c>
      <c r="Q40" s="76">
        <f t="shared" si="10"/>
        <v>38.849999999999994</v>
      </c>
      <c r="R40" s="76">
        <f t="shared" si="11"/>
        <v>0</v>
      </c>
      <c r="S40" s="76">
        <f t="shared" si="11"/>
        <v>0.33960000000000001</v>
      </c>
      <c r="T40" s="76">
        <f t="shared" si="11"/>
        <v>0</v>
      </c>
      <c r="U40" s="76">
        <f t="shared" si="11"/>
        <v>0</v>
      </c>
      <c r="AB40" s="58"/>
      <c r="AC40" s="58"/>
      <c r="AD40" s="58"/>
      <c r="AE40" s="58"/>
      <c r="AF40" s="58"/>
      <c r="AG40" s="58"/>
      <c r="AH40" s="58"/>
      <c r="AI40" s="58"/>
    </row>
    <row r="41" spans="1:35" s="71" customFormat="1" ht="13" x14ac:dyDescent="0.35">
      <c r="A41" s="13" t="str">
        <f>M8</f>
        <v>G2</v>
      </c>
      <c r="B41" s="15">
        <v>250</v>
      </c>
      <c r="C41" s="76">
        <f t="shared" si="6"/>
        <v>28.8</v>
      </c>
      <c r="D41" s="76">
        <f t="shared" si="7"/>
        <v>3.6701820000000001</v>
      </c>
      <c r="E41" s="76">
        <f t="shared" si="8"/>
        <v>1.5616800000000004</v>
      </c>
      <c r="F41" s="76">
        <f t="shared" si="9"/>
        <v>5.2127520000000001</v>
      </c>
      <c r="G41" s="76">
        <f t="shared" si="5"/>
        <v>0.19860000000000003</v>
      </c>
      <c r="H41" s="76">
        <f t="shared" si="5"/>
        <v>2.2860000000000005</v>
      </c>
      <c r="I41" s="76">
        <f t="shared" si="5"/>
        <v>1.1634000000000002</v>
      </c>
      <c r="J41" s="76">
        <f t="shared" si="5"/>
        <v>1.2720000000000002E-2</v>
      </c>
      <c r="K41" s="76">
        <f t="shared" si="5"/>
        <v>5.0400000000000002E-3</v>
      </c>
      <c r="L41" s="76">
        <f t="shared" si="5"/>
        <v>0.52739999999999998</v>
      </c>
      <c r="M41" s="76">
        <f t="shared" si="5"/>
        <v>0.16620000000000001</v>
      </c>
      <c r="N41" s="76">
        <f t="shared" si="5"/>
        <v>34.08</v>
      </c>
      <c r="O41" s="76">
        <f t="shared" si="5"/>
        <v>3210</v>
      </c>
      <c r="P41" s="76">
        <f t="shared" si="5"/>
        <v>0</v>
      </c>
      <c r="Q41" s="76">
        <f t="shared" si="10"/>
        <v>38.849999999999994</v>
      </c>
      <c r="R41" s="76">
        <f t="shared" si="11"/>
        <v>0</v>
      </c>
      <c r="S41" s="76">
        <f t="shared" si="11"/>
        <v>0.33960000000000001</v>
      </c>
      <c r="T41" s="76">
        <f t="shared" si="11"/>
        <v>0</v>
      </c>
      <c r="U41" s="76">
        <f t="shared" si="11"/>
        <v>0</v>
      </c>
      <c r="AB41" s="58"/>
      <c r="AC41" s="58"/>
      <c r="AD41" s="58"/>
      <c r="AE41" s="58"/>
      <c r="AF41" s="58"/>
      <c r="AG41" s="58"/>
      <c r="AH41" s="58"/>
      <c r="AI41" s="58"/>
    </row>
    <row r="42" spans="1:35" s="71" customFormat="1" ht="13" x14ac:dyDescent="0.35">
      <c r="A42" s="13" t="str">
        <f>N8</f>
        <v>G3</v>
      </c>
      <c r="B42" s="15">
        <v>250</v>
      </c>
      <c r="C42" s="76">
        <f t="shared" si="6"/>
        <v>28.8</v>
      </c>
      <c r="D42" s="76">
        <f t="shared" si="7"/>
        <v>3.6701820000000001</v>
      </c>
      <c r="E42" s="76">
        <f t="shared" si="8"/>
        <v>1.5616800000000004</v>
      </c>
      <c r="F42" s="76">
        <f t="shared" si="9"/>
        <v>5.2127520000000001</v>
      </c>
      <c r="G42" s="76">
        <f t="shared" si="5"/>
        <v>0.19860000000000003</v>
      </c>
      <c r="H42" s="76">
        <f t="shared" si="5"/>
        <v>2.2860000000000005</v>
      </c>
      <c r="I42" s="76">
        <f t="shared" si="5"/>
        <v>1.1634000000000002</v>
      </c>
      <c r="J42" s="76">
        <f t="shared" si="5"/>
        <v>1.2720000000000002E-2</v>
      </c>
      <c r="K42" s="76">
        <f t="shared" si="5"/>
        <v>5.0400000000000002E-3</v>
      </c>
      <c r="L42" s="76">
        <f t="shared" si="5"/>
        <v>0.52739999999999998</v>
      </c>
      <c r="M42" s="76">
        <f t="shared" si="5"/>
        <v>0.16620000000000001</v>
      </c>
      <c r="N42" s="76">
        <f t="shared" si="5"/>
        <v>34.08</v>
      </c>
      <c r="O42" s="76">
        <f t="shared" si="5"/>
        <v>3210</v>
      </c>
      <c r="P42" s="76">
        <f t="shared" si="5"/>
        <v>0</v>
      </c>
      <c r="Q42" s="76">
        <f t="shared" si="10"/>
        <v>38.849999999999994</v>
      </c>
      <c r="R42" s="76">
        <f t="shared" si="11"/>
        <v>0</v>
      </c>
      <c r="S42" s="76">
        <f t="shared" si="11"/>
        <v>0.33960000000000001</v>
      </c>
      <c r="T42" s="76">
        <f t="shared" si="11"/>
        <v>0</v>
      </c>
      <c r="U42" s="76">
        <f t="shared" si="11"/>
        <v>0</v>
      </c>
      <c r="AB42" s="58"/>
      <c r="AC42" s="58"/>
      <c r="AD42" s="58"/>
      <c r="AE42" s="58"/>
      <c r="AF42" s="58"/>
      <c r="AG42" s="58"/>
      <c r="AH42" s="58"/>
      <c r="AI42" s="58"/>
    </row>
    <row r="43" spans="1:35" s="71" customFormat="1" ht="13" x14ac:dyDescent="0.35">
      <c r="A43" s="13" t="str">
        <f>O8</f>
        <v>G4A</v>
      </c>
      <c r="B43" s="15">
        <v>250</v>
      </c>
      <c r="C43" s="76">
        <f t="shared" si="6"/>
        <v>28.8</v>
      </c>
      <c r="D43" s="76">
        <f t="shared" si="7"/>
        <v>3.6701820000000001</v>
      </c>
      <c r="E43" s="76">
        <f t="shared" si="8"/>
        <v>1.5616800000000004</v>
      </c>
      <c r="F43" s="76">
        <f t="shared" si="9"/>
        <v>5.2127520000000001</v>
      </c>
      <c r="G43" s="76">
        <f t="shared" si="5"/>
        <v>0.19860000000000003</v>
      </c>
      <c r="H43" s="76">
        <f t="shared" si="5"/>
        <v>2.2860000000000005</v>
      </c>
      <c r="I43" s="76">
        <f t="shared" si="5"/>
        <v>1.1634000000000002</v>
      </c>
      <c r="J43" s="76">
        <f t="shared" si="5"/>
        <v>1.2720000000000002E-2</v>
      </c>
      <c r="K43" s="76">
        <f t="shared" si="5"/>
        <v>5.0400000000000002E-3</v>
      </c>
      <c r="L43" s="76">
        <f t="shared" si="5"/>
        <v>0.52739999999999998</v>
      </c>
      <c r="M43" s="76">
        <f t="shared" si="5"/>
        <v>0.16620000000000001</v>
      </c>
      <c r="N43" s="76">
        <f t="shared" si="5"/>
        <v>34.08</v>
      </c>
      <c r="O43" s="76">
        <f t="shared" si="5"/>
        <v>3210</v>
      </c>
      <c r="P43" s="76">
        <f t="shared" si="5"/>
        <v>0</v>
      </c>
      <c r="Q43" s="76">
        <f t="shared" si="10"/>
        <v>38.849999999999994</v>
      </c>
      <c r="R43" s="76">
        <f t="shared" si="11"/>
        <v>0</v>
      </c>
      <c r="S43" s="76">
        <f t="shared" si="11"/>
        <v>0.33960000000000001</v>
      </c>
      <c r="T43" s="76">
        <f t="shared" si="11"/>
        <v>0</v>
      </c>
      <c r="U43" s="76">
        <f t="shared" si="11"/>
        <v>0</v>
      </c>
      <c r="AB43" s="58"/>
      <c r="AC43" s="58"/>
      <c r="AD43" s="58"/>
      <c r="AE43" s="58"/>
      <c r="AF43" s="58"/>
      <c r="AG43" s="58"/>
      <c r="AH43" s="58"/>
      <c r="AI43" s="58"/>
    </row>
    <row r="44" spans="1:35" s="71" customFormat="1" ht="13" x14ac:dyDescent="0.35">
      <c r="A44" s="13" t="str">
        <f>P8</f>
        <v>G4B</v>
      </c>
      <c r="B44" s="15">
        <v>250</v>
      </c>
      <c r="C44" s="76">
        <f t="shared" si="6"/>
        <v>28.8</v>
      </c>
      <c r="D44" s="76">
        <f t="shared" si="7"/>
        <v>3.6701820000000001</v>
      </c>
      <c r="E44" s="76">
        <f t="shared" si="8"/>
        <v>1.5616800000000004</v>
      </c>
      <c r="F44" s="76">
        <f t="shared" si="9"/>
        <v>5.2127520000000001</v>
      </c>
      <c r="G44" s="76">
        <f t="shared" si="5"/>
        <v>0.19860000000000003</v>
      </c>
      <c r="H44" s="76">
        <f t="shared" si="5"/>
        <v>2.2860000000000005</v>
      </c>
      <c r="I44" s="76">
        <f t="shared" si="5"/>
        <v>1.1634000000000002</v>
      </c>
      <c r="J44" s="76">
        <f t="shared" si="5"/>
        <v>1.2720000000000002E-2</v>
      </c>
      <c r="K44" s="76">
        <f t="shared" si="5"/>
        <v>5.0400000000000002E-3</v>
      </c>
      <c r="L44" s="76">
        <f t="shared" si="5"/>
        <v>0.52739999999999998</v>
      </c>
      <c r="M44" s="76">
        <f t="shared" si="5"/>
        <v>0.16620000000000001</v>
      </c>
      <c r="N44" s="76">
        <f t="shared" si="5"/>
        <v>34.08</v>
      </c>
      <c r="O44" s="76">
        <f t="shared" si="5"/>
        <v>3210</v>
      </c>
      <c r="P44" s="76">
        <f t="shared" si="5"/>
        <v>0</v>
      </c>
      <c r="Q44" s="76">
        <f t="shared" si="10"/>
        <v>38.849999999999994</v>
      </c>
      <c r="R44" s="76">
        <f t="shared" si="11"/>
        <v>0</v>
      </c>
      <c r="S44" s="76">
        <f t="shared" si="11"/>
        <v>0.33960000000000001</v>
      </c>
      <c r="T44" s="76">
        <f t="shared" si="11"/>
        <v>0</v>
      </c>
      <c r="U44" s="76">
        <f t="shared" si="11"/>
        <v>0</v>
      </c>
      <c r="AB44" s="58"/>
      <c r="AC44" s="58"/>
      <c r="AD44" s="58"/>
      <c r="AE44" s="58"/>
      <c r="AF44" s="58"/>
      <c r="AG44" s="58"/>
      <c r="AH44" s="58"/>
      <c r="AI44" s="58"/>
    </row>
    <row r="45" spans="1:35" s="71" customFormat="1" ht="13" x14ac:dyDescent="0.35">
      <c r="A45" s="13" t="str">
        <f>Q8</f>
        <v>G5</v>
      </c>
      <c r="B45" s="15">
        <v>250</v>
      </c>
      <c r="C45" s="76">
        <f t="shared" si="6"/>
        <v>28.8</v>
      </c>
      <c r="D45" s="76">
        <f t="shared" si="7"/>
        <v>3.6701820000000001</v>
      </c>
      <c r="E45" s="76">
        <f t="shared" si="8"/>
        <v>1.5616800000000004</v>
      </c>
      <c r="F45" s="76">
        <f t="shared" si="9"/>
        <v>5.2127520000000001</v>
      </c>
      <c r="G45" s="76">
        <f t="shared" si="5"/>
        <v>0.19860000000000003</v>
      </c>
      <c r="H45" s="76">
        <f t="shared" si="5"/>
        <v>2.2860000000000005</v>
      </c>
      <c r="I45" s="76">
        <f t="shared" si="5"/>
        <v>1.1634000000000002</v>
      </c>
      <c r="J45" s="76">
        <f t="shared" si="5"/>
        <v>1.2720000000000002E-2</v>
      </c>
      <c r="K45" s="76">
        <f t="shared" si="5"/>
        <v>5.0400000000000002E-3</v>
      </c>
      <c r="L45" s="76">
        <f t="shared" si="5"/>
        <v>0.52739999999999998</v>
      </c>
      <c r="M45" s="76">
        <f t="shared" si="5"/>
        <v>0.16620000000000001</v>
      </c>
      <c r="N45" s="76">
        <f t="shared" si="5"/>
        <v>34.08</v>
      </c>
      <c r="O45" s="76">
        <f t="shared" si="5"/>
        <v>3210</v>
      </c>
      <c r="P45" s="76">
        <f t="shared" si="5"/>
        <v>0</v>
      </c>
      <c r="Q45" s="76">
        <f t="shared" si="10"/>
        <v>38.849999999999994</v>
      </c>
      <c r="R45" s="76">
        <f t="shared" si="11"/>
        <v>0</v>
      </c>
      <c r="S45" s="76">
        <f t="shared" si="11"/>
        <v>0.33960000000000001</v>
      </c>
      <c r="T45" s="76">
        <f t="shared" si="11"/>
        <v>0</v>
      </c>
      <c r="U45" s="76">
        <f t="shared" si="11"/>
        <v>0</v>
      </c>
      <c r="AB45" s="58"/>
      <c r="AC45" s="58"/>
      <c r="AD45" s="58"/>
      <c r="AE45" s="58"/>
      <c r="AF45" s="58"/>
      <c r="AG45" s="58"/>
      <c r="AH45" s="58"/>
      <c r="AI45" s="58"/>
    </row>
    <row r="46" spans="1:35" s="71" customFormat="1" ht="13" x14ac:dyDescent="0.35">
      <c r="A46" s="13" t="str">
        <f>R8</f>
        <v>G9</v>
      </c>
      <c r="B46" s="15">
        <v>250</v>
      </c>
      <c r="C46" s="76">
        <f t="shared" si="6"/>
        <v>28.8</v>
      </c>
      <c r="D46" s="76">
        <f t="shared" si="7"/>
        <v>3.6701820000000001</v>
      </c>
      <c r="E46" s="76">
        <f t="shared" si="8"/>
        <v>1.5616800000000004</v>
      </c>
      <c r="F46" s="76">
        <f t="shared" si="9"/>
        <v>5.2127520000000001</v>
      </c>
      <c r="G46" s="76">
        <f t="shared" si="5"/>
        <v>0.19860000000000003</v>
      </c>
      <c r="H46" s="76">
        <f t="shared" si="5"/>
        <v>2.2860000000000005</v>
      </c>
      <c r="I46" s="76">
        <f t="shared" si="5"/>
        <v>1.1634000000000002</v>
      </c>
      <c r="J46" s="76">
        <f t="shared" si="5"/>
        <v>1.2720000000000002E-2</v>
      </c>
      <c r="K46" s="76">
        <f t="shared" si="5"/>
        <v>5.0400000000000002E-3</v>
      </c>
      <c r="L46" s="76">
        <f t="shared" si="5"/>
        <v>0.52739999999999998</v>
      </c>
      <c r="M46" s="76">
        <f t="shared" si="5"/>
        <v>0.16620000000000001</v>
      </c>
      <c r="N46" s="76">
        <f t="shared" si="5"/>
        <v>34.08</v>
      </c>
      <c r="O46" s="76">
        <f t="shared" si="5"/>
        <v>3210</v>
      </c>
      <c r="P46" s="76">
        <f t="shared" si="5"/>
        <v>0</v>
      </c>
      <c r="Q46" s="76">
        <f t="shared" si="10"/>
        <v>38.849999999999994</v>
      </c>
      <c r="R46" s="76">
        <f t="shared" si="11"/>
        <v>0</v>
      </c>
      <c r="S46" s="76">
        <f t="shared" si="11"/>
        <v>0.33960000000000001</v>
      </c>
      <c r="T46" s="76">
        <f t="shared" si="11"/>
        <v>0</v>
      </c>
      <c r="U46" s="76">
        <f t="shared" si="11"/>
        <v>0</v>
      </c>
      <c r="AB46" s="58"/>
      <c r="AC46" s="58"/>
      <c r="AD46" s="58"/>
      <c r="AE46" s="58"/>
      <c r="AF46" s="58"/>
      <c r="AG46" s="58"/>
      <c r="AH46" s="58"/>
      <c r="AI46" s="58"/>
    </row>
    <row r="47" spans="1:35" s="71" customFormat="1" ht="13" x14ac:dyDescent="0.35">
      <c r="A47" s="13" t="str">
        <f>S8</f>
        <v>G12</v>
      </c>
      <c r="B47" s="15">
        <v>250</v>
      </c>
      <c r="C47" s="76">
        <f t="shared" si="6"/>
        <v>28.8</v>
      </c>
      <c r="D47" s="76">
        <f t="shared" si="7"/>
        <v>3.6701820000000001</v>
      </c>
      <c r="E47" s="76">
        <f t="shared" si="8"/>
        <v>1.5616800000000004</v>
      </c>
      <c r="F47" s="76">
        <f t="shared" si="9"/>
        <v>5.2127520000000001</v>
      </c>
      <c r="G47" s="76">
        <f t="shared" ref="G47:P50" si="12">IF(G$27="%w/w SAR",((G$28*10)*$B47),IF(G$27="%w/w DM",(((G$28*10)*($B$28/100))*$B47),IF(G$27="kg/t SAR",(G$28*$B47),IF(G$27="kg/t DM",((G$28*($B$28/100))*$B47),IF(G$27="mg/kg SAR",((G$28*0.001)*$B47),IF(G$27="mg/kg DM",(((G$28*0.001)*($B$28/100))*$B47),0))))))</f>
        <v>0.19860000000000003</v>
      </c>
      <c r="H47" s="76">
        <f t="shared" si="12"/>
        <v>2.2860000000000005</v>
      </c>
      <c r="I47" s="76">
        <f t="shared" si="12"/>
        <v>1.1634000000000002</v>
      </c>
      <c r="J47" s="76">
        <f t="shared" si="12"/>
        <v>1.2720000000000002E-2</v>
      </c>
      <c r="K47" s="76">
        <f t="shared" si="12"/>
        <v>5.0400000000000002E-3</v>
      </c>
      <c r="L47" s="76">
        <f t="shared" si="12"/>
        <v>0.52739999999999998</v>
      </c>
      <c r="M47" s="76">
        <f t="shared" si="12"/>
        <v>0.16620000000000001</v>
      </c>
      <c r="N47" s="76">
        <f t="shared" si="12"/>
        <v>34.08</v>
      </c>
      <c r="O47" s="76">
        <f t="shared" si="12"/>
        <v>3210</v>
      </c>
      <c r="P47" s="76">
        <f t="shared" si="12"/>
        <v>0</v>
      </c>
      <c r="Q47" s="76">
        <f t="shared" si="10"/>
        <v>38.849999999999994</v>
      </c>
      <c r="R47" s="76">
        <f t="shared" si="11"/>
        <v>0</v>
      </c>
      <c r="S47" s="76">
        <f t="shared" si="11"/>
        <v>0.33960000000000001</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str">
        <f>L16&amp;" I "&amp;(VLOOKUP(L14,Table24581114[],6,FALSE))</f>
        <v>Medium/Clay I Grass</v>
      </c>
      <c r="L58" s="13" t="str">
        <f>M16&amp;" I "&amp;(VLOOKUP(M14,Table24581114[],6,FALSE))</f>
        <v>Medium/Clay I Grass</v>
      </c>
      <c r="M58" s="13" t="str">
        <f>N16&amp;" I "&amp;(VLOOKUP(N14,Table24581114[],6,FALSE))</f>
        <v>Medium/Clay I Grass</v>
      </c>
      <c r="N58" s="13" t="str">
        <f>O16&amp;" I "&amp;(VLOOKUP(O14,Table24581114[],6,FALSE))</f>
        <v>Medium/Clay I Grass</v>
      </c>
      <c r="O58" s="13" t="str">
        <f>P16&amp;" I "&amp;(VLOOKUP(P14,Table24581114[],6,FALSE))</f>
        <v>Medium/Clay I Grass</v>
      </c>
      <c r="P58" s="13" t="str">
        <f>Q16&amp;" I "&amp;(VLOOKUP(Q14,Table24581114[],6,FALSE))</f>
        <v>Medium/Clay I Grass</v>
      </c>
      <c r="Q58" s="13" t="str">
        <f>R16&amp;" I "&amp;(VLOOKUP(R14,Table24581114[],6,FALSE))</f>
        <v>Medium/Clay I Grass</v>
      </c>
      <c r="R58" s="13" t="str">
        <f>S16&amp;" I "&amp;(VLOOKUP(S14,Table24581114[],6,FALSE))</f>
        <v>Medium/Clay I Grass</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f>VLOOKUP(L$14,Table24581114[],5,FALSE)</f>
        <v>6.2</v>
      </c>
      <c r="L59" s="75">
        <f>VLOOKUP(M$14,Table24581114[],5,FALSE)</f>
        <v>6.2</v>
      </c>
      <c r="M59" s="75">
        <f>VLOOKUP(N$14,Table24581114[],5,FALSE)</f>
        <v>6.2</v>
      </c>
      <c r="N59" s="75">
        <f>VLOOKUP(O$14,Table24581114[],5,FALSE)</f>
        <v>6.2</v>
      </c>
      <c r="O59" s="75">
        <f>VLOOKUP(P$14,Table24581114[],5,FALSE)</f>
        <v>6.2</v>
      </c>
      <c r="P59" s="75">
        <f>VLOOKUP(Q$14,Table24581114[],5,FALSE)</f>
        <v>6.2</v>
      </c>
      <c r="Q59" s="75">
        <f>VLOOKUP(R$14,Table24581114[],5,FALSE)</f>
        <v>6.2</v>
      </c>
      <c r="R59" s="75">
        <f>VLOOKUP(S$14,Table24581114[],5,FALSE)</f>
        <v>6.2</v>
      </c>
      <c r="S59" s="75" t="e">
        <f>VLOOKUP(T$14,Table24581114[],5,FALSE)</f>
        <v>#N/A</v>
      </c>
      <c r="T59" s="75" t="e">
        <f>VLOOKUP(U$14,Table24581114[],5,FALSE)</f>
        <v>#N/A</v>
      </c>
      <c r="U59" s="75" t="e">
        <f>VLOOKUP(V$14,Table24581114[],5,FALSE)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250</v>
      </c>
      <c r="Q62" s="76">
        <f>B46</f>
        <v>250</v>
      </c>
      <c r="R62" s="76">
        <f>B47</f>
        <v>250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6" zoomScale="90" zoomScaleNormal="90" workbookViewId="0">
      <selection activeCell="C45" sqref="C45"/>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Bryngwyn!C1:D1</f>
        <v>PAN-020670</v>
      </c>
      <c r="D1" s="143"/>
      <c r="E1" s="92" t="s">
        <v>45</v>
      </c>
      <c r="F1" s="38">
        <f>Bryngwyn!F1</f>
        <v>34</v>
      </c>
      <c r="G1" s="121" t="s">
        <v>43</v>
      </c>
      <c r="H1" s="122"/>
      <c r="I1" s="117">
        <v>7.4</v>
      </c>
      <c r="J1" s="120" t="s">
        <v>153</v>
      </c>
      <c r="K1" s="120"/>
      <c r="L1" s="96">
        <v>6</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1.1100000000000001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5.4054054054054043E-2</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35.407405000000004</v>
      </c>
      <c r="D18" s="16">
        <f>$D32</f>
        <v>35.407405000000004</v>
      </c>
      <c r="E18" s="16">
        <f>$D33</f>
        <v>35.407405000000004</v>
      </c>
      <c r="F18" s="16">
        <f>$D34</f>
        <v>35.407405000000004</v>
      </c>
      <c r="G18" s="16">
        <f>$D35</f>
        <v>35.407405000000004</v>
      </c>
      <c r="H18" s="16">
        <f>$D36</f>
        <v>35.407405000000004</v>
      </c>
      <c r="I18" s="16">
        <f>$D37</f>
        <v>35.407405000000004</v>
      </c>
      <c r="J18" s="16">
        <f>$D38</f>
        <v>35.407405000000004</v>
      </c>
      <c r="K18" s="16">
        <f>$D39</f>
        <v>35.407405000000004</v>
      </c>
      <c r="L18" s="16">
        <f>$D40</f>
        <v>35.407405000000004</v>
      </c>
      <c r="M18" s="16">
        <f>$D41</f>
        <v>35.407405000000004</v>
      </c>
      <c r="N18" s="16">
        <f>$D42</f>
        <v>35.407405000000004</v>
      </c>
      <c r="O18" s="16">
        <f>$D43</f>
        <v>35.407405000000004</v>
      </c>
      <c r="P18" s="16">
        <f>$D44</f>
        <v>35.407405000000004</v>
      </c>
      <c r="Q18" s="16">
        <f>$D45</f>
        <v>35.407405000000004</v>
      </c>
      <c r="R18" s="16">
        <f>$D46</f>
        <v>35.407405000000004</v>
      </c>
      <c r="S18" s="16">
        <f>$D47</f>
        <v>35.407405000000004</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-29.19259499999999</v>
      </c>
      <c r="D19" s="16">
        <f t="shared" ref="D19:V19" si="1">D18-D17</f>
        <v>-29.19259499999999</v>
      </c>
      <c r="E19" s="16">
        <f t="shared" si="1"/>
        <v>-29.19259499999999</v>
      </c>
      <c r="F19" s="16">
        <f t="shared" si="1"/>
        <v>-29.19259499999999</v>
      </c>
      <c r="G19" s="16">
        <f t="shared" si="1"/>
        <v>-29.19259499999999</v>
      </c>
      <c r="H19" s="16">
        <f t="shared" si="1"/>
        <v>-29.19259499999999</v>
      </c>
      <c r="I19" s="16">
        <f t="shared" si="1"/>
        <v>-29.19259499999999</v>
      </c>
      <c r="J19" s="16">
        <f t="shared" si="1"/>
        <v>-29.19259499999999</v>
      </c>
      <c r="K19" s="16">
        <f t="shared" si="1"/>
        <v>-29.19259499999999</v>
      </c>
      <c r="L19" s="16">
        <f t="shared" si="1"/>
        <v>-29.19259499999999</v>
      </c>
      <c r="M19" s="16">
        <f t="shared" si="1"/>
        <v>-29.19259499999999</v>
      </c>
      <c r="N19" s="16">
        <f t="shared" si="1"/>
        <v>-29.19259499999999</v>
      </c>
      <c r="O19" s="16">
        <f t="shared" si="1"/>
        <v>-29.19259499999999</v>
      </c>
      <c r="P19" s="16">
        <f t="shared" si="1"/>
        <v>-29.19259499999999</v>
      </c>
      <c r="Q19" s="16">
        <f t="shared" si="1"/>
        <v>-29.19259499999999</v>
      </c>
      <c r="R19" s="16">
        <f t="shared" si="1"/>
        <v>-29.19259499999999</v>
      </c>
      <c r="S19" s="16">
        <f t="shared" si="1"/>
        <v>-29.19259499999999</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26.580492500000005</v>
      </c>
      <c r="D22" s="16">
        <f>$E32</f>
        <v>26.580492500000005</v>
      </c>
      <c r="E22" s="16">
        <f>$E33</f>
        <v>26.580492500000005</v>
      </c>
      <c r="F22" s="16">
        <f>$E34</f>
        <v>26.580492500000005</v>
      </c>
      <c r="G22" s="16">
        <f>$E35</f>
        <v>26.580492500000005</v>
      </c>
      <c r="H22" s="16">
        <f>$E36</f>
        <v>26.580492500000005</v>
      </c>
      <c r="I22" s="16">
        <f>$E37</f>
        <v>26.580492500000005</v>
      </c>
      <c r="J22" s="16">
        <f>$E38</f>
        <v>26.580492500000005</v>
      </c>
      <c r="K22" s="16">
        <f>$E39</f>
        <v>26.580492500000005</v>
      </c>
      <c r="L22" s="16">
        <f>$E40</f>
        <v>26.580492500000005</v>
      </c>
      <c r="M22" s="16">
        <f>$E41</f>
        <v>26.580492500000005</v>
      </c>
      <c r="N22" s="16">
        <f>$E42</f>
        <v>26.580492500000005</v>
      </c>
      <c r="O22" s="16">
        <f>$E43</f>
        <v>26.580492500000005</v>
      </c>
      <c r="P22" s="16">
        <f>$E44</f>
        <v>26.580492500000005</v>
      </c>
      <c r="Q22" s="16">
        <f>$E45</f>
        <v>26.580492500000005</v>
      </c>
      <c r="R22" s="16">
        <f>$E46</f>
        <v>26.580492500000005</v>
      </c>
      <c r="S22" s="16">
        <f>$E47</f>
        <v>26.580492500000005</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-201.41950750000001</v>
      </c>
      <c r="D23" s="16">
        <f t="shared" ref="D23:V23" si="3">D22-D21</f>
        <v>-201.41950750000001</v>
      </c>
      <c r="E23" s="16">
        <f t="shared" si="3"/>
        <v>-201.41950750000001</v>
      </c>
      <c r="F23" s="16">
        <f t="shared" si="3"/>
        <v>-201.41950750000001</v>
      </c>
      <c r="G23" s="16">
        <f t="shared" si="3"/>
        <v>-201.41950750000001</v>
      </c>
      <c r="H23" s="16">
        <f t="shared" si="3"/>
        <v>-201.41950750000001</v>
      </c>
      <c r="I23" s="16">
        <f t="shared" si="3"/>
        <v>-201.41950750000001</v>
      </c>
      <c r="J23" s="16">
        <f t="shared" si="3"/>
        <v>-201.41950750000001</v>
      </c>
      <c r="K23" s="16">
        <f t="shared" si="3"/>
        <v>-201.41950750000001</v>
      </c>
      <c r="L23" s="16">
        <f t="shared" si="3"/>
        <v>-201.41950750000001</v>
      </c>
      <c r="M23" s="16">
        <f t="shared" si="3"/>
        <v>-201.41950750000001</v>
      </c>
      <c r="N23" s="16">
        <f t="shared" si="3"/>
        <v>-201.41950750000001</v>
      </c>
      <c r="O23" s="16">
        <f t="shared" si="3"/>
        <v>-201.41950750000001</v>
      </c>
      <c r="P23" s="16">
        <f t="shared" si="3"/>
        <v>-201.41950750000001</v>
      </c>
      <c r="Q23" s="16">
        <f t="shared" si="3"/>
        <v>-201.41950750000001</v>
      </c>
      <c r="R23" s="16">
        <f t="shared" si="3"/>
        <v>-201.41950750000001</v>
      </c>
      <c r="S23" s="16">
        <f t="shared" si="3"/>
        <v>-201.41950750000001</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5.62</v>
      </c>
      <c r="C28" s="15">
        <v>1.1100000000000001</v>
      </c>
      <c r="D28" s="15">
        <v>0.11</v>
      </c>
      <c r="E28" s="15">
        <v>0.157</v>
      </c>
      <c r="F28" s="15">
        <v>2280</v>
      </c>
      <c r="G28" s="15">
        <v>34.5</v>
      </c>
      <c r="H28" s="15">
        <v>165</v>
      </c>
      <c r="I28" s="15">
        <v>22.2</v>
      </c>
      <c r="J28" s="15">
        <v>0.28999999999999998</v>
      </c>
      <c r="K28" s="15">
        <v>0.36</v>
      </c>
      <c r="L28" s="15">
        <v>25.6</v>
      </c>
      <c r="M28" s="15">
        <v>20.6</v>
      </c>
      <c r="N28" s="15">
        <v>4230</v>
      </c>
      <c r="O28" s="15">
        <v>301000</v>
      </c>
      <c r="P28" s="15"/>
      <c r="Q28" s="15">
        <v>2710</v>
      </c>
      <c r="R28" s="15"/>
      <c r="S28" s="15">
        <v>16.7</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250</v>
      </c>
      <c r="C31" s="76">
        <f>IF(C$27="%w/w SAR",((C$28*10)*$B31),IF(C$27="%w/w DM",(((C$28*10)*($B$28/100))*$B31),IF(C$27="kg/t SAR",(C$28*$B31),IF(C$27="kg/t DM",((C$28*($B$28/100))*$B31),IF(C$27="mg/kg SAR",((C$28*0.001)*$B31),IF(C$27="mg/kg DM",(((C$28*0.001)*($B$28/100))*$B31),0))))))</f>
        <v>155.95500000000001</v>
      </c>
      <c r="D31" s="76">
        <f>(IF(D$27="%w/w SAR",((D$28*10)*$B31),IF(D$27="%w/w DM",(((D$28*10)*($B$28/100))*$B31),IF(D$27="kg/t SAR",(D$28*$B31),IF(D$27="kg/t DM",((D$28*($B$28/100))*$B31),IF(D$27="mg/kg SAR",((D$28*0.001)*$B31),IF(D$27="mg/kg DM",(((D$28*0.001)*($B$28/100))*$B31),"0")))))))*2.291</f>
        <v>35.407405000000004</v>
      </c>
      <c r="E31" s="76">
        <f>(IF(E$27="%w/w SAR",((E$28*10)*$B31),IF(E$27="%w/w DM",(((E$28*10)*($B$28/100))*$B31),IF(E$27="kg/t SAR",(E$28*$B31),IF(E$27="kg/t DM",((E$28*($B$28/100))*$B31),IF(E$27="mg/kg SAR",((E$28*0.001)*$B31),IF(E$27="mg/kg DM",(((E$28*0.001)*($B$28/100))*$B31),"0")))))))*1.205</f>
        <v>26.580492500000005</v>
      </c>
      <c r="F31" s="76">
        <f>(IF(F$27="%w/w SAR",((F$28*10)*$B31),IF(F$27="%w/w DM",(((F$28*10)*($B$28/100))*$B31),IF(F$27="kg/t SAR",(F$28*$B31),IF(F$27="kg/t DM",((F$28*($B$28/100))*$B31),IF(F$27="mg/kg SAR",((F$28*0.001)*$B31),IF(F$27="mg/kg DM",(((F$28*0.001)*($B$28/100))*$B31),"0")))))))*1.658</f>
        <v>53.112372000000008</v>
      </c>
      <c r="G31" s="76">
        <f t="shared" ref="G31:P46" si="5">IF(G$27="%w/w SAR",((G$28*10)*$B31),IF(G$27="%w/w DM",(((G$28*10)*($B$28/100))*$B31),IF(G$27="kg/t SAR",(G$28*$B31),IF(G$27="kg/t DM",((G$28*($B$28/100))*$B31),IF(G$27="mg/kg SAR",((G$28*0.001)*$B31),IF(G$27="mg/kg DM",(((G$28*0.001)*($B$28/100))*$B31),0))))))</f>
        <v>0.48472500000000002</v>
      </c>
      <c r="H31" s="76">
        <f t="shared" si="5"/>
        <v>2.3182499999999999</v>
      </c>
      <c r="I31" s="76">
        <f t="shared" si="5"/>
        <v>0.31190999999999997</v>
      </c>
      <c r="J31" s="76">
        <f t="shared" si="5"/>
        <v>4.0745E-3</v>
      </c>
      <c r="K31" s="76">
        <f t="shared" si="5"/>
        <v>5.058E-3</v>
      </c>
      <c r="L31" s="76">
        <f t="shared" si="5"/>
        <v>0.35968</v>
      </c>
      <c r="M31" s="76">
        <f t="shared" si="5"/>
        <v>0.28943000000000002</v>
      </c>
      <c r="N31" s="76">
        <f t="shared" si="5"/>
        <v>59.431500000000007</v>
      </c>
      <c r="O31" s="76">
        <f t="shared" si="5"/>
        <v>4229.05</v>
      </c>
      <c r="P31" s="76">
        <f t="shared" si="5"/>
        <v>0</v>
      </c>
      <c r="Q31" s="76">
        <f>(IF(Q$27="%w/w SAR",((Q$28*10)*$B31),IF(Q$27="%w/w DM",(((Q$28*10)*($B$28/100))*$B31),IF(Q$27="kg/t SAR",(Q$28*$B31),IF(Q$27="kg/t DM",((Q$28*($B$28/100))*$B31),IF(Q$27="mg/kg SAR",((Q$28*0.001)*$B31),IF(Q$27="mg/kg DM",(((Q$28*0.001)*($B$28/100))*$B31),0)))))))*2.5</f>
        <v>95.188749999999999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0.23463499999999998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250</v>
      </c>
      <c r="C32" s="76">
        <f t="shared" ref="C32:C50" si="6">IF(C$27="%w/w SAR",((C$28*10)*$B32),IF(C$27="%w/w DM",(((C$28*10)*($B$28/100))*$B32),IF(C$27="kg/t SAR",(C$28*$B32),IF(C$27="kg/t DM",((C$28*($B$28/100))*$B32),IF(C$27="mg/kg SAR",((C$28*0.001)*$B32),IF(C$27="mg/kg DM",(((C$28*0.001)*($B$28/100))*$B32),0))))))</f>
        <v>155.95500000000001</v>
      </c>
      <c r="D32" s="76">
        <f t="shared" ref="D32:D50" si="7">(IF(D$27="%w/w SAR",((D$28*10)*$B32),IF(D$27="%w/w DM",(((D$28*10)*($B$28/100))*$B32),IF(D$27="kg/t SAR",(D$28*$B32),IF(D$27="kg/t DM",((D$28*($B$28/100))*$B32),IF(D$27="mg/kg SAR",((D$28*0.001)*$B32),IF(D$27="mg/kg DM",(((D$28*0.001)*($B$28/100))*$B32),"0")))))))*2.291</f>
        <v>35.407405000000004</v>
      </c>
      <c r="E32" s="76">
        <f t="shared" ref="E32:E50" si="8">(IF(E$27="%w/w SAR",((E$28*10)*$B32),IF(E$27="%w/w DM",(((E$28*10)*($B$28/100))*$B32),IF(E$27="kg/t SAR",(E$28*$B32),IF(E$27="kg/t DM",((E$28*($B$28/100))*$B32),IF(E$27="mg/kg SAR",((E$28*0.001)*$B32),IF(E$27="mg/kg DM",(((E$28*0.001)*($B$28/100))*$B32),"0")))))))*1.205</f>
        <v>26.580492500000005</v>
      </c>
      <c r="F32" s="76">
        <f t="shared" ref="F32:F50" si="9">(IF(F$27="%w/w SAR",((F$28*10)*$B32),IF(F$27="%w/w DM",(((F$28*10)*($B$28/100))*$B32),IF(F$27="kg/t SAR",(F$28*$B32),IF(F$27="kg/t DM",((F$28*($B$28/100))*$B32),IF(F$27="mg/kg SAR",((F$28*0.001)*$B32),IF(F$27="mg/kg DM",(((F$28*0.001)*($B$28/100))*$B32),"0")))))))*1.658</f>
        <v>53.112372000000008</v>
      </c>
      <c r="G32" s="76">
        <f t="shared" si="5"/>
        <v>0.48472500000000002</v>
      </c>
      <c r="H32" s="76">
        <f t="shared" si="5"/>
        <v>2.3182499999999999</v>
      </c>
      <c r="I32" s="76">
        <f t="shared" si="5"/>
        <v>0.31190999999999997</v>
      </c>
      <c r="J32" s="76">
        <f t="shared" si="5"/>
        <v>4.0745E-3</v>
      </c>
      <c r="K32" s="76">
        <f t="shared" si="5"/>
        <v>5.058E-3</v>
      </c>
      <c r="L32" s="76">
        <f t="shared" si="5"/>
        <v>0.35968</v>
      </c>
      <c r="M32" s="76">
        <f t="shared" si="5"/>
        <v>0.28943000000000002</v>
      </c>
      <c r="N32" s="76">
        <f t="shared" si="5"/>
        <v>59.431500000000007</v>
      </c>
      <c r="O32" s="76">
        <f t="shared" si="5"/>
        <v>4229.05</v>
      </c>
      <c r="P32" s="76">
        <f t="shared" si="5"/>
        <v>0</v>
      </c>
      <c r="Q32" s="76">
        <f t="shared" ref="Q32:Q50" si="10">(IF(Q$27="%w/w SAR",((Q$28*10)*$B32),IF(Q$27="%w/w DM",(((Q$28*10)*($B$28/100))*$B32),IF(Q$27="kg/t SAR",(Q$28*$B32),IF(Q$27="kg/t DM",((Q$28*($B$28/100))*$B32),IF(Q$27="mg/kg SAR",((Q$28*0.001)*$B32),IF(Q$27="mg/kg DM",(((Q$28*0.001)*($B$28/100))*$B32),0)))))))*2.5</f>
        <v>95.188749999999999</v>
      </c>
      <c r="R32" s="76">
        <f t="shared" ref="R32:U50" si="11">IF(R$27="%w/w SAR",((R$28*10)*$B32),IF(R$27="%w/w DM",(((R$28*10)*($B$28/100))*$B32),IF(R$27="kg/t SAR",(R$28*$B32),IF(R$27="kg/t DM",((R$28*($B$28/100))*$B32),IF(R$27="mg/kg SAR",((R$28*0.001)*$B32),IF(R$27="mg/kg DM",(((R$28*0.001)*($B$28/100))*$B32),0))))))</f>
        <v>0</v>
      </c>
      <c r="S32" s="76">
        <f t="shared" si="11"/>
        <v>0.23463499999999998</v>
      </c>
      <c r="T32" s="76">
        <f t="shared" si="11"/>
        <v>0</v>
      </c>
      <c r="U32" s="76">
        <f t="shared" si="11"/>
        <v>0</v>
      </c>
      <c r="AB32" s="58"/>
      <c r="AC32" s="58"/>
      <c r="AD32" s="58"/>
      <c r="AE32" s="58"/>
      <c r="AF32" s="58"/>
      <c r="AG32" s="58"/>
      <c r="AH32" s="58"/>
      <c r="AI32" s="58"/>
    </row>
    <row r="33" spans="1:35" s="71" customFormat="1" ht="13" x14ac:dyDescent="0.35">
      <c r="A33" s="13" t="str">
        <f>E8</f>
        <v>N17</v>
      </c>
      <c r="B33" s="15">
        <v>250</v>
      </c>
      <c r="C33" s="76">
        <f t="shared" si="6"/>
        <v>155.95500000000001</v>
      </c>
      <c r="D33" s="76">
        <f t="shared" si="7"/>
        <v>35.407405000000004</v>
      </c>
      <c r="E33" s="76">
        <f t="shared" si="8"/>
        <v>26.580492500000005</v>
      </c>
      <c r="F33" s="76">
        <f t="shared" si="9"/>
        <v>53.112372000000008</v>
      </c>
      <c r="G33" s="76">
        <f t="shared" si="5"/>
        <v>0.48472500000000002</v>
      </c>
      <c r="H33" s="76">
        <f t="shared" si="5"/>
        <v>2.3182499999999999</v>
      </c>
      <c r="I33" s="76">
        <f t="shared" si="5"/>
        <v>0.31190999999999997</v>
      </c>
      <c r="J33" s="76">
        <f t="shared" si="5"/>
        <v>4.0745E-3</v>
      </c>
      <c r="K33" s="76">
        <f t="shared" si="5"/>
        <v>5.058E-3</v>
      </c>
      <c r="L33" s="76">
        <f t="shared" si="5"/>
        <v>0.35968</v>
      </c>
      <c r="M33" s="76">
        <f t="shared" si="5"/>
        <v>0.28943000000000002</v>
      </c>
      <c r="N33" s="76">
        <f t="shared" si="5"/>
        <v>59.431500000000007</v>
      </c>
      <c r="O33" s="76">
        <f t="shared" si="5"/>
        <v>4229.05</v>
      </c>
      <c r="P33" s="76">
        <f t="shared" si="5"/>
        <v>0</v>
      </c>
      <c r="Q33" s="76">
        <f t="shared" si="10"/>
        <v>95.188749999999999</v>
      </c>
      <c r="R33" s="76">
        <f t="shared" si="11"/>
        <v>0</v>
      </c>
      <c r="S33" s="76">
        <f t="shared" si="11"/>
        <v>0.23463499999999998</v>
      </c>
      <c r="T33" s="76">
        <f t="shared" si="11"/>
        <v>0</v>
      </c>
      <c r="U33" s="76">
        <f t="shared" si="11"/>
        <v>0</v>
      </c>
      <c r="AB33" s="58"/>
      <c r="AC33" s="58"/>
      <c r="AD33" s="58"/>
      <c r="AE33" s="58"/>
      <c r="AF33" s="58"/>
      <c r="AG33" s="58"/>
      <c r="AH33" s="58"/>
      <c r="AI33" s="58"/>
    </row>
    <row r="34" spans="1:35" s="71" customFormat="1" ht="13" x14ac:dyDescent="0.35">
      <c r="A34" s="13" t="str">
        <f>F8</f>
        <v>BG1</v>
      </c>
      <c r="B34" s="15">
        <v>250</v>
      </c>
      <c r="C34" s="76">
        <f t="shared" si="6"/>
        <v>155.95500000000001</v>
      </c>
      <c r="D34" s="76">
        <f t="shared" si="7"/>
        <v>35.407405000000004</v>
      </c>
      <c r="E34" s="76">
        <f t="shared" si="8"/>
        <v>26.580492500000005</v>
      </c>
      <c r="F34" s="76">
        <f t="shared" si="9"/>
        <v>53.112372000000008</v>
      </c>
      <c r="G34" s="76">
        <f t="shared" si="5"/>
        <v>0.48472500000000002</v>
      </c>
      <c r="H34" s="76">
        <f t="shared" si="5"/>
        <v>2.3182499999999999</v>
      </c>
      <c r="I34" s="76">
        <f t="shared" si="5"/>
        <v>0.31190999999999997</v>
      </c>
      <c r="J34" s="76">
        <f t="shared" si="5"/>
        <v>4.0745E-3</v>
      </c>
      <c r="K34" s="76">
        <f t="shared" si="5"/>
        <v>5.058E-3</v>
      </c>
      <c r="L34" s="76">
        <f t="shared" si="5"/>
        <v>0.35968</v>
      </c>
      <c r="M34" s="76">
        <f t="shared" si="5"/>
        <v>0.28943000000000002</v>
      </c>
      <c r="N34" s="76">
        <f t="shared" si="5"/>
        <v>59.431500000000007</v>
      </c>
      <c r="O34" s="76">
        <f t="shared" si="5"/>
        <v>4229.05</v>
      </c>
      <c r="P34" s="76">
        <f t="shared" si="5"/>
        <v>0</v>
      </c>
      <c r="Q34" s="76">
        <f t="shared" si="10"/>
        <v>95.188749999999999</v>
      </c>
      <c r="R34" s="76">
        <f t="shared" si="11"/>
        <v>0</v>
      </c>
      <c r="S34" s="76">
        <f t="shared" si="11"/>
        <v>0.23463499999999998</v>
      </c>
      <c r="T34" s="76">
        <f t="shared" si="11"/>
        <v>0</v>
      </c>
      <c r="U34" s="76">
        <f t="shared" si="11"/>
        <v>0</v>
      </c>
      <c r="AB34" s="58"/>
      <c r="AC34" s="58"/>
      <c r="AD34" s="58"/>
      <c r="AE34" s="58"/>
      <c r="AF34" s="58"/>
      <c r="AG34" s="58"/>
      <c r="AH34" s="58"/>
      <c r="AI34" s="58"/>
    </row>
    <row r="35" spans="1:35" s="71" customFormat="1" ht="13" x14ac:dyDescent="0.35">
      <c r="A35" s="13" t="str">
        <f>G8</f>
        <v>BG2</v>
      </c>
      <c r="B35" s="15">
        <v>250</v>
      </c>
      <c r="C35" s="76">
        <f t="shared" si="6"/>
        <v>155.95500000000001</v>
      </c>
      <c r="D35" s="76">
        <f t="shared" si="7"/>
        <v>35.407405000000004</v>
      </c>
      <c r="E35" s="76">
        <f t="shared" si="8"/>
        <v>26.580492500000005</v>
      </c>
      <c r="F35" s="76">
        <f t="shared" si="9"/>
        <v>53.112372000000008</v>
      </c>
      <c r="G35" s="76">
        <f t="shared" si="5"/>
        <v>0.48472500000000002</v>
      </c>
      <c r="H35" s="76">
        <f t="shared" si="5"/>
        <v>2.3182499999999999</v>
      </c>
      <c r="I35" s="76">
        <f t="shared" si="5"/>
        <v>0.31190999999999997</v>
      </c>
      <c r="J35" s="76">
        <f t="shared" si="5"/>
        <v>4.0745E-3</v>
      </c>
      <c r="K35" s="76">
        <f t="shared" si="5"/>
        <v>5.058E-3</v>
      </c>
      <c r="L35" s="76">
        <f t="shared" si="5"/>
        <v>0.35968</v>
      </c>
      <c r="M35" s="76">
        <f t="shared" si="5"/>
        <v>0.28943000000000002</v>
      </c>
      <c r="N35" s="76">
        <f t="shared" si="5"/>
        <v>59.431500000000007</v>
      </c>
      <c r="O35" s="76">
        <f t="shared" si="5"/>
        <v>4229.05</v>
      </c>
      <c r="P35" s="76">
        <f t="shared" si="5"/>
        <v>0</v>
      </c>
      <c r="Q35" s="76">
        <f t="shared" si="10"/>
        <v>95.188749999999999</v>
      </c>
      <c r="R35" s="76">
        <f t="shared" si="11"/>
        <v>0</v>
      </c>
      <c r="S35" s="76">
        <f t="shared" si="11"/>
        <v>0.23463499999999998</v>
      </c>
      <c r="T35" s="76">
        <f t="shared" si="11"/>
        <v>0</v>
      </c>
      <c r="U35" s="76">
        <f t="shared" si="11"/>
        <v>0</v>
      </c>
      <c r="AB35" s="58"/>
      <c r="AC35" s="58"/>
      <c r="AD35" s="58"/>
      <c r="AE35" s="58"/>
      <c r="AF35" s="58"/>
      <c r="AG35" s="58"/>
      <c r="AH35" s="58"/>
      <c r="AI35" s="58"/>
    </row>
    <row r="36" spans="1:35" s="71" customFormat="1" ht="13" x14ac:dyDescent="0.35">
      <c r="A36" s="13" t="str">
        <f>H8</f>
        <v>BG3</v>
      </c>
      <c r="B36" s="15">
        <v>250</v>
      </c>
      <c r="C36" s="76">
        <f t="shared" si="6"/>
        <v>155.95500000000001</v>
      </c>
      <c r="D36" s="76">
        <f t="shared" si="7"/>
        <v>35.407405000000004</v>
      </c>
      <c r="E36" s="76">
        <f t="shared" si="8"/>
        <v>26.580492500000005</v>
      </c>
      <c r="F36" s="76">
        <f t="shared" si="9"/>
        <v>53.112372000000008</v>
      </c>
      <c r="G36" s="76">
        <f t="shared" si="5"/>
        <v>0.48472500000000002</v>
      </c>
      <c r="H36" s="76">
        <f t="shared" si="5"/>
        <v>2.3182499999999999</v>
      </c>
      <c r="I36" s="76">
        <f t="shared" si="5"/>
        <v>0.31190999999999997</v>
      </c>
      <c r="J36" s="76">
        <f t="shared" si="5"/>
        <v>4.0745E-3</v>
      </c>
      <c r="K36" s="76">
        <f t="shared" si="5"/>
        <v>5.058E-3</v>
      </c>
      <c r="L36" s="76">
        <f t="shared" si="5"/>
        <v>0.35968</v>
      </c>
      <c r="M36" s="76">
        <f t="shared" si="5"/>
        <v>0.28943000000000002</v>
      </c>
      <c r="N36" s="76">
        <f t="shared" si="5"/>
        <v>59.431500000000007</v>
      </c>
      <c r="O36" s="76">
        <f t="shared" si="5"/>
        <v>4229.05</v>
      </c>
      <c r="P36" s="76">
        <f t="shared" si="5"/>
        <v>0</v>
      </c>
      <c r="Q36" s="76">
        <f t="shared" si="10"/>
        <v>95.188749999999999</v>
      </c>
      <c r="R36" s="76">
        <f t="shared" si="11"/>
        <v>0</v>
      </c>
      <c r="S36" s="76">
        <f t="shared" si="11"/>
        <v>0.23463499999999998</v>
      </c>
      <c r="T36" s="76">
        <f t="shared" si="11"/>
        <v>0</v>
      </c>
      <c r="U36" s="76">
        <f t="shared" si="11"/>
        <v>0</v>
      </c>
      <c r="AB36" s="58"/>
      <c r="AC36" s="58"/>
      <c r="AD36" s="58"/>
      <c r="AE36" s="58"/>
      <c r="AF36" s="58"/>
      <c r="AG36" s="58"/>
      <c r="AH36" s="58"/>
      <c r="AI36" s="58"/>
    </row>
    <row r="37" spans="1:35" s="71" customFormat="1" ht="13" x14ac:dyDescent="0.35">
      <c r="A37" s="13" t="str">
        <f>I8</f>
        <v>BG4</v>
      </c>
      <c r="B37" s="15">
        <v>250</v>
      </c>
      <c r="C37" s="76">
        <f t="shared" si="6"/>
        <v>155.95500000000001</v>
      </c>
      <c r="D37" s="76">
        <f t="shared" si="7"/>
        <v>35.407405000000004</v>
      </c>
      <c r="E37" s="76">
        <f t="shared" si="8"/>
        <v>26.580492500000005</v>
      </c>
      <c r="F37" s="76">
        <f t="shared" si="9"/>
        <v>53.112372000000008</v>
      </c>
      <c r="G37" s="76">
        <f t="shared" si="5"/>
        <v>0.48472500000000002</v>
      </c>
      <c r="H37" s="76">
        <f t="shared" si="5"/>
        <v>2.3182499999999999</v>
      </c>
      <c r="I37" s="76">
        <f t="shared" si="5"/>
        <v>0.31190999999999997</v>
      </c>
      <c r="J37" s="76">
        <f t="shared" si="5"/>
        <v>4.0745E-3</v>
      </c>
      <c r="K37" s="76">
        <f t="shared" si="5"/>
        <v>5.058E-3</v>
      </c>
      <c r="L37" s="76">
        <f t="shared" si="5"/>
        <v>0.35968</v>
      </c>
      <c r="M37" s="76">
        <f t="shared" si="5"/>
        <v>0.28943000000000002</v>
      </c>
      <c r="N37" s="76">
        <f t="shared" si="5"/>
        <v>59.431500000000007</v>
      </c>
      <c r="O37" s="76">
        <f t="shared" si="5"/>
        <v>4229.05</v>
      </c>
      <c r="P37" s="76">
        <f t="shared" si="5"/>
        <v>0</v>
      </c>
      <c r="Q37" s="76">
        <f t="shared" si="10"/>
        <v>95.188749999999999</v>
      </c>
      <c r="R37" s="76">
        <f t="shared" si="11"/>
        <v>0</v>
      </c>
      <c r="S37" s="76">
        <f t="shared" si="11"/>
        <v>0.23463499999999998</v>
      </c>
      <c r="T37" s="76">
        <f t="shared" si="11"/>
        <v>0</v>
      </c>
      <c r="U37" s="76">
        <f t="shared" si="11"/>
        <v>0</v>
      </c>
      <c r="AB37" s="58"/>
      <c r="AC37" s="58"/>
      <c r="AD37" s="58"/>
      <c r="AE37" s="58"/>
      <c r="AF37" s="58"/>
      <c r="AG37" s="58"/>
      <c r="AH37" s="58"/>
      <c r="AI37" s="58"/>
    </row>
    <row r="38" spans="1:35" s="71" customFormat="1" ht="13" x14ac:dyDescent="0.35">
      <c r="A38" s="13" t="str">
        <f>J8</f>
        <v>BG5</v>
      </c>
      <c r="B38" s="15">
        <v>250</v>
      </c>
      <c r="C38" s="76">
        <f t="shared" si="6"/>
        <v>155.95500000000001</v>
      </c>
      <c r="D38" s="76">
        <f t="shared" si="7"/>
        <v>35.407405000000004</v>
      </c>
      <c r="E38" s="76">
        <f t="shared" si="8"/>
        <v>26.580492500000005</v>
      </c>
      <c r="F38" s="76">
        <f t="shared" si="9"/>
        <v>53.112372000000008</v>
      </c>
      <c r="G38" s="76">
        <f t="shared" si="5"/>
        <v>0.48472500000000002</v>
      </c>
      <c r="H38" s="76">
        <f t="shared" si="5"/>
        <v>2.3182499999999999</v>
      </c>
      <c r="I38" s="76">
        <f t="shared" si="5"/>
        <v>0.31190999999999997</v>
      </c>
      <c r="J38" s="76">
        <f t="shared" si="5"/>
        <v>4.0745E-3</v>
      </c>
      <c r="K38" s="76">
        <f t="shared" si="5"/>
        <v>5.058E-3</v>
      </c>
      <c r="L38" s="76">
        <f t="shared" si="5"/>
        <v>0.35968</v>
      </c>
      <c r="M38" s="76">
        <f t="shared" si="5"/>
        <v>0.28943000000000002</v>
      </c>
      <c r="N38" s="76">
        <f t="shared" si="5"/>
        <v>59.431500000000007</v>
      </c>
      <c r="O38" s="76">
        <f t="shared" si="5"/>
        <v>4229.05</v>
      </c>
      <c r="P38" s="76">
        <f t="shared" si="5"/>
        <v>0</v>
      </c>
      <c r="Q38" s="76">
        <f t="shared" si="10"/>
        <v>95.188749999999999</v>
      </c>
      <c r="R38" s="76">
        <f t="shared" si="11"/>
        <v>0</v>
      </c>
      <c r="S38" s="76">
        <f t="shared" si="11"/>
        <v>0.23463499999999998</v>
      </c>
      <c r="T38" s="76">
        <f t="shared" si="11"/>
        <v>0</v>
      </c>
      <c r="U38" s="76">
        <f t="shared" si="11"/>
        <v>0</v>
      </c>
      <c r="AB38" s="58"/>
      <c r="AC38" s="58"/>
      <c r="AD38" s="58"/>
      <c r="AE38" s="58"/>
      <c r="AF38" s="58"/>
      <c r="AG38" s="58"/>
      <c r="AH38" s="58"/>
      <c r="AI38" s="58"/>
    </row>
    <row r="39" spans="1:35" s="71" customFormat="1" ht="13" x14ac:dyDescent="0.35">
      <c r="A39" s="13" t="str">
        <f>K8</f>
        <v>Peny1</v>
      </c>
      <c r="B39" s="15">
        <v>250</v>
      </c>
      <c r="C39" s="76">
        <f t="shared" si="6"/>
        <v>155.95500000000001</v>
      </c>
      <c r="D39" s="76">
        <f t="shared" si="7"/>
        <v>35.407405000000004</v>
      </c>
      <c r="E39" s="76">
        <f t="shared" si="8"/>
        <v>26.580492500000005</v>
      </c>
      <c r="F39" s="76">
        <f t="shared" si="9"/>
        <v>53.112372000000008</v>
      </c>
      <c r="G39" s="76">
        <f t="shared" si="5"/>
        <v>0.48472500000000002</v>
      </c>
      <c r="H39" s="76">
        <f t="shared" si="5"/>
        <v>2.3182499999999999</v>
      </c>
      <c r="I39" s="76">
        <f t="shared" si="5"/>
        <v>0.31190999999999997</v>
      </c>
      <c r="J39" s="76">
        <f t="shared" si="5"/>
        <v>4.0745E-3</v>
      </c>
      <c r="K39" s="76">
        <f t="shared" si="5"/>
        <v>5.058E-3</v>
      </c>
      <c r="L39" s="76">
        <f t="shared" si="5"/>
        <v>0.35968</v>
      </c>
      <c r="M39" s="76">
        <f t="shared" si="5"/>
        <v>0.28943000000000002</v>
      </c>
      <c r="N39" s="76">
        <f t="shared" si="5"/>
        <v>59.431500000000007</v>
      </c>
      <c r="O39" s="76">
        <f t="shared" si="5"/>
        <v>4229.05</v>
      </c>
      <c r="P39" s="76">
        <f t="shared" si="5"/>
        <v>0</v>
      </c>
      <c r="Q39" s="76">
        <f t="shared" si="10"/>
        <v>95.188749999999999</v>
      </c>
      <c r="R39" s="76">
        <f t="shared" si="11"/>
        <v>0</v>
      </c>
      <c r="S39" s="76">
        <f t="shared" si="11"/>
        <v>0.23463499999999998</v>
      </c>
      <c r="T39" s="76">
        <f t="shared" si="11"/>
        <v>0</v>
      </c>
      <c r="U39" s="76">
        <f t="shared" si="11"/>
        <v>0</v>
      </c>
      <c r="AB39" s="58"/>
      <c r="AC39" s="58"/>
      <c r="AD39" s="58"/>
      <c r="AE39" s="58"/>
      <c r="AF39" s="58"/>
      <c r="AG39" s="58"/>
      <c r="AH39" s="58"/>
      <c r="AI39" s="58"/>
    </row>
    <row r="40" spans="1:35" s="71" customFormat="1" ht="13" x14ac:dyDescent="0.35">
      <c r="A40" s="13" t="str">
        <f>L8</f>
        <v>G1</v>
      </c>
      <c r="B40" s="15">
        <v>250</v>
      </c>
      <c r="C40" s="76">
        <f t="shared" si="6"/>
        <v>155.95500000000001</v>
      </c>
      <c r="D40" s="76">
        <f t="shared" si="7"/>
        <v>35.407405000000004</v>
      </c>
      <c r="E40" s="76">
        <f t="shared" si="8"/>
        <v>26.580492500000005</v>
      </c>
      <c r="F40" s="76">
        <f t="shared" si="9"/>
        <v>53.112372000000008</v>
      </c>
      <c r="G40" s="76">
        <f t="shared" si="5"/>
        <v>0.48472500000000002</v>
      </c>
      <c r="H40" s="76">
        <f t="shared" si="5"/>
        <v>2.3182499999999999</v>
      </c>
      <c r="I40" s="76">
        <f t="shared" si="5"/>
        <v>0.31190999999999997</v>
      </c>
      <c r="J40" s="76">
        <f t="shared" si="5"/>
        <v>4.0745E-3</v>
      </c>
      <c r="K40" s="76">
        <f t="shared" si="5"/>
        <v>5.058E-3</v>
      </c>
      <c r="L40" s="76">
        <f t="shared" si="5"/>
        <v>0.35968</v>
      </c>
      <c r="M40" s="76">
        <f t="shared" si="5"/>
        <v>0.28943000000000002</v>
      </c>
      <c r="N40" s="76">
        <f t="shared" si="5"/>
        <v>59.431500000000007</v>
      </c>
      <c r="O40" s="76">
        <f t="shared" si="5"/>
        <v>4229.05</v>
      </c>
      <c r="P40" s="76">
        <f t="shared" si="5"/>
        <v>0</v>
      </c>
      <c r="Q40" s="76">
        <f t="shared" si="10"/>
        <v>95.188749999999999</v>
      </c>
      <c r="R40" s="76">
        <f t="shared" si="11"/>
        <v>0</v>
      </c>
      <c r="S40" s="76">
        <f t="shared" si="11"/>
        <v>0.23463499999999998</v>
      </c>
      <c r="T40" s="76">
        <f t="shared" si="11"/>
        <v>0</v>
      </c>
      <c r="U40" s="76">
        <f t="shared" si="11"/>
        <v>0</v>
      </c>
      <c r="AB40" s="58"/>
      <c r="AC40" s="58"/>
      <c r="AD40" s="58"/>
      <c r="AE40" s="58"/>
      <c r="AF40" s="58"/>
      <c r="AG40" s="58"/>
      <c r="AH40" s="58"/>
      <c r="AI40" s="58"/>
    </row>
    <row r="41" spans="1:35" s="71" customFormat="1" ht="13" x14ac:dyDescent="0.35">
      <c r="A41" s="13" t="str">
        <f>M8</f>
        <v>G2</v>
      </c>
      <c r="B41" s="15">
        <v>250</v>
      </c>
      <c r="C41" s="76">
        <f t="shared" si="6"/>
        <v>155.95500000000001</v>
      </c>
      <c r="D41" s="76">
        <f t="shared" si="7"/>
        <v>35.407405000000004</v>
      </c>
      <c r="E41" s="76">
        <f t="shared" si="8"/>
        <v>26.580492500000005</v>
      </c>
      <c r="F41" s="76">
        <f t="shared" si="9"/>
        <v>53.112372000000008</v>
      </c>
      <c r="G41" s="76">
        <f t="shared" si="5"/>
        <v>0.48472500000000002</v>
      </c>
      <c r="H41" s="76">
        <f t="shared" si="5"/>
        <v>2.3182499999999999</v>
      </c>
      <c r="I41" s="76">
        <f t="shared" si="5"/>
        <v>0.31190999999999997</v>
      </c>
      <c r="J41" s="76">
        <f t="shared" si="5"/>
        <v>4.0745E-3</v>
      </c>
      <c r="K41" s="76">
        <f t="shared" si="5"/>
        <v>5.058E-3</v>
      </c>
      <c r="L41" s="76">
        <f t="shared" si="5"/>
        <v>0.35968</v>
      </c>
      <c r="M41" s="76">
        <f t="shared" si="5"/>
        <v>0.28943000000000002</v>
      </c>
      <c r="N41" s="76">
        <f t="shared" si="5"/>
        <v>59.431500000000007</v>
      </c>
      <c r="O41" s="76">
        <f t="shared" si="5"/>
        <v>4229.05</v>
      </c>
      <c r="P41" s="76">
        <f t="shared" si="5"/>
        <v>0</v>
      </c>
      <c r="Q41" s="76">
        <f t="shared" si="10"/>
        <v>95.188749999999999</v>
      </c>
      <c r="R41" s="76">
        <f t="shared" si="11"/>
        <v>0</v>
      </c>
      <c r="S41" s="76">
        <f t="shared" si="11"/>
        <v>0.23463499999999998</v>
      </c>
      <c r="T41" s="76">
        <f t="shared" si="11"/>
        <v>0</v>
      </c>
      <c r="U41" s="76">
        <f t="shared" si="11"/>
        <v>0</v>
      </c>
      <c r="AB41" s="58"/>
      <c r="AC41" s="58"/>
      <c r="AD41" s="58"/>
      <c r="AE41" s="58"/>
      <c r="AF41" s="58"/>
      <c r="AG41" s="58"/>
      <c r="AH41" s="58"/>
      <c r="AI41" s="58"/>
    </row>
    <row r="42" spans="1:35" s="71" customFormat="1" ht="13" x14ac:dyDescent="0.35">
      <c r="A42" s="13" t="str">
        <f>N8</f>
        <v>G3</v>
      </c>
      <c r="B42" s="15">
        <v>250</v>
      </c>
      <c r="C42" s="76">
        <f t="shared" si="6"/>
        <v>155.95500000000001</v>
      </c>
      <c r="D42" s="76">
        <f t="shared" si="7"/>
        <v>35.407405000000004</v>
      </c>
      <c r="E42" s="76">
        <f t="shared" si="8"/>
        <v>26.580492500000005</v>
      </c>
      <c r="F42" s="76">
        <f t="shared" si="9"/>
        <v>53.112372000000008</v>
      </c>
      <c r="G42" s="76">
        <f t="shared" si="5"/>
        <v>0.48472500000000002</v>
      </c>
      <c r="H42" s="76">
        <f t="shared" si="5"/>
        <v>2.3182499999999999</v>
      </c>
      <c r="I42" s="76">
        <f t="shared" si="5"/>
        <v>0.31190999999999997</v>
      </c>
      <c r="J42" s="76">
        <f t="shared" si="5"/>
        <v>4.0745E-3</v>
      </c>
      <c r="K42" s="76">
        <f t="shared" si="5"/>
        <v>5.058E-3</v>
      </c>
      <c r="L42" s="76">
        <f t="shared" si="5"/>
        <v>0.35968</v>
      </c>
      <c r="M42" s="76">
        <f t="shared" si="5"/>
        <v>0.28943000000000002</v>
      </c>
      <c r="N42" s="76">
        <f t="shared" si="5"/>
        <v>59.431500000000007</v>
      </c>
      <c r="O42" s="76">
        <f t="shared" si="5"/>
        <v>4229.05</v>
      </c>
      <c r="P42" s="76">
        <f t="shared" si="5"/>
        <v>0</v>
      </c>
      <c r="Q42" s="76">
        <f t="shared" si="10"/>
        <v>95.188749999999999</v>
      </c>
      <c r="R42" s="76">
        <f t="shared" si="11"/>
        <v>0</v>
      </c>
      <c r="S42" s="76">
        <f t="shared" si="11"/>
        <v>0.23463499999999998</v>
      </c>
      <c r="T42" s="76">
        <f t="shared" si="11"/>
        <v>0</v>
      </c>
      <c r="U42" s="76">
        <f t="shared" si="11"/>
        <v>0</v>
      </c>
      <c r="AB42" s="58"/>
      <c r="AC42" s="58"/>
      <c r="AD42" s="58"/>
      <c r="AE42" s="58"/>
      <c r="AF42" s="58"/>
      <c r="AG42" s="58"/>
      <c r="AH42" s="58"/>
      <c r="AI42" s="58"/>
    </row>
    <row r="43" spans="1:35" s="71" customFormat="1" ht="13" x14ac:dyDescent="0.35">
      <c r="A43" s="13" t="str">
        <f>O8</f>
        <v>G4A</v>
      </c>
      <c r="B43" s="15">
        <v>250</v>
      </c>
      <c r="C43" s="76">
        <f t="shared" si="6"/>
        <v>155.95500000000001</v>
      </c>
      <c r="D43" s="76">
        <f t="shared" si="7"/>
        <v>35.407405000000004</v>
      </c>
      <c r="E43" s="76">
        <f t="shared" si="8"/>
        <v>26.580492500000005</v>
      </c>
      <c r="F43" s="76">
        <f t="shared" si="9"/>
        <v>53.112372000000008</v>
      </c>
      <c r="G43" s="76">
        <f t="shared" si="5"/>
        <v>0.48472500000000002</v>
      </c>
      <c r="H43" s="76">
        <f t="shared" si="5"/>
        <v>2.3182499999999999</v>
      </c>
      <c r="I43" s="76">
        <f t="shared" si="5"/>
        <v>0.31190999999999997</v>
      </c>
      <c r="J43" s="76">
        <f t="shared" si="5"/>
        <v>4.0745E-3</v>
      </c>
      <c r="K43" s="76">
        <f t="shared" si="5"/>
        <v>5.058E-3</v>
      </c>
      <c r="L43" s="76">
        <f t="shared" si="5"/>
        <v>0.35968</v>
      </c>
      <c r="M43" s="76">
        <f t="shared" si="5"/>
        <v>0.28943000000000002</v>
      </c>
      <c r="N43" s="76">
        <f t="shared" si="5"/>
        <v>59.431500000000007</v>
      </c>
      <c r="O43" s="76">
        <f t="shared" si="5"/>
        <v>4229.05</v>
      </c>
      <c r="P43" s="76">
        <f t="shared" si="5"/>
        <v>0</v>
      </c>
      <c r="Q43" s="76">
        <f t="shared" si="10"/>
        <v>95.188749999999999</v>
      </c>
      <c r="R43" s="76">
        <f t="shared" si="11"/>
        <v>0</v>
      </c>
      <c r="S43" s="76">
        <f t="shared" si="11"/>
        <v>0.23463499999999998</v>
      </c>
      <c r="T43" s="76">
        <f t="shared" si="11"/>
        <v>0</v>
      </c>
      <c r="U43" s="76">
        <f t="shared" si="11"/>
        <v>0</v>
      </c>
      <c r="AB43" s="58"/>
      <c r="AC43" s="58"/>
      <c r="AD43" s="58"/>
      <c r="AE43" s="58"/>
      <c r="AF43" s="58"/>
      <c r="AG43" s="58"/>
      <c r="AH43" s="58"/>
      <c r="AI43" s="58"/>
    </row>
    <row r="44" spans="1:35" s="71" customFormat="1" ht="13" x14ac:dyDescent="0.35">
      <c r="A44" s="13" t="str">
        <f>P8</f>
        <v>G4B</v>
      </c>
      <c r="B44" s="15">
        <v>250</v>
      </c>
      <c r="C44" s="76">
        <f t="shared" si="6"/>
        <v>155.95500000000001</v>
      </c>
      <c r="D44" s="76">
        <f t="shared" si="7"/>
        <v>35.407405000000004</v>
      </c>
      <c r="E44" s="76">
        <f t="shared" si="8"/>
        <v>26.580492500000005</v>
      </c>
      <c r="F44" s="76">
        <f t="shared" si="9"/>
        <v>53.112372000000008</v>
      </c>
      <c r="G44" s="76">
        <f t="shared" si="5"/>
        <v>0.48472500000000002</v>
      </c>
      <c r="H44" s="76">
        <f t="shared" si="5"/>
        <v>2.3182499999999999</v>
      </c>
      <c r="I44" s="76">
        <f t="shared" si="5"/>
        <v>0.31190999999999997</v>
      </c>
      <c r="J44" s="76">
        <f t="shared" si="5"/>
        <v>4.0745E-3</v>
      </c>
      <c r="K44" s="76">
        <f t="shared" si="5"/>
        <v>5.058E-3</v>
      </c>
      <c r="L44" s="76">
        <f t="shared" si="5"/>
        <v>0.35968</v>
      </c>
      <c r="M44" s="76">
        <f t="shared" si="5"/>
        <v>0.28943000000000002</v>
      </c>
      <c r="N44" s="76">
        <f t="shared" si="5"/>
        <v>59.431500000000007</v>
      </c>
      <c r="O44" s="76">
        <f t="shared" si="5"/>
        <v>4229.05</v>
      </c>
      <c r="P44" s="76">
        <f t="shared" si="5"/>
        <v>0</v>
      </c>
      <c r="Q44" s="76">
        <f t="shared" si="10"/>
        <v>95.188749999999999</v>
      </c>
      <c r="R44" s="76">
        <f t="shared" si="11"/>
        <v>0</v>
      </c>
      <c r="S44" s="76">
        <f t="shared" si="11"/>
        <v>0.23463499999999998</v>
      </c>
      <c r="T44" s="76">
        <f t="shared" si="11"/>
        <v>0</v>
      </c>
      <c r="U44" s="76">
        <f t="shared" si="11"/>
        <v>0</v>
      </c>
      <c r="AB44" s="58"/>
      <c r="AC44" s="58"/>
      <c r="AD44" s="58"/>
      <c r="AE44" s="58"/>
      <c r="AF44" s="58"/>
      <c r="AG44" s="58"/>
      <c r="AH44" s="58"/>
      <c r="AI44" s="58"/>
    </row>
    <row r="45" spans="1:35" s="71" customFormat="1" ht="13" x14ac:dyDescent="0.35">
      <c r="A45" s="13" t="str">
        <f>Q8</f>
        <v>G5</v>
      </c>
      <c r="B45" s="15">
        <v>250</v>
      </c>
      <c r="C45" s="76">
        <f t="shared" si="6"/>
        <v>155.95500000000001</v>
      </c>
      <c r="D45" s="76">
        <f t="shared" si="7"/>
        <v>35.407405000000004</v>
      </c>
      <c r="E45" s="76">
        <f t="shared" si="8"/>
        <v>26.580492500000005</v>
      </c>
      <c r="F45" s="76">
        <f t="shared" si="9"/>
        <v>53.112372000000008</v>
      </c>
      <c r="G45" s="76">
        <f t="shared" si="5"/>
        <v>0.48472500000000002</v>
      </c>
      <c r="H45" s="76">
        <f t="shared" si="5"/>
        <v>2.3182499999999999</v>
      </c>
      <c r="I45" s="76">
        <f t="shared" si="5"/>
        <v>0.31190999999999997</v>
      </c>
      <c r="J45" s="76">
        <f t="shared" si="5"/>
        <v>4.0745E-3</v>
      </c>
      <c r="K45" s="76">
        <f t="shared" si="5"/>
        <v>5.058E-3</v>
      </c>
      <c r="L45" s="76">
        <f t="shared" si="5"/>
        <v>0.35968</v>
      </c>
      <c r="M45" s="76">
        <f t="shared" si="5"/>
        <v>0.28943000000000002</v>
      </c>
      <c r="N45" s="76">
        <f t="shared" si="5"/>
        <v>59.431500000000007</v>
      </c>
      <c r="O45" s="76">
        <f t="shared" si="5"/>
        <v>4229.05</v>
      </c>
      <c r="P45" s="76">
        <f t="shared" si="5"/>
        <v>0</v>
      </c>
      <c r="Q45" s="76">
        <f t="shared" si="10"/>
        <v>95.188749999999999</v>
      </c>
      <c r="R45" s="76">
        <f t="shared" si="11"/>
        <v>0</v>
      </c>
      <c r="S45" s="76">
        <f t="shared" si="11"/>
        <v>0.23463499999999998</v>
      </c>
      <c r="T45" s="76">
        <f t="shared" si="11"/>
        <v>0</v>
      </c>
      <c r="U45" s="76">
        <f t="shared" si="11"/>
        <v>0</v>
      </c>
      <c r="AB45" s="58"/>
      <c r="AC45" s="58"/>
      <c r="AD45" s="58"/>
      <c r="AE45" s="58"/>
      <c r="AF45" s="58"/>
      <c r="AG45" s="58"/>
      <c r="AH45" s="58"/>
      <c r="AI45" s="58"/>
    </row>
    <row r="46" spans="1:35" s="71" customFormat="1" ht="13" x14ac:dyDescent="0.35">
      <c r="A46" s="13" t="str">
        <f>R8</f>
        <v>G9</v>
      </c>
      <c r="B46" s="15">
        <v>250</v>
      </c>
      <c r="C46" s="76">
        <f t="shared" si="6"/>
        <v>155.95500000000001</v>
      </c>
      <c r="D46" s="76">
        <f t="shared" si="7"/>
        <v>35.407405000000004</v>
      </c>
      <c r="E46" s="76">
        <f t="shared" si="8"/>
        <v>26.580492500000005</v>
      </c>
      <c r="F46" s="76">
        <f t="shared" si="9"/>
        <v>53.112372000000008</v>
      </c>
      <c r="G46" s="76">
        <f t="shared" si="5"/>
        <v>0.48472500000000002</v>
      </c>
      <c r="H46" s="76">
        <f t="shared" si="5"/>
        <v>2.3182499999999999</v>
      </c>
      <c r="I46" s="76">
        <f t="shared" si="5"/>
        <v>0.31190999999999997</v>
      </c>
      <c r="J46" s="76">
        <f t="shared" si="5"/>
        <v>4.0745E-3</v>
      </c>
      <c r="K46" s="76">
        <f t="shared" si="5"/>
        <v>5.058E-3</v>
      </c>
      <c r="L46" s="76">
        <f t="shared" si="5"/>
        <v>0.35968</v>
      </c>
      <c r="M46" s="76">
        <f t="shared" si="5"/>
        <v>0.28943000000000002</v>
      </c>
      <c r="N46" s="76">
        <f t="shared" si="5"/>
        <v>59.431500000000007</v>
      </c>
      <c r="O46" s="76">
        <f t="shared" si="5"/>
        <v>4229.05</v>
      </c>
      <c r="P46" s="76">
        <f t="shared" si="5"/>
        <v>0</v>
      </c>
      <c r="Q46" s="76">
        <f t="shared" si="10"/>
        <v>95.188749999999999</v>
      </c>
      <c r="R46" s="76">
        <f t="shared" si="11"/>
        <v>0</v>
      </c>
      <c r="S46" s="76">
        <f t="shared" si="11"/>
        <v>0.23463499999999998</v>
      </c>
      <c r="T46" s="76">
        <f t="shared" si="11"/>
        <v>0</v>
      </c>
      <c r="U46" s="76">
        <f t="shared" si="11"/>
        <v>0</v>
      </c>
      <c r="AB46" s="58"/>
      <c r="AC46" s="58"/>
      <c r="AD46" s="58"/>
      <c r="AE46" s="58"/>
      <c r="AF46" s="58"/>
      <c r="AG46" s="58"/>
      <c r="AH46" s="58"/>
      <c r="AI46" s="58"/>
    </row>
    <row r="47" spans="1:35" s="71" customFormat="1" ht="13" x14ac:dyDescent="0.35">
      <c r="A47" s="13" t="str">
        <f>S8</f>
        <v>G12</v>
      </c>
      <c r="B47" s="15">
        <v>250</v>
      </c>
      <c r="C47" s="76">
        <f t="shared" si="6"/>
        <v>155.95500000000001</v>
      </c>
      <c r="D47" s="76">
        <f t="shared" si="7"/>
        <v>35.407405000000004</v>
      </c>
      <c r="E47" s="76">
        <f t="shared" si="8"/>
        <v>26.580492500000005</v>
      </c>
      <c r="F47" s="76">
        <f t="shared" si="9"/>
        <v>53.112372000000008</v>
      </c>
      <c r="G47" s="76">
        <f t="shared" ref="G47:P50" si="12">IF(G$27="%w/w SAR",((G$28*10)*$B47),IF(G$27="%w/w DM",(((G$28*10)*($B$28/100))*$B47),IF(G$27="kg/t SAR",(G$28*$B47),IF(G$27="kg/t DM",((G$28*($B$28/100))*$B47),IF(G$27="mg/kg SAR",((G$28*0.001)*$B47),IF(G$27="mg/kg DM",(((G$28*0.001)*($B$28/100))*$B47),0))))))</f>
        <v>0.48472500000000002</v>
      </c>
      <c r="H47" s="76">
        <f t="shared" si="12"/>
        <v>2.3182499999999999</v>
      </c>
      <c r="I47" s="76">
        <f t="shared" si="12"/>
        <v>0.31190999999999997</v>
      </c>
      <c r="J47" s="76">
        <f t="shared" si="12"/>
        <v>4.0745E-3</v>
      </c>
      <c r="K47" s="76">
        <f t="shared" si="12"/>
        <v>5.058E-3</v>
      </c>
      <c r="L47" s="76">
        <f t="shared" si="12"/>
        <v>0.35968</v>
      </c>
      <c r="M47" s="76">
        <f t="shared" si="12"/>
        <v>0.28943000000000002</v>
      </c>
      <c r="N47" s="76">
        <f t="shared" si="12"/>
        <v>59.431500000000007</v>
      </c>
      <c r="O47" s="76">
        <f t="shared" si="12"/>
        <v>4229.05</v>
      </c>
      <c r="P47" s="76">
        <f t="shared" si="12"/>
        <v>0</v>
      </c>
      <c r="Q47" s="76">
        <f t="shared" si="10"/>
        <v>95.188749999999999</v>
      </c>
      <c r="R47" s="76">
        <f t="shared" si="11"/>
        <v>0</v>
      </c>
      <c r="S47" s="76">
        <f t="shared" si="11"/>
        <v>0.23463499999999998</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str">
        <f>L16&amp;" I "&amp;(VLOOKUP(L14,Table245810[],6,FALSE))</f>
        <v>Medium/Clay I Grass</v>
      </c>
      <c r="L58" s="13" t="str">
        <f>M16&amp;" I "&amp;(VLOOKUP(M14,Table245810[],6,FALSE))</f>
        <v>Medium/Clay I Grass</v>
      </c>
      <c r="M58" s="13" t="str">
        <f>N16&amp;" I "&amp;(VLOOKUP(N14,Table245810[],6,FALSE))</f>
        <v>Medium/Clay I Grass</v>
      </c>
      <c r="N58" s="13" t="str">
        <f>O16&amp;" I "&amp;(VLOOKUP(O14,Table245810[],6,FALSE))</f>
        <v>Medium/Clay I Grass</v>
      </c>
      <c r="O58" s="13" t="str">
        <f>P16&amp;" I "&amp;(VLOOKUP(P14,Table245810[],6,FALSE))</f>
        <v>Medium/Clay I Grass</v>
      </c>
      <c r="P58" s="13" t="str">
        <f>Q16&amp;" I "&amp;(VLOOKUP(Q14,Table245810[],6,FALSE))</f>
        <v>Medium/Clay I Grass</v>
      </c>
      <c r="Q58" s="13" t="str">
        <f>R16&amp;" I "&amp;(VLOOKUP(R14,Table245810[],6,FALSE))</f>
        <v>Medium/Clay I Grass</v>
      </c>
      <c r="R58" s="13" t="str">
        <f>S16&amp;" I "&amp;(VLOOKUP(S14,Table245810[],6,FALSE))</f>
        <v>Medium/Clay I Grass</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f>VLOOKUP(L$14,Table245810[],5,FALSE)</f>
        <v>6.2</v>
      </c>
      <c r="L59" s="75">
        <f>VLOOKUP(M$14,Table245810[],5,FALSE)</f>
        <v>6.2</v>
      </c>
      <c r="M59" s="75">
        <f>VLOOKUP(N$14,Table245810[],5,FALSE)</f>
        <v>6.2</v>
      </c>
      <c r="N59" s="75">
        <f>VLOOKUP(O$14,Table245810[],5,FALSE)</f>
        <v>6.2</v>
      </c>
      <c r="O59" s="75">
        <f>VLOOKUP(P$14,Table245810[],5,FALSE)</f>
        <v>6.2</v>
      </c>
      <c r="P59" s="75">
        <f>VLOOKUP(Q$14,Table245810[],5,FALSE)</f>
        <v>6.2</v>
      </c>
      <c r="Q59" s="75">
        <f>VLOOKUP(R$14,Table245810[],5,FALSE)</f>
        <v>6.2</v>
      </c>
      <c r="R59" s="75">
        <f>VLOOKUP(S$14,Table245810[],5,FALSE)</f>
        <v>6.2</v>
      </c>
      <c r="S59" s="75" t="e">
        <f>VLOOKUP(T$14,Table245810[],5,FALSE)</f>
        <v>#N/A</v>
      </c>
      <c r="T59" s="75" t="e">
        <f>VLOOKUP(U$14,Table245810[],5,FALSE)</f>
        <v>#N/A</v>
      </c>
      <c r="U59" s="75" t="e">
        <f>VLOOKUP(V$14,Table245810[],5,FALSE)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250</v>
      </c>
      <c r="L62" s="76">
        <f>B41</f>
        <v>250</v>
      </c>
      <c r="M62" s="76">
        <f>B42</f>
        <v>250</v>
      </c>
      <c r="N62" s="76">
        <f>B43</f>
        <v>250</v>
      </c>
      <c r="O62" s="76">
        <f>B44</f>
        <v>250</v>
      </c>
      <c r="P62" s="76">
        <f>B45</f>
        <v>250</v>
      </c>
      <c r="Q62" s="76">
        <f>B46</f>
        <v>250</v>
      </c>
      <c r="R62" s="76">
        <f>B47</f>
        <v>250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62:U66 B31:B50">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0" t="s">
        <v>41</v>
      </c>
      <c r="B1" s="120"/>
      <c r="C1" s="142" t="str">
        <f>Bryngwyn!C1:D1</f>
        <v>PAN-020670</v>
      </c>
      <c r="D1" s="143"/>
      <c r="E1" s="92" t="s">
        <v>45</v>
      </c>
      <c r="F1" s="38">
        <f>Bryngwyn!F1</f>
        <v>34</v>
      </c>
      <c r="G1" s="121" t="s">
        <v>43</v>
      </c>
      <c r="H1" s="122"/>
      <c r="I1" s="117">
        <v>6.8</v>
      </c>
      <c r="J1" s="120" t="s">
        <v>153</v>
      </c>
      <c r="K1" s="120"/>
      <c r="L1" s="96">
        <v>255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0" t="s">
        <v>87</v>
      </c>
      <c r="B2" s="120"/>
      <c r="C2" s="144" t="str">
        <f>Bryngwyn!C2:D2</f>
        <v>EPR/GP3792SK</v>
      </c>
      <c r="D2" s="145"/>
      <c r="E2" s="92" t="s">
        <v>109</v>
      </c>
      <c r="F2" s="118" t="s">
        <v>165</v>
      </c>
      <c r="G2" s="140" t="s">
        <v>110</v>
      </c>
      <c r="H2" s="141"/>
      <c r="I2" s="117"/>
      <c r="J2" s="120" t="s">
        <v>158</v>
      </c>
      <c r="K2" s="120"/>
      <c r="L2" s="96">
        <v>0.65</v>
      </c>
      <c r="AB2" s="29" t="s">
        <v>56</v>
      </c>
      <c r="AC2" s="17"/>
      <c r="AD2" s="29" t="s">
        <v>70</v>
      </c>
      <c r="AE2" s="17"/>
      <c r="AF2" s="17"/>
      <c r="AG2" s="43" t="s">
        <v>76</v>
      </c>
      <c r="AH2" s="18"/>
      <c r="AI2" s="44" t="s">
        <v>126</v>
      </c>
      <c r="AJ2" s="45">
        <v>0</v>
      </c>
      <c r="AK2" s="46">
        <v>0</v>
      </c>
      <c r="AL2" s="10">
        <v>0</v>
      </c>
      <c r="AM2" s="11">
        <v>0</v>
      </c>
      <c r="AN2" s="11">
        <v>0</v>
      </c>
    </row>
    <row r="3" spans="1:41" ht="13" x14ac:dyDescent="0.25">
      <c r="A3" s="121" t="s">
        <v>42</v>
      </c>
      <c r="B3" s="122"/>
      <c r="C3" s="144" t="str">
        <f>Bryngwyn!C3:D3</f>
        <v>Mr Richard Evans</v>
      </c>
      <c r="D3" s="145"/>
      <c r="E3" s="92" t="s">
        <v>108</v>
      </c>
      <c r="F3" s="30" t="s">
        <v>78</v>
      </c>
      <c r="G3" s="120" t="s">
        <v>159</v>
      </c>
      <c r="H3" s="120"/>
      <c r="I3" s="117"/>
      <c r="J3" s="121" t="s">
        <v>154</v>
      </c>
      <c r="K3" s="122"/>
      <c r="L3" s="96">
        <f>(L1/(L2*10000))*100</f>
        <v>3.9230769230769229</v>
      </c>
      <c r="AB3" s="29" t="s">
        <v>57</v>
      </c>
      <c r="AC3" s="17"/>
      <c r="AD3" s="29" t="s">
        <v>71</v>
      </c>
      <c r="AE3" s="17"/>
      <c r="AF3" s="17"/>
      <c r="AG3" s="43" t="s">
        <v>77</v>
      </c>
      <c r="AH3" s="18"/>
      <c r="AI3" s="47" t="s">
        <v>113</v>
      </c>
      <c r="AJ3" s="48">
        <v>1.7</v>
      </c>
      <c r="AK3" s="49">
        <v>6</v>
      </c>
      <c r="AL3" s="50">
        <v>1</v>
      </c>
      <c r="AM3" s="11">
        <v>6.2</v>
      </c>
      <c r="AN3" s="11" t="s">
        <v>112</v>
      </c>
    </row>
    <row r="4" spans="1:41" ht="25" x14ac:dyDescent="0.25">
      <c r="A4" s="120" t="s">
        <v>0</v>
      </c>
      <c r="B4" s="120"/>
      <c r="C4" s="142" t="str">
        <f>Bryngwyn!C4:D4</f>
        <v>Nantywenynen, Aberdare,CF44 9JD</v>
      </c>
      <c r="D4" s="143"/>
      <c r="E4" s="93" t="s">
        <v>1</v>
      </c>
      <c r="F4" s="119" t="s">
        <v>166</v>
      </c>
      <c r="G4" s="121"/>
      <c r="H4" s="122"/>
      <c r="I4" s="38"/>
      <c r="J4" s="121"/>
      <c r="K4" s="122"/>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0" t="s">
        <v>47</v>
      </c>
      <c r="B5" s="120"/>
      <c r="C5" s="142" t="str">
        <f>Bryngwyn!C5:D5</f>
        <v xml:space="preserve">Owen Clee </v>
      </c>
      <c r="D5" s="143"/>
      <c r="E5" s="92"/>
      <c r="F5" s="38"/>
      <c r="G5" s="121"/>
      <c r="H5" s="122"/>
      <c r="I5" s="38"/>
      <c r="J5" s="121"/>
      <c r="K5" s="122"/>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26" t="s">
        <v>63</v>
      </c>
      <c r="B7" s="126"/>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0" t="s">
        <v>2</v>
      </c>
      <c r="B8" s="120"/>
      <c r="C8" s="59" t="str">
        <f>Bryngwyn!C8</f>
        <v>N3</v>
      </c>
      <c r="D8" s="59" t="str">
        <f>Bryngwyn!D8</f>
        <v>N5</v>
      </c>
      <c r="E8" s="59" t="str">
        <f>Bryngwyn!E8</f>
        <v>N17</v>
      </c>
      <c r="F8" s="59" t="str">
        <f>Bryngwyn!F8</f>
        <v>BG1</v>
      </c>
      <c r="G8" s="59" t="str">
        <f>Bryngwyn!G8</f>
        <v>BG2</v>
      </c>
      <c r="H8" s="59" t="str">
        <f>Bryngwyn!H8</f>
        <v>BG3</v>
      </c>
      <c r="I8" s="59" t="str">
        <f>Bryngwyn!I8</f>
        <v>BG4</v>
      </c>
      <c r="J8" s="59" t="str">
        <f>Bryngwyn!J8</f>
        <v>BG5</v>
      </c>
      <c r="K8" s="59" t="str">
        <f>Bryngwyn!K8</f>
        <v>Peny1</v>
      </c>
      <c r="L8" s="59" t="str">
        <f>Bryngwyn!L8</f>
        <v>G1</v>
      </c>
      <c r="M8" s="59" t="str">
        <f>Bryngwyn!M8</f>
        <v>G2</v>
      </c>
      <c r="N8" s="59" t="str">
        <f>Bryngwyn!N8</f>
        <v>G3</v>
      </c>
      <c r="O8" s="59" t="str">
        <f>Bryngwyn!O8</f>
        <v>G4A</v>
      </c>
      <c r="P8" s="59" t="str">
        <f>Bryngwyn!P8</f>
        <v>G4B</v>
      </c>
      <c r="Q8" s="59" t="str">
        <f>Bryngwyn!Q8</f>
        <v>G5</v>
      </c>
      <c r="R8" s="59" t="str">
        <f>Bryngwyn!R8</f>
        <v>G9</v>
      </c>
      <c r="S8" s="59" t="str">
        <f>Bryngwyn!S8</f>
        <v>G12</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0" t="s">
        <v>3</v>
      </c>
      <c r="B9" s="120"/>
      <c r="C9" s="59" t="str">
        <f>Bryngwyn!C9</f>
        <v>Moderate</v>
      </c>
      <c r="D9" s="59" t="str">
        <f>Bryngwyn!D9</f>
        <v>Moderate</v>
      </c>
      <c r="E9" s="59" t="str">
        <f>Bryngwyn!E9</f>
        <v>Moderate</v>
      </c>
      <c r="F9" s="59" t="str">
        <f>Bryngwyn!F9</f>
        <v>Moderate</v>
      </c>
      <c r="G9" s="59" t="str">
        <f>Bryngwyn!G9</f>
        <v>Moderate</v>
      </c>
      <c r="H9" s="59" t="str">
        <f>Bryngwyn!H9</f>
        <v>Moderate</v>
      </c>
      <c r="I9" s="59" t="str">
        <f>Bryngwyn!I9</f>
        <v>Moderate</v>
      </c>
      <c r="J9" s="59" t="str">
        <f>Bryngwyn!J9</f>
        <v>Moderate</v>
      </c>
      <c r="K9" s="59" t="str">
        <f>Bryngwyn!K9</f>
        <v>Moderate</v>
      </c>
      <c r="L9" s="59" t="str">
        <f>Bryngwyn!L9</f>
        <v>Moderate</v>
      </c>
      <c r="M9" s="59" t="str">
        <f>Bryngwyn!M9</f>
        <v>Moderate</v>
      </c>
      <c r="N9" s="59" t="str">
        <f>Bryngwyn!N9</f>
        <v>Moderate</v>
      </c>
      <c r="O9" s="59" t="str">
        <f>Bryngwyn!O9</f>
        <v>Moderate</v>
      </c>
      <c r="P9" s="59" t="str">
        <f>Bryngwyn!P9</f>
        <v>Moderate</v>
      </c>
      <c r="Q9" s="59" t="str">
        <f>Bryngwyn!Q9</f>
        <v>Moderate</v>
      </c>
      <c r="R9" s="59" t="str">
        <f>Bryngwyn!R9</f>
        <v>Moderate</v>
      </c>
      <c r="S9" s="59" t="str">
        <f>Bryngwyn!S9</f>
        <v>Moderate</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0" t="s">
        <v>4</v>
      </c>
      <c r="B10" s="120"/>
      <c r="C10" s="59">
        <f>Bryngwyn!C10</f>
        <v>7.2</v>
      </c>
      <c r="D10" s="59">
        <f>Bryngwyn!D10</f>
        <v>7</v>
      </c>
      <c r="E10" s="59">
        <f>Bryngwyn!E10</f>
        <v>7.1</v>
      </c>
      <c r="F10" s="59">
        <f>Bryngwyn!F10</f>
        <v>7.2</v>
      </c>
      <c r="G10" s="59">
        <f>Bryngwyn!G10</f>
        <v>6.9</v>
      </c>
      <c r="H10" s="59">
        <f>Bryngwyn!H10</f>
        <v>6.3</v>
      </c>
      <c r="I10" s="59">
        <f>Bryngwyn!I10</f>
        <v>6.8</v>
      </c>
      <c r="J10" s="59">
        <f>Bryngwyn!J10</f>
        <v>6.5</v>
      </c>
      <c r="K10" s="59">
        <f>Bryngwyn!K10</f>
        <v>5.8</v>
      </c>
      <c r="L10" s="59">
        <f>Bryngwyn!L10</f>
        <v>7.1</v>
      </c>
      <c r="M10" s="59">
        <f>Bryngwyn!M10</f>
        <v>6.4</v>
      </c>
      <c r="N10" s="59">
        <f>Bryngwyn!N10</f>
        <v>6.7</v>
      </c>
      <c r="O10" s="59">
        <f>Bryngwyn!O10</f>
        <v>6.9</v>
      </c>
      <c r="P10" s="59">
        <f>Bryngwyn!P10</f>
        <v>7.1</v>
      </c>
      <c r="Q10" s="59">
        <f>Bryngwyn!Q10</f>
        <v>7.1</v>
      </c>
      <c r="R10" s="59">
        <f>Bryngwyn!R10</f>
        <v>7.1</v>
      </c>
      <c r="S10" s="59">
        <f>Bryngwyn!S10</f>
        <v>7.1</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0" t="s">
        <v>5</v>
      </c>
      <c r="B11" s="120"/>
      <c r="C11" s="59">
        <f>Bryngwyn!C11</f>
        <v>3</v>
      </c>
      <c r="D11" s="59">
        <f>Bryngwyn!D11</f>
        <v>3</v>
      </c>
      <c r="E11" s="59">
        <f>Bryngwyn!E11</f>
        <v>3</v>
      </c>
      <c r="F11" s="59">
        <f>Bryngwyn!F11</f>
        <v>3</v>
      </c>
      <c r="G11" s="59">
        <f>Bryngwyn!G11</f>
        <v>3</v>
      </c>
      <c r="H11" s="59">
        <f>Bryngwyn!H11</f>
        <v>3</v>
      </c>
      <c r="I11" s="59">
        <f>Bryngwyn!I11</f>
        <v>3</v>
      </c>
      <c r="J11" s="59">
        <f>Bryngwyn!J11</f>
        <v>3</v>
      </c>
      <c r="K11" s="59">
        <f>Bryngwyn!K11</f>
        <v>1</v>
      </c>
      <c r="L11" s="59">
        <f>Bryngwyn!L11</f>
        <v>4</v>
      </c>
      <c r="M11" s="59">
        <f>Bryngwyn!M11</f>
        <v>4</v>
      </c>
      <c r="N11" s="59">
        <f>Bryngwyn!N11</f>
        <v>4</v>
      </c>
      <c r="O11" s="59">
        <f>Bryngwyn!O11</f>
        <v>4</v>
      </c>
      <c r="P11" s="59">
        <f>Bryngwyn!P11</f>
        <v>4</v>
      </c>
      <c r="Q11" s="59">
        <f>Bryngwyn!Q11</f>
        <v>4</v>
      </c>
      <c r="R11" s="59">
        <f>Bryngwyn!R11</f>
        <v>4</v>
      </c>
      <c r="S11" s="59">
        <f>Bryngwyn!S11</f>
        <v>4</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0" t="s">
        <v>6</v>
      </c>
      <c r="B12" s="120"/>
      <c r="C12" s="59">
        <f>Bryngwyn!C12</f>
        <v>0</v>
      </c>
      <c r="D12" s="59">
        <f>Bryngwyn!D12</f>
        <v>0</v>
      </c>
      <c r="E12" s="59">
        <f>Bryngwyn!E12</f>
        <v>0</v>
      </c>
      <c r="F12" s="59">
        <f>Bryngwyn!F12</f>
        <v>2</v>
      </c>
      <c r="G12" s="59">
        <f>Bryngwyn!G12</f>
        <v>1</v>
      </c>
      <c r="H12" s="59">
        <f>Bryngwyn!H12</f>
        <v>1</v>
      </c>
      <c r="I12" s="59">
        <f>Bryngwyn!I12</f>
        <v>2</v>
      </c>
      <c r="J12" s="59">
        <f>Bryngwyn!J12</f>
        <v>2</v>
      </c>
      <c r="K12" s="59">
        <f>Bryngwyn!K12</f>
        <v>0</v>
      </c>
      <c r="L12" s="59">
        <f>Bryngwyn!L12</f>
        <v>2</v>
      </c>
      <c r="M12" s="59">
        <f>Bryngwyn!M12</f>
        <v>2</v>
      </c>
      <c r="N12" s="59">
        <f>Bryngwyn!N12</f>
        <v>2</v>
      </c>
      <c r="O12" s="59">
        <f>Bryngwyn!O12</f>
        <v>2</v>
      </c>
      <c r="P12" s="59">
        <f>Bryngwyn!P12</f>
        <v>2</v>
      </c>
      <c r="Q12" s="59">
        <f>Bryngwyn!Q12</f>
        <v>2</v>
      </c>
      <c r="R12" s="59">
        <f>Bryngwyn!R12</f>
        <v>2</v>
      </c>
      <c r="S12" s="59">
        <f>Bryngwyn!S12</f>
        <v>2</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0" t="s">
        <v>7</v>
      </c>
      <c r="B13" s="120"/>
      <c r="C13" s="59">
        <f>Bryngwyn!C13</f>
        <v>1</v>
      </c>
      <c r="D13" s="59">
        <f>Bryngwyn!D13</f>
        <v>2</v>
      </c>
      <c r="E13" s="59">
        <f>Bryngwyn!E13</f>
        <v>1</v>
      </c>
      <c r="F13" s="59">
        <f>Bryngwyn!F13</f>
        <v>2</v>
      </c>
      <c r="G13" s="59">
        <f>Bryngwyn!G13</f>
        <v>2</v>
      </c>
      <c r="H13" s="59">
        <f>Bryngwyn!H13</f>
        <v>2</v>
      </c>
      <c r="I13" s="59">
        <f>Bryngwyn!I13</f>
        <v>2</v>
      </c>
      <c r="J13" s="59">
        <f>Bryngwyn!J13</f>
        <v>2</v>
      </c>
      <c r="K13" s="59">
        <f>Bryngwyn!K13</f>
        <v>2</v>
      </c>
      <c r="L13" s="59">
        <f>Bryngwyn!L13</f>
        <v>2</v>
      </c>
      <c r="M13" s="59">
        <f>Bryngwyn!M13</f>
        <v>2</v>
      </c>
      <c r="N13" s="59">
        <f>Bryngwyn!N13</f>
        <v>2</v>
      </c>
      <c r="O13" s="59">
        <f>Bryngwyn!O13</f>
        <v>2</v>
      </c>
      <c r="P13" s="59">
        <f>Bryngwyn!P13</f>
        <v>2</v>
      </c>
      <c r="Q13" s="59">
        <f>Bryngwyn!Q13</f>
        <v>3</v>
      </c>
      <c r="R13" s="59">
        <f>Bryngwyn!R13</f>
        <v>3</v>
      </c>
      <c r="S13" s="59">
        <f>Bryngwyn!S13</f>
        <v>2</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2" t="s">
        <v>8</v>
      </c>
      <c r="B14" s="132"/>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t="str">
        <f>Bryngwyn!L14</f>
        <v xml:space="preserve">Grass Silage (25% DM) </v>
      </c>
      <c r="M14" s="101" t="str">
        <f>Bryngwyn!M14</f>
        <v xml:space="preserve">Grass Silage (25% DM) </v>
      </c>
      <c r="N14" s="101" t="str">
        <f>Bryngwyn!N14</f>
        <v xml:space="preserve">Grass Silage (25% DM) </v>
      </c>
      <c r="O14" s="101" t="str">
        <f>Bryngwyn!O14</f>
        <v xml:space="preserve">Grass Silage (25% DM) </v>
      </c>
      <c r="P14" s="101" t="str">
        <f>Bryngwyn!P14</f>
        <v xml:space="preserve">Grass Silage (25% DM) </v>
      </c>
      <c r="Q14" s="101" t="str">
        <f>Bryngwyn!Q14</f>
        <v xml:space="preserve">Grass Silage (25% DM) </v>
      </c>
      <c r="R14" s="101" t="str">
        <f>Bryngwyn!R14</f>
        <v xml:space="preserve">Grass Silage (25% DM) </v>
      </c>
      <c r="S14" s="101" t="str">
        <f>Bryngwyn!S14</f>
        <v xml:space="preserve">Grass Silage (25% DM) </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1" t="s">
        <v>9</v>
      </c>
      <c r="B15" s="131"/>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38</v>
      </c>
      <c r="M15" s="59">
        <f>Bryngwyn!M15</f>
        <v>38</v>
      </c>
      <c r="N15" s="59">
        <f>Bryngwyn!N15</f>
        <v>38</v>
      </c>
      <c r="O15" s="59">
        <f>Bryngwyn!O15</f>
        <v>38</v>
      </c>
      <c r="P15" s="59">
        <f>Bryngwyn!P15</f>
        <v>38</v>
      </c>
      <c r="Q15" s="59">
        <f>Bryngwyn!Q15</f>
        <v>38</v>
      </c>
      <c r="R15" s="59">
        <f>Bryngwyn!R15</f>
        <v>38</v>
      </c>
      <c r="S15" s="59">
        <f>Bryngwyn!S15</f>
        <v>38</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3" t="s">
        <v>44</v>
      </c>
      <c r="B16" s="133"/>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t="str">
        <f>Bryngwyn!L16</f>
        <v>Medium/Clay</v>
      </c>
      <c r="M16" s="102" t="str">
        <f>Bryngwyn!M16</f>
        <v>Medium/Clay</v>
      </c>
      <c r="N16" s="102" t="str">
        <f>Bryngwyn!N16</f>
        <v>Medium/Clay</v>
      </c>
      <c r="O16" s="102" t="str">
        <f>Bryngwyn!O16</f>
        <v>Medium/Clay</v>
      </c>
      <c r="P16" s="102" t="str">
        <f>Bryngwyn!P16</f>
        <v>Medium/Clay</v>
      </c>
      <c r="Q16" s="102" t="str">
        <f>Bryngwyn!Q16</f>
        <v>Medium/Clay</v>
      </c>
      <c r="R16" s="102" t="str">
        <f>Bryngwyn!R16</f>
        <v>Medium/Clay</v>
      </c>
      <c r="S16" s="102" t="str">
        <f>Bryngwyn!S16</f>
        <v>Medium/Clay</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23" t="s">
        <v>69</v>
      </c>
      <c r="B17" s="124"/>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f t="shared" si="0"/>
        <v>64.599999999999994</v>
      </c>
      <c r="M17" s="27">
        <f t="shared" si="0"/>
        <v>64.599999999999994</v>
      </c>
      <c r="N17" s="27">
        <f t="shared" si="0"/>
        <v>64.599999999999994</v>
      </c>
      <c r="O17" s="27">
        <f t="shared" si="0"/>
        <v>64.599999999999994</v>
      </c>
      <c r="P17" s="27">
        <f t="shared" si="0"/>
        <v>64.599999999999994</v>
      </c>
      <c r="Q17" s="27">
        <f t="shared" si="0"/>
        <v>64.599999999999994</v>
      </c>
      <c r="R17" s="27">
        <f t="shared" si="0"/>
        <v>64.599999999999994</v>
      </c>
      <c r="S17" s="27">
        <f t="shared" si="0"/>
        <v>64.599999999999994</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25" t="s">
        <v>23</v>
      </c>
      <c r="B18" s="126"/>
      <c r="C18" s="16">
        <f>$D31</f>
        <v>37.506806378999997</v>
      </c>
      <c r="D18" s="16">
        <f>$D32</f>
        <v>37.506806378999997</v>
      </c>
      <c r="E18" s="16">
        <f>$D33</f>
        <v>37.506806378999997</v>
      </c>
      <c r="F18" s="16">
        <f>$D34</f>
        <v>37.506806378999997</v>
      </c>
      <c r="G18" s="16">
        <f>$D35</f>
        <v>37.506806378999997</v>
      </c>
      <c r="H18" s="16">
        <f>$D36</f>
        <v>37.506806378999997</v>
      </c>
      <c r="I18" s="16">
        <f>$D37</f>
        <v>37.506806378999997</v>
      </c>
      <c r="J18" s="16">
        <f>$D38</f>
        <v>37.506806378999997</v>
      </c>
      <c r="K18" s="16">
        <f>$D39</f>
        <v>70.501515749999996</v>
      </c>
      <c r="L18" s="16">
        <f>$D40</f>
        <v>28.200606299999997</v>
      </c>
      <c r="M18" s="16">
        <f>$D41</f>
        <v>28.200606299999997</v>
      </c>
      <c r="N18" s="16">
        <f>$D42</f>
        <v>28.200606299999997</v>
      </c>
      <c r="O18" s="16">
        <f>$D43</f>
        <v>28.200606299999997</v>
      </c>
      <c r="P18" s="16">
        <f>$D44</f>
        <v>28.200606299999997</v>
      </c>
      <c r="Q18" s="16">
        <f>$D45</f>
        <v>28.200606299999997</v>
      </c>
      <c r="R18" s="16">
        <f>$D46</f>
        <v>28.200606299999997</v>
      </c>
      <c r="S18" s="16">
        <f>$D47</f>
        <v>28.200606299999997</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25" t="s">
        <v>90</v>
      </c>
      <c r="B19" s="126"/>
      <c r="C19" s="16">
        <f>C18-C17</f>
        <v>-27.093193620999998</v>
      </c>
      <c r="D19" s="16">
        <f t="shared" ref="D19:V19" si="1">D18-D17</f>
        <v>-27.093193620999998</v>
      </c>
      <c r="E19" s="16">
        <f t="shared" si="1"/>
        <v>-27.093193620999998</v>
      </c>
      <c r="F19" s="16">
        <f t="shared" si="1"/>
        <v>-27.093193620999998</v>
      </c>
      <c r="G19" s="16">
        <f t="shared" si="1"/>
        <v>-27.093193620999998</v>
      </c>
      <c r="H19" s="16">
        <f t="shared" si="1"/>
        <v>-27.093193620999998</v>
      </c>
      <c r="I19" s="16">
        <f t="shared" si="1"/>
        <v>-27.093193620999998</v>
      </c>
      <c r="J19" s="16">
        <f t="shared" si="1"/>
        <v>-27.093193620999998</v>
      </c>
      <c r="K19" s="16">
        <f t="shared" si="1"/>
        <v>5.9015157500000015</v>
      </c>
      <c r="L19" s="16">
        <f t="shared" si="1"/>
        <v>-36.399393699999997</v>
      </c>
      <c r="M19" s="16">
        <f t="shared" si="1"/>
        <v>-36.399393699999997</v>
      </c>
      <c r="N19" s="16">
        <f t="shared" si="1"/>
        <v>-36.399393699999997</v>
      </c>
      <c r="O19" s="16">
        <f t="shared" si="1"/>
        <v>-36.399393699999997</v>
      </c>
      <c r="P19" s="16">
        <f t="shared" si="1"/>
        <v>-36.399393699999997</v>
      </c>
      <c r="Q19" s="16">
        <f t="shared" si="1"/>
        <v>-36.399393699999997</v>
      </c>
      <c r="R19" s="16">
        <f t="shared" si="1"/>
        <v>-36.399393699999997</v>
      </c>
      <c r="S19" s="16">
        <f t="shared" si="1"/>
        <v>-36.399393699999997</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27" t="s">
        <v>91</v>
      </c>
      <c r="B20" s="128"/>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INCREASE</v>
      </c>
      <c r="L20" s="25" t="str">
        <f>IF($B40="","",IF(L$19&gt;=0,"INCREASE","DECREASE"))</f>
        <v>DECREASE</v>
      </c>
      <c r="M20" s="25" t="str">
        <f>IF($B41="","",IF(M$19&gt;=0,"INCREASE","DECREASE"))</f>
        <v>DECREASE</v>
      </c>
      <c r="N20" s="25" t="str">
        <f>IF($B42="","",IF(N$19&gt;=0,"INCREASE","DECREASE"))</f>
        <v>DECREASE</v>
      </c>
      <c r="O20" s="25" t="str">
        <f>IF($B43="","",IF(O$19&gt;=0,"INCREASE","DECREASE"))</f>
        <v>DECREASE</v>
      </c>
      <c r="P20" s="25" t="str">
        <f>IF($B44="","",IF(P$19&gt;=0,"INCREASE","DECREASE"))</f>
        <v>DECREASE</v>
      </c>
      <c r="Q20" s="25" t="str">
        <f>IF($B45="","",IF(Q$19&gt;=0,"INCREASE","DECREASE"))</f>
        <v>DECREASE</v>
      </c>
      <c r="R20" s="25" t="str">
        <f>IF($B46="","",IF(R$19&gt;=0,"INCREASE","DECREASE"))</f>
        <v>DECREASE</v>
      </c>
      <c r="S20" s="25" t="str">
        <f>IF($B47="","",IF(S$19&gt;=0,"INCREASE","DECREASE"))</f>
        <v>DECREASE</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23" t="s">
        <v>88</v>
      </c>
      <c r="B21" s="124"/>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f t="shared" si="2"/>
        <v>228</v>
      </c>
      <c r="M21" s="27">
        <f t="shared" si="2"/>
        <v>228</v>
      </c>
      <c r="N21" s="27">
        <f t="shared" si="2"/>
        <v>228</v>
      </c>
      <c r="O21" s="27">
        <f t="shared" si="2"/>
        <v>228</v>
      </c>
      <c r="P21" s="27">
        <f t="shared" si="2"/>
        <v>228</v>
      </c>
      <c r="Q21" s="27">
        <f t="shared" si="2"/>
        <v>228</v>
      </c>
      <c r="R21" s="27">
        <f t="shared" si="2"/>
        <v>228</v>
      </c>
      <c r="S21" s="27">
        <f t="shared" si="2"/>
        <v>228</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25" t="s">
        <v>89</v>
      </c>
      <c r="B22" s="126"/>
      <c r="C22" s="16">
        <f>$E31</f>
        <v>5.3912504940000003</v>
      </c>
      <c r="D22" s="16">
        <f>$E32</f>
        <v>5.3912504940000003</v>
      </c>
      <c r="E22" s="16">
        <f>$E33</f>
        <v>5.3912504940000003</v>
      </c>
      <c r="F22" s="16">
        <f>$E34</f>
        <v>5.3912504940000003</v>
      </c>
      <c r="G22" s="16">
        <f>$E35</f>
        <v>5.3912504940000003</v>
      </c>
      <c r="H22" s="16">
        <f>$E36</f>
        <v>5.3912504940000003</v>
      </c>
      <c r="I22" s="16">
        <f>$E37</f>
        <v>5.3912504940000003</v>
      </c>
      <c r="J22" s="16">
        <f>$E38</f>
        <v>5.3912504940000003</v>
      </c>
      <c r="K22" s="16">
        <f>$E39</f>
        <v>10.133929500000001</v>
      </c>
      <c r="L22" s="16">
        <f>$E40</f>
        <v>4.0535718000000003</v>
      </c>
      <c r="M22" s="16">
        <f>$E41</f>
        <v>4.0535718000000003</v>
      </c>
      <c r="N22" s="16">
        <f>$E42</f>
        <v>4.0535718000000003</v>
      </c>
      <c r="O22" s="16">
        <f>$E43</f>
        <v>4.0535718000000003</v>
      </c>
      <c r="P22" s="16">
        <f>$E44</f>
        <v>4.0535718000000003</v>
      </c>
      <c r="Q22" s="16">
        <f>$E45</f>
        <v>4.0535718000000003</v>
      </c>
      <c r="R22" s="16">
        <f>$E46</f>
        <v>4.0535718000000003</v>
      </c>
      <c r="S22" s="16">
        <f>$E47</f>
        <v>4.0535718000000003</v>
      </c>
      <c r="T22" s="16">
        <f>$E48</f>
        <v>0</v>
      </c>
      <c r="U22" s="16">
        <f>$E49</f>
        <v>0</v>
      </c>
      <c r="V22" s="16">
        <f>$E50</f>
        <v>0</v>
      </c>
      <c r="AI22" s="62" t="s">
        <v>102</v>
      </c>
      <c r="AJ22" s="63">
        <v>1.2</v>
      </c>
      <c r="AK22" s="64">
        <v>5</v>
      </c>
      <c r="AL22" s="28">
        <v>20</v>
      </c>
      <c r="AM22" s="11">
        <v>6.7</v>
      </c>
      <c r="AN22" s="11" t="s">
        <v>135</v>
      </c>
    </row>
    <row r="23" spans="1:40" ht="13" x14ac:dyDescent="0.25">
      <c r="A23" s="125" t="s">
        <v>92</v>
      </c>
      <c r="B23" s="126"/>
      <c r="C23" s="16">
        <f>C22-C21</f>
        <v>-222.60874950600001</v>
      </c>
      <c r="D23" s="16">
        <f t="shared" ref="D23:V23" si="3">D22-D21</f>
        <v>-222.60874950600001</v>
      </c>
      <c r="E23" s="16">
        <f t="shared" si="3"/>
        <v>-222.60874950600001</v>
      </c>
      <c r="F23" s="16">
        <f t="shared" si="3"/>
        <v>-222.60874950600001</v>
      </c>
      <c r="G23" s="16">
        <f t="shared" si="3"/>
        <v>-222.60874950600001</v>
      </c>
      <c r="H23" s="16">
        <f t="shared" si="3"/>
        <v>-222.60874950600001</v>
      </c>
      <c r="I23" s="16">
        <f t="shared" si="3"/>
        <v>-222.60874950600001</v>
      </c>
      <c r="J23" s="16">
        <f t="shared" si="3"/>
        <v>-222.60874950600001</v>
      </c>
      <c r="K23" s="16">
        <f t="shared" si="3"/>
        <v>-217.86607050000001</v>
      </c>
      <c r="L23" s="16">
        <f t="shared" si="3"/>
        <v>-223.94642820000001</v>
      </c>
      <c r="M23" s="16">
        <f t="shared" si="3"/>
        <v>-223.94642820000001</v>
      </c>
      <c r="N23" s="16">
        <f t="shared" si="3"/>
        <v>-223.94642820000001</v>
      </c>
      <c r="O23" s="16">
        <f t="shared" si="3"/>
        <v>-223.94642820000001</v>
      </c>
      <c r="P23" s="16">
        <f t="shared" si="3"/>
        <v>-223.94642820000001</v>
      </c>
      <c r="Q23" s="16">
        <f t="shared" si="3"/>
        <v>-223.94642820000001</v>
      </c>
      <c r="R23" s="16">
        <f t="shared" si="3"/>
        <v>-223.94642820000001</v>
      </c>
      <c r="S23" s="16">
        <f t="shared" si="3"/>
        <v>-223.94642820000001</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27" t="s">
        <v>93</v>
      </c>
      <c r="B24" s="128"/>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str">
        <f t="shared" si="4"/>
        <v>DECREASE</v>
      </c>
      <c r="M24" s="25" t="str">
        <f t="shared" si="4"/>
        <v>DECREASE</v>
      </c>
      <c r="N24" s="25" t="str">
        <f t="shared" si="4"/>
        <v>DECREASE</v>
      </c>
      <c r="O24" s="25" t="str">
        <f t="shared" si="4"/>
        <v>DECREASE</v>
      </c>
      <c r="P24" s="25" t="str">
        <f t="shared" si="4"/>
        <v>DECREASE</v>
      </c>
      <c r="Q24" s="25" t="str">
        <f t="shared" si="4"/>
        <v>DECREASE</v>
      </c>
      <c r="R24" s="25" t="str">
        <f t="shared" si="4"/>
        <v>DECREASE</v>
      </c>
      <c r="S24" s="25" t="str">
        <f t="shared" si="4"/>
        <v>DECREASE</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5.82</v>
      </c>
      <c r="C28" s="15">
        <v>0.65</v>
      </c>
      <c r="D28" s="15">
        <v>0.21149999999999999</v>
      </c>
      <c r="E28" s="15">
        <v>5.7799999999999997E-2</v>
      </c>
      <c r="F28" s="15">
        <v>2240</v>
      </c>
      <c r="G28" s="15">
        <v>9.3699999999999992</v>
      </c>
      <c r="H28" s="15">
        <v>124</v>
      </c>
      <c r="I28" s="15">
        <v>36.700000000000003</v>
      </c>
      <c r="J28" s="15">
        <v>0.16</v>
      </c>
      <c r="K28" s="15">
        <v>0.35</v>
      </c>
      <c r="L28" s="15">
        <v>17.399999999999999</v>
      </c>
      <c r="M28" s="15">
        <v>21.9</v>
      </c>
      <c r="N28" s="15">
        <v>3220</v>
      </c>
      <c r="O28" s="15">
        <v>389000</v>
      </c>
      <c r="P28" s="15"/>
      <c r="Q28" s="15">
        <v>1790</v>
      </c>
      <c r="R28" s="15"/>
      <c r="S28" s="15">
        <v>22.9</v>
      </c>
      <c r="T28" s="15"/>
      <c r="U28" s="15"/>
    </row>
    <row r="29" spans="1:40" s="7" customFormat="1" ht="28" x14ac:dyDescent="0.35">
      <c r="A29" s="129"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0"/>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N3</v>
      </c>
      <c r="B31" s="15">
        <v>133</v>
      </c>
      <c r="C31" s="76">
        <f>IF(C$27="%w/w SAR",((C$28*10)*$B31),IF(C$27="%w/w DM",(((C$28*10)*($B$28/100))*$B31),IF(C$27="kg/t SAR",(C$28*$B31),IF(C$27="kg/t DM",((C$28*($B$28/100))*$B31),IF(C$27="mg/kg SAR",((C$28*0.001)*$B31),IF(C$27="mg/kg DM",(((C$28*0.001)*($B$28/100))*$B31),0))))))</f>
        <v>50.313900000000004</v>
      </c>
      <c r="D31" s="76">
        <f>(IF(D$27="%w/w SAR",((D$28*10)*$B31),IF(D$27="%w/w DM",(((D$28*10)*($B$28/100))*$B31),IF(D$27="kg/t SAR",(D$28*$B31),IF(D$27="kg/t DM",((D$28*($B$28/100))*$B31),IF(D$27="mg/kg SAR",((D$28*0.001)*$B31),IF(D$27="mg/kg DM",(((D$28*0.001)*($B$28/100))*$B31),"0")))))))*2.291</f>
        <v>37.506806378999997</v>
      </c>
      <c r="E31" s="76">
        <f>(IF(E$27="%w/w SAR",((E$28*10)*$B31),IF(E$27="%w/w DM",(((E$28*10)*($B$28/100))*$B31),IF(E$27="kg/t SAR",(E$28*$B31),IF(E$27="kg/t DM",((E$28*($B$28/100))*$B31),IF(E$27="mg/kg SAR",((E$28*0.001)*$B31),IF(E$27="mg/kg DM",(((E$28*0.001)*($B$28/100))*$B31),"0")))))))*1.205</f>
        <v>5.3912504940000003</v>
      </c>
      <c r="F31" s="76">
        <f>(IF(F$27="%w/w SAR",((F$28*10)*$B31),IF(F$27="%w/w DM",(((F$28*10)*($B$28/100))*$B31),IF(F$27="kg/t SAR",(F$28*$B31),IF(F$27="kg/t DM",((F$28*($B$28/100))*$B31),IF(F$27="mg/kg SAR",((F$28*0.001)*$B31),IF(F$27="mg/kg DM",(((F$28*0.001)*($B$28/100))*$B31),"0")))))))*1.658</f>
        <v>28.747969152</v>
      </c>
      <c r="G31" s="76">
        <f t="shared" ref="G31:P46" si="5">IF(G$27="%w/w SAR",((G$28*10)*$B31),IF(G$27="%w/w DM",(((G$28*10)*($B$28/100))*$B31),IF(G$27="kg/t SAR",(G$28*$B31),IF(G$27="kg/t DM",((G$28*($B$28/100))*$B31),IF(G$27="mg/kg SAR",((G$28*0.001)*$B31),IF(G$27="mg/kg DM",(((G$28*0.001)*($B$28/100))*$B31),0))))))</f>
        <v>7.2529421999999996E-2</v>
      </c>
      <c r="H31" s="76">
        <f t="shared" si="5"/>
        <v>0.95983439999999998</v>
      </c>
      <c r="I31" s="76">
        <f t="shared" si="5"/>
        <v>0.28408002000000004</v>
      </c>
      <c r="J31" s="76">
        <f t="shared" si="5"/>
        <v>1.2384960000000002E-3</v>
      </c>
      <c r="K31" s="76">
        <f t="shared" si="5"/>
        <v>2.7092100000000001E-3</v>
      </c>
      <c r="L31" s="76">
        <f t="shared" si="5"/>
        <v>0.13468643999999999</v>
      </c>
      <c r="M31" s="76">
        <f t="shared" si="5"/>
        <v>0.16951913999999998</v>
      </c>
      <c r="N31" s="76">
        <f t="shared" si="5"/>
        <v>24.924732000000002</v>
      </c>
      <c r="O31" s="76">
        <f t="shared" si="5"/>
        <v>3011.0934000000002</v>
      </c>
      <c r="P31" s="76">
        <f t="shared" si="5"/>
        <v>0</v>
      </c>
      <c r="Q31" s="76">
        <f>(IF(Q$27="%w/w SAR",((Q$28*10)*$B31),IF(Q$27="%w/w DM",(((Q$28*10)*($B$28/100))*$B31),IF(Q$27="kg/t SAR",(Q$28*$B31),IF(Q$27="kg/t DM",((Q$28*($B$28/100))*$B31),IF(Q$27="mg/kg SAR",((Q$28*0.001)*$B31),IF(Q$27="mg/kg DM",(((Q$28*0.001)*($B$28/100))*$B31),0)))))))*2.5</f>
        <v>34.639184999999998</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0.17725974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t="str">
        <f>D8</f>
        <v>N5</v>
      </c>
      <c r="B32" s="15">
        <v>133</v>
      </c>
      <c r="C32" s="76">
        <f t="shared" ref="C32:C50" si="6">IF(C$27="%w/w SAR",((C$28*10)*$B32),IF(C$27="%w/w DM",(((C$28*10)*($B$28/100))*$B32),IF(C$27="kg/t SAR",(C$28*$B32),IF(C$27="kg/t DM",((C$28*($B$28/100))*$B32),IF(C$27="mg/kg SAR",((C$28*0.001)*$B32),IF(C$27="mg/kg DM",(((C$28*0.001)*($B$28/100))*$B32),0))))))</f>
        <v>50.313900000000004</v>
      </c>
      <c r="D32" s="76">
        <f t="shared" ref="D32:D50" si="7">(IF(D$27="%w/w SAR",((D$28*10)*$B32),IF(D$27="%w/w DM",(((D$28*10)*($B$28/100))*$B32),IF(D$27="kg/t SAR",(D$28*$B32),IF(D$27="kg/t DM",((D$28*($B$28/100))*$B32),IF(D$27="mg/kg SAR",((D$28*0.001)*$B32),IF(D$27="mg/kg DM",(((D$28*0.001)*($B$28/100))*$B32),"0")))))))*2.291</f>
        <v>37.506806378999997</v>
      </c>
      <c r="E32" s="76">
        <f t="shared" ref="E32:E50" si="8">(IF(E$27="%w/w SAR",((E$28*10)*$B32),IF(E$27="%w/w DM",(((E$28*10)*($B$28/100))*$B32),IF(E$27="kg/t SAR",(E$28*$B32),IF(E$27="kg/t DM",((E$28*($B$28/100))*$B32),IF(E$27="mg/kg SAR",((E$28*0.001)*$B32),IF(E$27="mg/kg DM",(((E$28*0.001)*($B$28/100))*$B32),"0")))))))*1.205</f>
        <v>5.3912504940000003</v>
      </c>
      <c r="F32" s="76">
        <f t="shared" ref="F32:F50" si="9">(IF(F$27="%w/w SAR",((F$28*10)*$B32),IF(F$27="%w/w DM",(((F$28*10)*($B$28/100))*$B32),IF(F$27="kg/t SAR",(F$28*$B32),IF(F$27="kg/t DM",((F$28*($B$28/100))*$B32),IF(F$27="mg/kg SAR",((F$28*0.001)*$B32),IF(F$27="mg/kg DM",(((F$28*0.001)*($B$28/100))*$B32),"0")))))))*1.658</f>
        <v>28.747969152</v>
      </c>
      <c r="G32" s="76">
        <f t="shared" si="5"/>
        <v>7.2529421999999996E-2</v>
      </c>
      <c r="H32" s="76">
        <f t="shared" si="5"/>
        <v>0.95983439999999998</v>
      </c>
      <c r="I32" s="76">
        <f t="shared" si="5"/>
        <v>0.28408002000000004</v>
      </c>
      <c r="J32" s="76">
        <f t="shared" si="5"/>
        <v>1.2384960000000002E-3</v>
      </c>
      <c r="K32" s="76">
        <f t="shared" si="5"/>
        <v>2.7092100000000001E-3</v>
      </c>
      <c r="L32" s="76">
        <f t="shared" si="5"/>
        <v>0.13468643999999999</v>
      </c>
      <c r="M32" s="76">
        <f t="shared" si="5"/>
        <v>0.16951913999999998</v>
      </c>
      <c r="N32" s="76">
        <f t="shared" si="5"/>
        <v>24.924732000000002</v>
      </c>
      <c r="O32" s="76">
        <f t="shared" si="5"/>
        <v>3011.0934000000002</v>
      </c>
      <c r="P32" s="76">
        <f t="shared" si="5"/>
        <v>0</v>
      </c>
      <c r="Q32" s="76">
        <f t="shared" ref="Q32:Q50" si="10">(IF(Q$27="%w/w SAR",((Q$28*10)*$B32),IF(Q$27="%w/w DM",(((Q$28*10)*($B$28/100))*$B32),IF(Q$27="kg/t SAR",(Q$28*$B32),IF(Q$27="kg/t DM",((Q$28*($B$28/100))*$B32),IF(Q$27="mg/kg SAR",((Q$28*0.001)*$B32),IF(Q$27="mg/kg DM",(((Q$28*0.001)*($B$28/100))*$B32),0)))))))*2.5</f>
        <v>34.639184999999998</v>
      </c>
      <c r="R32" s="76">
        <f t="shared" ref="R32:U50" si="11">IF(R$27="%w/w SAR",((R$28*10)*$B32),IF(R$27="%w/w DM",(((R$28*10)*($B$28/100))*$B32),IF(R$27="kg/t SAR",(R$28*$B32),IF(R$27="kg/t DM",((R$28*($B$28/100))*$B32),IF(R$27="mg/kg SAR",((R$28*0.001)*$B32),IF(R$27="mg/kg DM",(((R$28*0.001)*($B$28/100))*$B32),0))))))</f>
        <v>0</v>
      </c>
      <c r="S32" s="76">
        <f t="shared" si="11"/>
        <v>0.17725974</v>
      </c>
      <c r="T32" s="76">
        <f t="shared" si="11"/>
        <v>0</v>
      </c>
      <c r="U32" s="76">
        <f t="shared" si="11"/>
        <v>0</v>
      </c>
      <c r="AB32" s="58"/>
      <c r="AC32" s="58"/>
      <c r="AD32" s="58"/>
      <c r="AE32" s="58"/>
      <c r="AF32" s="58"/>
      <c r="AG32" s="58"/>
      <c r="AH32" s="58"/>
      <c r="AI32" s="58"/>
    </row>
    <row r="33" spans="1:35" s="71" customFormat="1" ht="13" x14ac:dyDescent="0.35">
      <c r="A33" s="13" t="str">
        <f>E8</f>
        <v>N17</v>
      </c>
      <c r="B33" s="15">
        <v>133</v>
      </c>
      <c r="C33" s="76">
        <f t="shared" si="6"/>
        <v>50.313900000000004</v>
      </c>
      <c r="D33" s="76">
        <f t="shared" si="7"/>
        <v>37.506806378999997</v>
      </c>
      <c r="E33" s="76">
        <f t="shared" si="8"/>
        <v>5.3912504940000003</v>
      </c>
      <c r="F33" s="76">
        <f t="shared" si="9"/>
        <v>28.747969152</v>
      </c>
      <c r="G33" s="76">
        <f t="shared" si="5"/>
        <v>7.2529421999999996E-2</v>
      </c>
      <c r="H33" s="76">
        <f t="shared" si="5"/>
        <v>0.95983439999999998</v>
      </c>
      <c r="I33" s="76">
        <f t="shared" si="5"/>
        <v>0.28408002000000004</v>
      </c>
      <c r="J33" s="76">
        <f t="shared" si="5"/>
        <v>1.2384960000000002E-3</v>
      </c>
      <c r="K33" s="76">
        <f t="shared" si="5"/>
        <v>2.7092100000000001E-3</v>
      </c>
      <c r="L33" s="76">
        <f t="shared" si="5"/>
        <v>0.13468643999999999</v>
      </c>
      <c r="M33" s="76">
        <f t="shared" si="5"/>
        <v>0.16951913999999998</v>
      </c>
      <c r="N33" s="76">
        <f t="shared" si="5"/>
        <v>24.924732000000002</v>
      </c>
      <c r="O33" s="76">
        <f t="shared" si="5"/>
        <v>3011.0934000000002</v>
      </c>
      <c r="P33" s="76">
        <f t="shared" si="5"/>
        <v>0</v>
      </c>
      <c r="Q33" s="76">
        <f t="shared" si="10"/>
        <v>34.639184999999998</v>
      </c>
      <c r="R33" s="76">
        <f t="shared" si="11"/>
        <v>0</v>
      </c>
      <c r="S33" s="76">
        <f t="shared" si="11"/>
        <v>0.17725974</v>
      </c>
      <c r="T33" s="76">
        <f t="shared" si="11"/>
        <v>0</v>
      </c>
      <c r="U33" s="76">
        <f t="shared" si="11"/>
        <v>0</v>
      </c>
      <c r="AB33" s="58"/>
      <c r="AC33" s="58"/>
      <c r="AD33" s="58"/>
      <c r="AE33" s="58"/>
      <c r="AF33" s="58"/>
      <c r="AG33" s="58"/>
      <c r="AH33" s="58"/>
      <c r="AI33" s="58"/>
    </row>
    <row r="34" spans="1:35" s="71" customFormat="1" ht="13" x14ac:dyDescent="0.35">
      <c r="A34" s="13" t="str">
        <f>F8</f>
        <v>BG1</v>
      </c>
      <c r="B34" s="15">
        <v>133</v>
      </c>
      <c r="C34" s="76">
        <f t="shared" si="6"/>
        <v>50.313900000000004</v>
      </c>
      <c r="D34" s="76">
        <f t="shared" si="7"/>
        <v>37.506806378999997</v>
      </c>
      <c r="E34" s="76">
        <f t="shared" si="8"/>
        <v>5.3912504940000003</v>
      </c>
      <c r="F34" s="76">
        <f t="shared" si="9"/>
        <v>28.747969152</v>
      </c>
      <c r="G34" s="76">
        <f t="shared" si="5"/>
        <v>7.2529421999999996E-2</v>
      </c>
      <c r="H34" s="76">
        <f t="shared" si="5"/>
        <v>0.95983439999999998</v>
      </c>
      <c r="I34" s="76">
        <f t="shared" si="5"/>
        <v>0.28408002000000004</v>
      </c>
      <c r="J34" s="76">
        <f t="shared" si="5"/>
        <v>1.2384960000000002E-3</v>
      </c>
      <c r="K34" s="76">
        <f t="shared" si="5"/>
        <v>2.7092100000000001E-3</v>
      </c>
      <c r="L34" s="76">
        <f t="shared" si="5"/>
        <v>0.13468643999999999</v>
      </c>
      <c r="M34" s="76">
        <f t="shared" si="5"/>
        <v>0.16951913999999998</v>
      </c>
      <c r="N34" s="76">
        <f t="shared" si="5"/>
        <v>24.924732000000002</v>
      </c>
      <c r="O34" s="76">
        <f t="shared" si="5"/>
        <v>3011.0934000000002</v>
      </c>
      <c r="P34" s="76">
        <f t="shared" si="5"/>
        <v>0</v>
      </c>
      <c r="Q34" s="76">
        <f t="shared" si="10"/>
        <v>34.639184999999998</v>
      </c>
      <c r="R34" s="76">
        <f t="shared" si="11"/>
        <v>0</v>
      </c>
      <c r="S34" s="76">
        <f t="shared" si="11"/>
        <v>0.17725974</v>
      </c>
      <c r="T34" s="76">
        <f t="shared" si="11"/>
        <v>0</v>
      </c>
      <c r="U34" s="76">
        <f t="shared" si="11"/>
        <v>0</v>
      </c>
      <c r="AB34" s="58"/>
      <c r="AC34" s="58"/>
      <c r="AD34" s="58"/>
      <c r="AE34" s="58"/>
      <c r="AF34" s="58"/>
      <c r="AG34" s="58"/>
      <c r="AH34" s="58"/>
      <c r="AI34" s="58"/>
    </row>
    <row r="35" spans="1:35" s="71" customFormat="1" ht="13" x14ac:dyDescent="0.35">
      <c r="A35" s="13" t="str">
        <f>G8</f>
        <v>BG2</v>
      </c>
      <c r="B35" s="15">
        <v>133</v>
      </c>
      <c r="C35" s="76">
        <f t="shared" si="6"/>
        <v>50.313900000000004</v>
      </c>
      <c r="D35" s="76">
        <f t="shared" si="7"/>
        <v>37.506806378999997</v>
      </c>
      <c r="E35" s="76">
        <f t="shared" si="8"/>
        <v>5.3912504940000003</v>
      </c>
      <c r="F35" s="76">
        <f t="shared" si="9"/>
        <v>28.747969152</v>
      </c>
      <c r="G35" s="76">
        <f t="shared" si="5"/>
        <v>7.2529421999999996E-2</v>
      </c>
      <c r="H35" s="76">
        <f t="shared" si="5"/>
        <v>0.95983439999999998</v>
      </c>
      <c r="I35" s="76">
        <f t="shared" si="5"/>
        <v>0.28408002000000004</v>
      </c>
      <c r="J35" s="76">
        <f t="shared" si="5"/>
        <v>1.2384960000000002E-3</v>
      </c>
      <c r="K35" s="76">
        <f t="shared" si="5"/>
        <v>2.7092100000000001E-3</v>
      </c>
      <c r="L35" s="76">
        <f t="shared" si="5"/>
        <v>0.13468643999999999</v>
      </c>
      <c r="M35" s="76">
        <f t="shared" si="5"/>
        <v>0.16951913999999998</v>
      </c>
      <c r="N35" s="76">
        <f t="shared" si="5"/>
        <v>24.924732000000002</v>
      </c>
      <c r="O35" s="76">
        <f t="shared" si="5"/>
        <v>3011.0934000000002</v>
      </c>
      <c r="P35" s="76">
        <f t="shared" si="5"/>
        <v>0</v>
      </c>
      <c r="Q35" s="76">
        <f t="shared" si="10"/>
        <v>34.639184999999998</v>
      </c>
      <c r="R35" s="76">
        <f t="shared" si="11"/>
        <v>0</v>
      </c>
      <c r="S35" s="76">
        <f t="shared" si="11"/>
        <v>0.17725974</v>
      </c>
      <c r="T35" s="76">
        <f t="shared" si="11"/>
        <v>0</v>
      </c>
      <c r="U35" s="76">
        <f t="shared" si="11"/>
        <v>0</v>
      </c>
      <c r="AB35" s="58"/>
      <c r="AC35" s="58"/>
      <c r="AD35" s="58"/>
      <c r="AE35" s="58"/>
      <c r="AF35" s="58"/>
      <c r="AG35" s="58"/>
      <c r="AH35" s="58"/>
      <c r="AI35" s="58"/>
    </row>
    <row r="36" spans="1:35" s="71" customFormat="1" ht="13" x14ac:dyDescent="0.35">
      <c r="A36" s="13" t="str">
        <f>H8</f>
        <v>BG3</v>
      </c>
      <c r="B36" s="15">
        <v>133</v>
      </c>
      <c r="C36" s="76">
        <f t="shared" si="6"/>
        <v>50.313900000000004</v>
      </c>
      <c r="D36" s="76">
        <f t="shared" si="7"/>
        <v>37.506806378999997</v>
      </c>
      <c r="E36" s="76">
        <f t="shared" si="8"/>
        <v>5.3912504940000003</v>
      </c>
      <c r="F36" s="76">
        <f t="shared" si="9"/>
        <v>28.747969152</v>
      </c>
      <c r="G36" s="76">
        <f t="shared" si="5"/>
        <v>7.2529421999999996E-2</v>
      </c>
      <c r="H36" s="76">
        <f t="shared" si="5"/>
        <v>0.95983439999999998</v>
      </c>
      <c r="I36" s="76">
        <f t="shared" si="5"/>
        <v>0.28408002000000004</v>
      </c>
      <c r="J36" s="76">
        <f t="shared" si="5"/>
        <v>1.2384960000000002E-3</v>
      </c>
      <c r="K36" s="76">
        <f t="shared" si="5"/>
        <v>2.7092100000000001E-3</v>
      </c>
      <c r="L36" s="76">
        <f t="shared" si="5"/>
        <v>0.13468643999999999</v>
      </c>
      <c r="M36" s="76">
        <f t="shared" si="5"/>
        <v>0.16951913999999998</v>
      </c>
      <c r="N36" s="76">
        <f t="shared" si="5"/>
        <v>24.924732000000002</v>
      </c>
      <c r="O36" s="76">
        <f t="shared" si="5"/>
        <v>3011.0934000000002</v>
      </c>
      <c r="P36" s="76">
        <f t="shared" si="5"/>
        <v>0</v>
      </c>
      <c r="Q36" s="76">
        <f t="shared" si="10"/>
        <v>34.639184999999998</v>
      </c>
      <c r="R36" s="76">
        <f t="shared" si="11"/>
        <v>0</v>
      </c>
      <c r="S36" s="76">
        <f t="shared" si="11"/>
        <v>0.17725974</v>
      </c>
      <c r="T36" s="76">
        <f t="shared" si="11"/>
        <v>0</v>
      </c>
      <c r="U36" s="76">
        <f t="shared" si="11"/>
        <v>0</v>
      </c>
      <c r="AB36" s="58"/>
      <c r="AC36" s="58"/>
      <c r="AD36" s="58"/>
      <c r="AE36" s="58"/>
      <c r="AF36" s="58"/>
      <c r="AG36" s="58"/>
      <c r="AH36" s="58"/>
      <c r="AI36" s="58"/>
    </row>
    <row r="37" spans="1:35" s="71" customFormat="1" ht="13" x14ac:dyDescent="0.35">
      <c r="A37" s="13" t="str">
        <f>I8</f>
        <v>BG4</v>
      </c>
      <c r="B37" s="15">
        <v>133</v>
      </c>
      <c r="C37" s="76">
        <f t="shared" si="6"/>
        <v>50.313900000000004</v>
      </c>
      <c r="D37" s="76">
        <f t="shared" si="7"/>
        <v>37.506806378999997</v>
      </c>
      <c r="E37" s="76">
        <f t="shared" si="8"/>
        <v>5.3912504940000003</v>
      </c>
      <c r="F37" s="76">
        <f t="shared" si="9"/>
        <v>28.747969152</v>
      </c>
      <c r="G37" s="76">
        <f t="shared" si="5"/>
        <v>7.2529421999999996E-2</v>
      </c>
      <c r="H37" s="76">
        <f t="shared" si="5"/>
        <v>0.95983439999999998</v>
      </c>
      <c r="I37" s="76">
        <f t="shared" si="5"/>
        <v>0.28408002000000004</v>
      </c>
      <c r="J37" s="76">
        <f t="shared" si="5"/>
        <v>1.2384960000000002E-3</v>
      </c>
      <c r="K37" s="76">
        <f t="shared" si="5"/>
        <v>2.7092100000000001E-3</v>
      </c>
      <c r="L37" s="76">
        <f t="shared" si="5"/>
        <v>0.13468643999999999</v>
      </c>
      <c r="M37" s="76">
        <f t="shared" si="5"/>
        <v>0.16951913999999998</v>
      </c>
      <c r="N37" s="76">
        <f t="shared" si="5"/>
        <v>24.924732000000002</v>
      </c>
      <c r="O37" s="76">
        <f t="shared" si="5"/>
        <v>3011.0934000000002</v>
      </c>
      <c r="P37" s="76">
        <f t="shared" si="5"/>
        <v>0</v>
      </c>
      <c r="Q37" s="76">
        <f t="shared" si="10"/>
        <v>34.639184999999998</v>
      </c>
      <c r="R37" s="76">
        <f t="shared" si="11"/>
        <v>0</v>
      </c>
      <c r="S37" s="76">
        <f t="shared" si="11"/>
        <v>0.17725974</v>
      </c>
      <c r="T37" s="76">
        <f t="shared" si="11"/>
        <v>0</v>
      </c>
      <c r="U37" s="76">
        <f t="shared" si="11"/>
        <v>0</v>
      </c>
      <c r="AB37" s="58"/>
      <c r="AC37" s="58"/>
      <c r="AD37" s="58"/>
      <c r="AE37" s="58"/>
      <c r="AF37" s="58"/>
      <c r="AG37" s="58"/>
      <c r="AH37" s="58"/>
      <c r="AI37" s="58"/>
    </row>
    <row r="38" spans="1:35" s="71" customFormat="1" ht="13" x14ac:dyDescent="0.35">
      <c r="A38" s="13" t="str">
        <f>J8</f>
        <v>BG5</v>
      </c>
      <c r="B38" s="15">
        <v>133</v>
      </c>
      <c r="C38" s="76">
        <f t="shared" si="6"/>
        <v>50.313900000000004</v>
      </c>
      <c r="D38" s="76">
        <f t="shared" si="7"/>
        <v>37.506806378999997</v>
      </c>
      <c r="E38" s="76">
        <f t="shared" si="8"/>
        <v>5.3912504940000003</v>
      </c>
      <c r="F38" s="76">
        <f t="shared" si="9"/>
        <v>28.747969152</v>
      </c>
      <c r="G38" s="76">
        <f t="shared" si="5"/>
        <v>7.2529421999999996E-2</v>
      </c>
      <c r="H38" s="76">
        <f t="shared" si="5"/>
        <v>0.95983439999999998</v>
      </c>
      <c r="I38" s="76">
        <f t="shared" si="5"/>
        <v>0.28408002000000004</v>
      </c>
      <c r="J38" s="76">
        <f t="shared" si="5"/>
        <v>1.2384960000000002E-3</v>
      </c>
      <c r="K38" s="76">
        <f t="shared" si="5"/>
        <v>2.7092100000000001E-3</v>
      </c>
      <c r="L38" s="76">
        <f t="shared" si="5"/>
        <v>0.13468643999999999</v>
      </c>
      <c r="M38" s="76">
        <f t="shared" si="5"/>
        <v>0.16951913999999998</v>
      </c>
      <c r="N38" s="76">
        <f t="shared" si="5"/>
        <v>24.924732000000002</v>
      </c>
      <c r="O38" s="76">
        <f t="shared" si="5"/>
        <v>3011.0934000000002</v>
      </c>
      <c r="P38" s="76">
        <f t="shared" si="5"/>
        <v>0</v>
      </c>
      <c r="Q38" s="76">
        <f t="shared" si="10"/>
        <v>34.639184999999998</v>
      </c>
      <c r="R38" s="76">
        <f t="shared" si="11"/>
        <v>0</v>
      </c>
      <c r="S38" s="76">
        <f t="shared" si="11"/>
        <v>0.17725974</v>
      </c>
      <c r="T38" s="76">
        <f t="shared" si="11"/>
        <v>0</v>
      </c>
      <c r="U38" s="76">
        <f t="shared" si="11"/>
        <v>0</v>
      </c>
      <c r="AB38" s="58"/>
      <c r="AC38" s="58"/>
      <c r="AD38" s="58"/>
      <c r="AE38" s="58"/>
      <c r="AF38" s="58"/>
      <c r="AG38" s="58"/>
      <c r="AH38" s="58"/>
      <c r="AI38" s="58"/>
    </row>
    <row r="39" spans="1:35" s="71" customFormat="1" ht="13" x14ac:dyDescent="0.35">
      <c r="A39" s="13" t="str">
        <f>K8</f>
        <v>Peny1</v>
      </c>
      <c r="B39" s="15">
        <v>250</v>
      </c>
      <c r="C39" s="76">
        <f t="shared" si="6"/>
        <v>94.575000000000003</v>
      </c>
      <c r="D39" s="76">
        <f t="shared" si="7"/>
        <v>70.501515749999996</v>
      </c>
      <c r="E39" s="76">
        <f t="shared" si="8"/>
        <v>10.133929500000001</v>
      </c>
      <c r="F39" s="76">
        <f t="shared" si="9"/>
        <v>54.03753600000001</v>
      </c>
      <c r="G39" s="76">
        <f t="shared" si="5"/>
        <v>0.1363335</v>
      </c>
      <c r="H39" s="76">
        <f t="shared" si="5"/>
        <v>1.8042</v>
      </c>
      <c r="I39" s="76">
        <f t="shared" si="5"/>
        <v>0.53398500000000004</v>
      </c>
      <c r="J39" s="76">
        <f t="shared" si="5"/>
        <v>2.3280000000000002E-3</v>
      </c>
      <c r="K39" s="76">
        <f t="shared" si="5"/>
        <v>5.0924999999999998E-3</v>
      </c>
      <c r="L39" s="76">
        <f t="shared" si="5"/>
        <v>0.25317000000000001</v>
      </c>
      <c r="M39" s="76">
        <f t="shared" si="5"/>
        <v>0.31864500000000001</v>
      </c>
      <c r="N39" s="76">
        <f t="shared" si="5"/>
        <v>46.851000000000006</v>
      </c>
      <c r="O39" s="76">
        <f t="shared" si="5"/>
        <v>5659.95</v>
      </c>
      <c r="P39" s="76">
        <f t="shared" si="5"/>
        <v>0</v>
      </c>
      <c r="Q39" s="76">
        <f t="shared" si="10"/>
        <v>65.111250000000013</v>
      </c>
      <c r="R39" s="76">
        <f t="shared" si="11"/>
        <v>0</v>
      </c>
      <c r="S39" s="76">
        <f t="shared" si="11"/>
        <v>0.33319500000000002</v>
      </c>
      <c r="T39" s="76">
        <f t="shared" si="11"/>
        <v>0</v>
      </c>
      <c r="U39" s="76">
        <f t="shared" si="11"/>
        <v>0</v>
      </c>
      <c r="AB39" s="58"/>
      <c r="AC39" s="58"/>
      <c r="AD39" s="58"/>
      <c r="AE39" s="58"/>
      <c r="AF39" s="58"/>
      <c r="AG39" s="58"/>
      <c r="AH39" s="58"/>
      <c r="AI39" s="58"/>
    </row>
    <row r="40" spans="1:35" s="71" customFormat="1" ht="13" x14ac:dyDescent="0.35">
      <c r="A40" s="13" t="str">
        <f>L8</f>
        <v>G1</v>
      </c>
      <c r="B40" s="15">
        <v>100</v>
      </c>
      <c r="C40" s="76">
        <f t="shared" si="6"/>
        <v>37.830000000000005</v>
      </c>
      <c r="D40" s="76">
        <f t="shared" si="7"/>
        <v>28.200606299999997</v>
      </c>
      <c r="E40" s="76">
        <f t="shared" si="8"/>
        <v>4.0535718000000003</v>
      </c>
      <c r="F40" s="76">
        <f t="shared" si="9"/>
        <v>21.6150144</v>
      </c>
      <c r="G40" s="76">
        <f t="shared" si="5"/>
        <v>5.4533399999999996E-2</v>
      </c>
      <c r="H40" s="76">
        <f t="shared" si="5"/>
        <v>0.72167999999999999</v>
      </c>
      <c r="I40" s="76">
        <f t="shared" si="5"/>
        <v>0.21359400000000003</v>
      </c>
      <c r="J40" s="76">
        <f t="shared" si="5"/>
        <v>9.3120000000000019E-4</v>
      </c>
      <c r="K40" s="76">
        <f t="shared" si="5"/>
        <v>2.0370000000000002E-3</v>
      </c>
      <c r="L40" s="76">
        <f t="shared" si="5"/>
        <v>0.101268</v>
      </c>
      <c r="M40" s="76">
        <f t="shared" si="5"/>
        <v>0.12745799999999999</v>
      </c>
      <c r="N40" s="76">
        <f t="shared" si="5"/>
        <v>18.740400000000001</v>
      </c>
      <c r="O40" s="76">
        <f t="shared" si="5"/>
        <v>2263.98</v>
      </c>
      <c r="P40" s="76">
        <f t="shared" si="5"/>
        <v>0</v>
      </c>
      <c r="Q40" s="76">
        <f t="shared" si="10"/>
        <v>26.044500000000003</v>
      </c>
      <c r="R40" s="76">
        <f t="shared" si="11"/>
        <v>0</v>
      </c>
      <c r="S40" s="76">
        <f t="shared" si="11"/>
        <v>0.13327800000000001</v>
      </c>
      <c r="T40" s="76">
        <f t="shared" si="11"/>
        <v>0</v>
      </c>
      <c r="U40" s="76">
        <f t="shared" si="11"/>
        <v>0</v>
      </c>
      <c r="AB40" s="58"/>
      <c r="AC40" s="58"/>
      <c r="AD40" s="58"/>
      <c r="AE40" s="58"/>
      <c r="AF40" s="58"/>
      <c r="AG40" s="58"/>
      <c r="AH40" s="58"/>
      <c r="AI40" s="58"/>
    </row>
    <row r="41" spans="1:35" s="71" customFormat="1" ht="13" x14ac:dyDescent="0.35">
      <c r="A41" s="13" t="str">
        <f>M8</f>
        <v>G2</v>
      </c>
      <c r="B41" s="15">
        <v>100</v>
      </c>
      <c r="C41" s="76">
        <f t="shared" si="6"/>
        <v>37.830000000000005</v>
      </c>
      <c r="D41" s="76">
        <f t="shared" si="7"/>
        <v>28.200606299999997</v>
      </c>
      <c r="E41" s="76">
        <f t="shared" si="8"/>
        <v>4.0535718000000003</v>
      </c>
      <c r="F41" s="76">
        <f t="shared" si="9"/>
        <v>21.6150144</v>
      </c>
      <c r="G41" s="76">
        <f t="shared" si="5"/>
        <v>5.4533399999999996E-2</v>
      </c>
      <c r="H41" s="76">
        <f t="shared" si="5"/>
        <v>0.72167999999999999</v>
      </c>
      <c r="I41" s="76">
        <f t="shared" si="5"/>
        <v>0.21359400000000003</v>
      </c>
      <c r="J41" s="76">
        <f t="shared" si="5"/>
        <v>9.3120000000000019E-4</v>
      </c>
      <c r="K41" s="76">
        <f t="shared" si="5"/>
        <v>2.0370000000000002E-3</v>
      </c>
      <c r="L41" s="76">
        <f t="shared" si="5"/>
        <v>0.101268</v>
      </c>
      <c r="M41" s="76">
        <f t="shared" si="5"/>
        <v>0.12745799999999999</v>
      </c>
      <c r="N41" s="76">
        <f t="shared" si="5"/>
        <v>18.740400000000001</v>
      </c>
      <c r="O41" s="76">
        <f t="shared" si="5"/>
        <v>2263.98</v>
      </c>
      <c r="P41" s="76">
        <f t="shared" si="5"/>
        <v>0</v>
      </c>
      <c r="Q41" s="76">
        <f t="shared" si="10"/>
        <v>26.044500000000003</v>
      </c>
      <c r="R41" s="76">
        <f t="shared" si="11"/>
        <v>0</v>
      </c>
      <c r="S41" s="76">
        <f t="shared" si="11"/>
        <v>0.13327800000000001</v>
      </c>
      <c r="T41" s="76">
        <f t="shared" si="11"/>
        <v>0</v>
      </c>
      <c r="U41" s="76">
        <f t="shared" si="11"/>
        <v>0</v>
      </c>
      <c r="AB41" s="58"/>
      <c r="AC41" s="58"/>
      <c r="AD41" s="58"/>
      <c r="AE41" s="58"/>
      <c r="AF41" s="58"/>
      <c r="AG41" s="58"/>
      <c r="AH41" s="58"/>
      <c r="AI41" s="58"/>
    </row>
    <row r="42" spans="1:35" s="71" customFormat="1" ht="13" x14ac:dyDescent="0.35">
      <c r="A42" s="13" t="str">
        <f>N8</f>
        <v>G3</v>
      </c>
      <c r="B42" s="15">
        <v>100</v>
      </c>
      <c r="C42" s="76">
        <f t="shared" si="6"/>
        <v>37.830000000000005</v>
      </c>
      <c r="D42" s="76">
        <f t="shared" si="7"/>
        <v>28.200606299999997</v>
      </c>
      <c r="E42" s="76">
        <f t="shared" si="8"/>
        <v>4.0535718000000003</v>
      </c>
      <c r="F42" s="76">
        <f t="shared" si="9"/>
        <v>21.6150144</v>
      </c>
      <c r="G42" s="76">
        <f t="shared" si="5"/>
        <v>5.4533399999999996E-2</v>
      </c>
      <c r="H42" s="76">
        <f t="shared" si="5"/>
        <v>0.72167999999999999</v>
      </c>
      <c r="I42" s="76">
        <f t="shared" si="5"/>
        <v>0.21359400000000003</v>
      </c>
      <c r="J42" s="76">
        <f t="shared" si="5"/>
        <v>9.3120000000000019E-4</v>
      </c>
      <c r="K42" s="76">
        <f t="shared" si="5"/>
        <v>2.0370000000000002E-3</v>
      </c>
      <c r="L42" s="76">
        <f t="shared" si="5"/>
        <v>0.101268</v>
      </c>
      <c r="M42" s="76">
        <f t="shared" si="5"/>
        <v>0.12745799999999999</v>
      </c>
      <c r="N42" s="76">
        <f t="shared" si="5"/>
        <v>18.740400000000001</v>
      </c>
      <c r="O42" s="76">
        <f t="shared" si="5"/>
        <v>2263.98</v>
      </c>
      <c r="P42" s="76">
        <f t="shared" si="5"/>
        <v>0</v>
      </c>
      <c r="Q42" s="76">
        <f t="shared" si="10"/>
        <v>26.044500000000003</v>
      </c>
      <c r="R42" s="76">
        <f t="shared" si="11"/>
        <v>0</v>
      </c>
      <c r="S42" s="76">
        <f t="shared" si="11"/>
        <v>0.13327800000000001</v>
      </c>
      <c r="T42" s="76">
        <f t="shared" si="11"/>
        <v>0</v>
      </c>
      <c r="U42" s="76">
        <f t="shared" si="11"/>
        <v>0</v>
      </c>
      <c r="AB42" s="58"/>
      <c r="AC42" s="58"/>
      <c r="AD42" s="58"/>
      <c r="AE42" s="58"/>
      <c r="AF42" s="58"/>
      <c r="AG42" s="58"/>
      <c r="AH42" s="58"/>
      <c r="AI42" s="58"/>
    </row>
    <row r="43" spans="1:35" s="71" customFormat="1" ht="13" x14ac:dyDescent="0.35">
      <c r="A43" s="13" t="str">
        <f>O8</f>
        <v>G4A</v>
      </c>
      <c r="B43" s="15">
        <v>100</v>
      </c>
      <c r="C43" s="76">
        <f t="shared" si="6"/>
        <v>37.830000000000005</v>
      </c>
      <c r="D43" s="76">
        <f t="shared" si="7"/>
        <v>28.200606299999997</v>
      </c>
      <c r="E43" s="76">
        <f t="shared" si="8"/>
        <v>4.0535718000000003</v>
      </c>
      <c r="F43" s="76">
        <f t="shared" si="9"/>
        <v>21.6150144</v>
      </c>
      <c r="G43" s="76">
        <f t="shared" si="5"/>
        <v>5.4533399999999996E-2</v>
      </c>
      <c r="H43" s="76">
        <f t="shared" si="5"/>
        <v>0.72167999999999999</v>
      </c>
      <c r="I43" s="76">
        <f t="shared" si="5"/>
        <v>0.21359400000000003</v>
      </c>
      <c r="J43" s="76">
        <f t="shared" si="5"/>
        <v>9.3120000000000019E-4</v>
      </c>
      <c r="K43" s="76">
        <f t="shared" si="5"/>
        <v>2.0370000000000002E-3</v>
      </c>
      <c r="L43" s="76">
        <f t="shared" si="5"/>
        <v>0.101268</v>
      </c>
      <c r="M43" s="76">
        <f t="shared" si="5"/>
        <v>0.12745799999999999</v>
      </c>
      <c r="N43" s="76">
        <f t="shared" si="5"/>
        <v>18.740400000000001</v>
      </c>
      <c r="O43" s="76">
        <f t="shared" si="5"/>
        <v>2263.98</v>
      </c>
      <c r="P43" s="76">
        <f t="shared" si="5"/>
        <v>0</v>
      </c>
      <c r="Q43" s="76">
        <f t="shared" si="10"/>
        <v>26.044500000000003</v>
      </c>
      <c r="R43" s="76">
        <f t="shared" si="11"/>
        <v>0</v>
      </c>
      <c r="S43" s="76">
        <f t="shared" si="11"/>
        <v>0.13327800000000001</v>
      </c>
      <c r="T43" s="76">
        <f t="shared" si="11"/>
        <v>0</v>
      </c>
      <c r="U43" s="76">
        <f t="shared" si="11"/>
        <v>0</v>
      </c>
      <c r="AB43" s="58"/>
      <c r="AC43" s="58"/>
      <c r="AD43" s="58"/>
      <c r="AE43" s="58"/>
      <c r="AF43" s="58"/>
      <c r="AG43" s="58"/>
      <c r="AH43" s="58"/>
      <c r="AI43" s="58"/>
    </row>
    <row r="44" spans="1:35" s="71" customFormat="1" ht="13" x14ac:dyDescent="0.35">
      <c r="A44" s="13" t="str">
        <f>P8</f>
        <v>G4B</v>
      </c>
      <c r="B44" s="15">
        <v>100</v>
      </c>
      <c r="C44" s="76">
        <f t="shared" si="6"/>
        <v>37.830000000000005</v>
      </c>
      <c r="D44" s="76">
        <f t="shared" si="7"/>
        <v>28.200606299999997</v>
      </c>
      <c r="E44" s="76">
        <f t="shared" si="8"/>
        <v>4.0535718000000003</v>
      </c>
      <c r="F44" s="76">
        <f t="shared" si="9"/>
        <v>21.6150144</v>
      </c>
      <c r="G44" s="76">
        <f t="shared" si="5"/>
        <v>5.4533399999999996E-2</v>
      </c>
      <c r="H44" s="76">
        <f t="shared" si="5"/>
        <v>0.72167999999999999</v>
      </c>
      <c r="I44" s="76">
        <f t="shared" si="5"/>
        <v>0.21359400000000003</v>
      </c>
      <c r="J44" s="76">
        <f t="shared" si="5"/>
        <v>9.3120000000000019E-4</v>
      </c>
      <c r="K44" s="76">
        <f t="shared" si="5"/>
        <v>2.0370000000000002E-3</v>
      </c>
      <c r="L44" s="76">
        <f t="shared" si="5"/>
        <v>0.101268</v>
      </c>
      <c r="M44" s="76">
        <f t="shared" si="5"/>
        <v>0.12745799999999999</v>
      </c>
      <c r="N44" s="76">
        <f t="shared" si="5"/>
        <v>18.740400000000001</v>
      </c>
      <c r="O44" s="76">
        <f t="shared" si="5"/>
        <v>2263.98</v>
      </c>
      <c r="P44" s="76">
        <f t="shared" si="5"/>
        <v>0</v>
      </c>
      <c r="Q44" s="76">
        <f t="shared" si="10"/>
        <v>26.044500000000003</v>
      </c>
      <c r="R44" s="76">
        <f t="shared" si="11"/>
        <v>0</v>
      </c>
      <c r="S44" s="76">
        <f t="shared" si="11"/>
        <v>0.13327800000000001</v>
      </c>
      <c r="T44" s="76">
        <f t="shared" si="11"/>
        <v>0</v>
      </c>
      <c r="U44" s="76">
        <f t="shared" si="11"/>
        <v>0</v>
      </c>
      <c r="AB44" s="58"/>
      <c r="AC44" s="58"/>
      <c r="AD44" s="58"/>
      <c r="AE44" s="58"/>
      <c r="AF44" s="58"/>
      <c r="AG44" s="58"/>
      <c r="AH44" s="58"/>
      <c r="AI44" s="58"/>
    </row>
    <row r="45" spans="1:35" s="71" customFormat="1" ht="13" x14ac:dyDescent="0.35">
      <c r="A45" s="13" t="str">
        <f>Q8</f>
        <v>G5</v>
      </c>
      <c r="B45" s="15">
        <v>100</v>
      </c>
      <c r="C45" s="76">
        <f t="shared" si="6"/>
        <v>37.830000000000005</v>
      </c>
      <c r="D45" s="76">
        <f t="shared" si="7"/>
        <v>28.200606299999997</v>
      </c>
      <c r="E45" s="76">
        <f t="shared" si="8"/>
        <v>4.0535718000000003</v>
      </c>
      <c r="F45" s="76">
        <f t="shared" si="9"/>
        <v>21.6150144</v>
      </c>
      <c r="G45" s="76">
        <f t="shared" si="5"/>
        <v>5.4533399999999996E-2</v>
      </c>
      <c r="H45" s="76">
        <f t="shared" si="5"/>
        <v>0.72167999999999999</v>
      </c>
      <c r="I45" s="76">
        <f t="shared" si="5"/>
        <v>0.21359400000000003</v>
      </c>
      <c r="J45" s="76">
        <f t="shared" si="5"/>
        <v>9.3120000000000019E-4</v>
      </c>
      <c r="K45" s="76">
        <f t="shared" si="5"/>
        <v>2.0370000000000002E-3</v>
      </c>
      <c r="L45" s="76">
        <f t="shared" si="5"/>
        <v>0.101268</v>
      </c>
      <c r="M45" s="76">
        <f t="shared" si="5"/>
        <v>0.12745799999999999</v>
      </c>
      <c r="N45" s="76">
        <f t="shared" si="5"/>
        <v>18.740400000000001</v>
      </c>
      <c r="O45" s="76">
        <f t="shared" si="5"/>
        <v>2263.98</v>
      </c>
      <c r="P45" s="76">
        <f t="shared" si="5"/>
        <v>0</v>
      </c>
      <c r="Q45" s="76">
        <f t="shared" si="10"/>
        <v>26.044500000000003</v>
      </c>
      <c r="R45" s="76">
        <f t="shared" si="11"/>
        <v>0</v>
      </c>
      <c r="S45" s="76">
        <f t="shared" si="11"/>
        <v>0.13327800000000001</v>
      </c>
      <c r="T45" s="76">
        <f t="shared" si="11"/>
        <v>0</v>
      </c>
      <c r="U45" s="76">
        <f t="shared" si="11"/>
        <v>0</v>
      </c>
      <c r="AB45" s="58"/>
      <c r="AC45" s="58"/>
      <c r="AD45" s="58"/>
      <c r="AE45" s="58"/>
      <c r="AF45" s="58"/>
      <c r="AG45" s="58"/>
      <c r="AH45" s="58"/>
      <c r="AI45" s="58"/>
    </row>
    <row r="46" spans="1:35" s="71" customFormat="1" ht="13" x14ac:dyDescent="0.35">
      <c r="A46" s="13" t="str">
        <f>R8</f>
        <v>G9</v>
      </c>
      <c r="B46" s="15">
        <v>100</v>
      </c>
      <c r="C46" s="76">
        <f t="shared" si="6"/>
        <v>37.830000000000005</v>
      </c>
      <c r="D46" s="76">
        <f t="shared" si="7"/>
        <v>28.200606299999997</v>
      </c>
      <c r="E46" s="76">
        <f t="shared" si="8"/>
        <v>4.0535718000000003</v>
      </c>
      <c r="F46" s="76">
        <f t="shared" si="9"/>
        <v>21.6150144</v>
      </c>
      <c r="G46" s="76">
        <f t="shared" si="5"/>
        <v>5.4533399999999996E-2</v>
      </c>
      <c r="H46" s="76">
        <f t="shared" si="5"/>
        <v>0.72167999999999999</v>
      </c>
      <c r="I46" s="76">
        <f t="shared" si="5"/>
        <v>0.21359400000000003</v>
      </c>
      <c r="J46" s="76">
        <f t="shared" si="5"/>
        <v>9.3120000000000019E-4</v>
      </c>
      <c r="K46" s="76">
        <f t="shared" si="5"/>
        <v>2.0370000000000002E-3</v>
      </c>
      <c r="L46" s="76">
        <f t="shared" si="5"/>
        <v>0.101268</v>
      </c>
      <c r="M46" s="76">
        <f t="shared" si="5"/>
        <v>0.12745799999999999</v>
      </c>
      <c r="N46" s="76">
        <f t="shared" si="5"/>
        <v>18.740400000000001</v>
      </c>
      <c r="O46" s="76">
        <f t="shared" si="5"/>
        <v>2263.98</v>
      </c>
      <c r="P46" s="76">
        <f t="shared" si="5"/>
        <v>0</v>
      </c>
      <c r="Q46" s="76">
        <f t="shared" si="10"/>
        <v>26.044500000000003</v>
      </c>
      <c r="R46" s="76">
        <f t="shared" si="11"/>
        <v>0</v>
      </c>
      <c r="S46" s="76">
        <f t="shared" si="11"/>
        <v>0.13327800000000001</v>
      </c>
      <c r="T46" s="76">
        <f t="shared" si="11"/>
        <v>0</v>
      </c>
      <c r="U46" s="76">
        <f t="shared" si="11"/>
        <v>0</v>
      </c>
      <c r="AB46" s="58"/>
      <c r="AC46" s="58"/>
      <c r="AD46" s="58"/>
      <c r="AE46" s="58"/>
      <c r="AF46" s="58"/>
      <c r="AG46" s="58"/>
      <c r="AH46" s="58"/>
      <c r="AI46" s="58"/>
    </row>
    <row r="47" spans="1:35" s="71" customFormat="1" ht="13" x14ac:dyDescent="0.35">
      <c r="A47" s="13" t="str">
        <f>S8</f>
        <v>G12</v>
      </c>
      <c r="B47" s="15">
        <v>100</v>
      </c>
      <c r="C47" s="76">
        <f t="shared" si="6"/>
        <v>37.830000000000005</v>
      </c>
      <c r="D47" s="76">
        <f t="shared" si="7"/>
        <v>28.200606299999997</v>
      </c>
      <c r="E47" s="76">
        <f t="shared" si="8"/>
        <v>4.0535718000000003</v>
      </c>
      <c r="F47" s="76">
        <f t="shared" si="9"/>
        <v>21.6150144</v>
      </c>
      <c r="G47" s="76">
        <f t="shared" ref="G47:P50" si="12">IF(G$27="%w/w SAR",((G$28*10)*$B47),IF(G$27="%w/w DM",(((G$28*10)*($B$28/100))*$B47),IF(G$27="kg/t SAR",(G$28*$B47),IF(G$27="kg/t DM",((G$28*($B$28/100))*$B47),IF(G$27="mg/kg SAR",((G$28*0.001)*$B47),IF(G$27="mg/kg DM",(((G$28*0.001)*($B$28/100))*$B47),0))))))</f>
        <v>5.4533399999999996E-2</v>
      </c>
      <c r="H47" s="76">
        <f t="shared" si="12"/>
        <v>0.72167999999999999</v>
      </c>
      <c r="I47" s="76">
        <f t="shared" si="12"/>
        <v>0.21359400000000003</v>
      </c>
      <c r="J47" s="76">
        <f t="shared" si="12"/>
        <v>9.3120000000000019E-4</v>
      </c>
      <c r="K47" s="76">
        <f t="shared" si="12"/>
        <v>2.0370000000000002E-3</v>
      </c>
      <c r="L47" s="76">
        <f t="shared" si="12"/>
        <v>0.101268</v>
      </c>
      <c r="M47" s="76">
        <f t="shared" si="12"/>
        <v>0.12745799999999999</v>
      </c>
      <c r="N47" s="76">
        <f t="shared" si="12"/>
        <v>18.740400000000001</v>
      </c>
      <c r="O47" s="76">
        <f t="shared" si="12"/>
        <v>2263.98</v>
      </c>
      <c r="P47" s="76">
        <f t="shared" si="12"/>
        <v>0</v>
      </c>
      <c r="Q47" s="76">
        <f t="shared" si="10"/>
        <v>26.044500000000003</v>
      </c>
      <c r="R47" s="76">
        <f t="shared" si="11"/>
        <v>0</v>
      </c>
      <c r="S47" s="76">
        <f t="shared" si="11"/>
        <v>0.13327800000000001</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N3</v>
      </c>
      <c r="C57" s="8" t="str">
        <f t="shared" ref="C57:U57" si="13">D8</f>
        <v>N5</v>
      </c>
      <c r="D57" s="8" t="str">
        <f t="shared" si="13"/>
        <v>N17</v>
      </c>
      <c r="E57" s="8" t="str">
        <f t="shared" si="13"/>
        <v>BG1</v>
      </c>
      <c r="F57" s="8" t="str">
        <f t="shared" si="13"/>
        <v>BG2</v>
      </c>
      <c r="G57" s="8" t="str">
        <f t="shared" si="13"/>
        <v>BG3</v>
      </c>
      <c r="H57" s="8" t="str">
        <f t="shared" si="13"/>
        <v>BG4</v>
      </c>
      <c r="I57" s="8" t="str">
        <f t="shared" si="13"/>
        <v>BG5</v>
      </c>
      <c r="J57" s="8" t="str">
        <f t="shared" si="13"/>
        <v>Peny1</v>
      </c>
      <c r="K57" s="8" t="str">
        <f t="shared" si="13"/>
        <v>G1</v>
      </c>
      <c r="L57" s="8" t="str">
        <f t="shared" si="13"/>
        <v>G2</v>
      </c>
      <c r="M57" s="8" t="str">
        <f t="shared" si="13"/>
        <v>G3</v>
      </c>
      <c r="N57" s="8" t="str">
        <f t="shared" si="13"/>
        <v>G4A</v>
      </c>
      <c r="O57" s="8" t="str">
        <f t="shared" si="13"/>
        <v>G4B</v>
      </c>
      <c r="P57" s="8" t="str">
        <f t="shared" si="13"/>
        <v>G5</v>
      </c>
      <c r="Q57" s="8" t="str">
        <f t="shared" si="13"/>
        <v>G9</v>
      </c>
      <c r="R57" s="8" t="str">
        <f t="shared" si="13"/>
        <v>G12</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str">
        <f>L16&amp;" I "&amp;(VLOOKUP(L14,Table2458[],6,FALSE))</f>
        <v>Medium/Clay I Grass</v>
      </c>
      <c r="L58" s="13" t="str">
        <f>M16&amp;" I "&amp;(VLOOKUP(M14,Table2458[],6,FALSE))</f>
        <v>Medium/Clay I Grass</v>
      </c>
      <c r="M58" s="13" t="str">
        <f>N16&amp;" I "&amp;(VLOOKUP(N14,Table2458[],6,FALSE))</f>
        <v>Medium/Clay I Grass</v>
      </c>
      <c r="N58" s="13" t="str">
        <f>O16&amp;" I "&amp;(VLOOKUP(O14,Table2458[],6,FALSE))</f>
        <v>Medium/Clay I Grass</v>
      </c>
      <c r="O58" s="13" t="str">
        <f>P16&amp;" I "&amp;(VLOOKUP(P14,Table2458[],6,FALSE))</f>
        <v>Medium/Clay I Grass</v>
      </c>
      <c r="P58" s="13" t="str">
        <f>Q16&amp;" I "&amp;(VLOOKUP(Q14,Table2458[],6,FALSE))</f>
        <v>Medium/Clay I Grass</v>
      </c>
      <c r="Q58" s="13" t="str">
        <f>R16&amp;" I "&amp;(VLOOKUP(R14,Table2458[],6,FALSE))</f>
        <v>Medium/Clay I Grass</v>
      </c>
      <c r="R58" s="13" t="str">
        <f>S16&amp;" I "&amp;(VLOOKUP(S14,Table2458[],6,FALSE))</f>
        <v>Medium/Clay I Grass</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f>VLOOKUP(L$14,Table2458[],5,FALSE)</f>
        <v>6.2</v>
      </c>
      <c r="L59" s="75">
        <f>VLOOKUP(M$14,Table2458[],5,FALSE)</f>
        <v>6.2</v>
      </c>
      <c r="M59" s="75">
        <f>VLOOKUP(N$14,Table2458[],5,FALSE)</f>
        <v>6.2</v>
      </c>
      <c r="N59" s="75">
        <f>VLOOKUP(O$14,Table2458[],5,FALSE)</f>
        <v>6.2</v>
      </c>
      <c r="O59" s="75">
        <f>VLOOKUP(P$14,Table2458[],5,FALSE)</f>
        <v>6.2</v>
      </c>
      <c r="P59" s="75">
        <f>VLOOKUP(Q$14,Table2458[],5,FALSE)</f>
        <v>6.2</v>
      </c>
      <c r="Q59" s="75">
        <f>VLOOKUP(R$14,Table2458[],5,FALSE)</f>
        <v>6.2</v>
      </c>
      <c r="R59" s="75">
        <f>VLOOKUP(S$14,Table2458[],5,FALSE)</f>
        <v>6.2</v>
      </c>
      <c r="S59" s="75" t="e">
        <f>VLOOKUP(T$14,Table2458[],5,FALSE)</f>
        <v>#N/A</v>
      </c>
      <c r="T59" s="75" t="e">
        <f>VLOOKUP(U$14,Table2458[],5,FALSE)</f>
        <v>#N/A</v>
      </c>
      <c r="U59" s="75" t="e">
        <f>VLOOKUP(V$14,Table2458[],5,FALSE)</f>
        <v>#N/A</v>
      </c>
    </row>
    <row r="60" spans="1:35" s="19" customFormat="1" ht="13" x14ac:dyDescent="0.3">
      <c r="A60" s="110" t="s">
        <v>4</v>
      </c>
      <c r="B60" s="75">
        <f>C10</f>
        <v>7.2</v>
      </c>
      <c r="C60" s="75">
        <f t="shared" ref="C60:U60" si="14">D10</f>
        <v>7</v>
      </c>
      <c r="D60" s="75">
        <f t="shared" si="14"/>
        <v>7.1</v>
      </c>
      <c r="E60" s="75">
        <f t="shared" si="14"/>
        <v>7.2</v>
      </c>
      <c r="F60" s="75">
        <f t="shared" si="14"/>
        <v>6.9</v>
      </c>
      <c r="G60" s="75">
        <f t="shared" si="14"/>
        <v>6.3</v>
      </c>
      <c r="H60" s="75">
        <f t="shared" si="14"/>
        <v>6.8</v>
      </c>
      <c r="I60" s="75">
        <f t="shared" si="14"/>
        <v>6.5</v>
      </c>
      <c r="J60" s="75">
        <f t="shared" si="14"/>
        <v>5.8</v>
      </c>
      <c r="K60" s="75">
        <f t="shared" si="14"/>
        <v>7.1</v>
      </c>
      <c r="L60" s="75">
        <f t="shared" si="14"/>
        <v>6.4</v>
      </c>
      <c r="M60" s="75">
        <f t="shared" si="14"/>
        <v>6.7</v>
      </c>
      <c r="N60" s="75">
        <f t="shared" si="14"/>
        <v>6.9</v>
      </c>
      <c r="O60" s="75">
        <f t="shared" si="14"/>
        <v>7.1</v>
      </c>
      <c r="P60" s="75">
        <f t="shared" si="14"/>
        <v>7.1</v>
      </c>
      <c r="Q60" s="75">
        <f t="shared" si="14"/>
        <v>7.1</v>
      </c>
      <c r="R60" s="75">
        <f t="shared" si="14"/>
        <v>7.1</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f t="shared" si="15"/>
        <v>6</v>
      </c>
      <c r="L61" s="75">
        <f t="shared" si="15"/>
        <v>6</v>
      </c>
      <c r="M61" s="75">
        <f t="shared" si="15"/>
        <v>6</v>
      </c>
      <c r="N61" s="75">
        <f t="shared" si="15"/>
        <v>6</v>
      </c>
      <c r="O61" s="75">
        <f t="shared" si="15"/>
        <v>6</v>
      </c>
      <c r="P61" s="75">
        <f t="shared" si="15"/>
        <v>6</v>
      </c>
      <c r="Q61" s="75">
        <f t="shared" si="15"/>
        <v>6</v>
      </c>
      <c r="R61" s="75">
        <f t="shared" si="15"/>
        <v>6</v>
      </c>
      <c r="S61" s="75" t="e">
        <f t="shared" si="15"/>
        <v>#N/A</v>
      </c>
      <c r="T61" s="75" t="e">
        <f t="shared" si="15"/>
        <v>#N/A</v>
      </c>
      <c r="U61" s="75" t="e">
        <f t="shared" si="15"/>
        <v>#N/A</v>
      </c>
    </row>
    <row r="62" spans="1:35" s="19" customFormat="1" ht="13" x14ac:dyDescent="0.3">
      <c r="A62" s="110" t="s">
        <v>134</v>
      </c>
      <c r="B62" s="76">
        <f>B31</f>
        <v>133</v>
      </c>
      <c r="C62" s="76">
        <f>B32</f>
        <v>133</v>
      </c>
      <c r="D62" s="76">
        <f>B33</f>
        <v>133</v>
      </c>
      <c r="E62" s="76">
        <f>B34</f>
        <v>133</v>
      </c>
      <c r="F62" s="76">
        <f>B35</f>
        <v>133</v>
      </c>
      <c r="G62" s="76">
        <f>B36</f>
        <v>133</v>
      </c>
      <c r="H62" s="76">
        <f>B37</f>
        <v>133</v>
      </c>
      <c r="I62" s="76">
        <f>B38</f>
        <v>133</v>
      </c>
      <c r="J62" s="76">
        <f>B39</f>
        <v>250</v>
      </c>
      <c r="K62" s="76">
        <f>B40</f>
        <v>100</v>
      </c>
      <c r="L62" s="76">
        <f>B41</f>
        <v>100</v>
      </c>
      <c r="M62" s="76">
        <f>B42</f>
        <v>100</v>
      </c>
      <c r="N62" s="76">
        <f>B43</f>
        <v>100</v>
      </c>
      <c r="O62" s="76">
        <f>B44</f>
        <v>100</v>
      </c>
      <c r="P62" s="76">
        <f>B45</f>
        <v>100</v>
      </c>
      <c r="Q62" s="76">
        <f>B46</f>
        <v>100</v>
      </c>
      <c r="R62" s="76">
        <f>B47</f>
        <v>100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-6</v>
      </c>
      <c r="C64" s="76">
        <f t="shared" ref="C64:U64" si="17">(C59-C60)*C61</f>
        <v>-4.7999999999999989</v>
      </c>
      <c r="D64" s="76">
        <f t="shared" si="17"/>
        <v>-5.3999999999999968</v>
      </c>
      <c r="E64" s="76">
        <f t="shared" si="17"/>
        <v>-6</v>
      </c>
      <c r="F64" s="76">
        <f t="shared" si="17"/>
        <v>-4.2000000000000011</v>
      </c>
      <c r="G64" s="76">
        <f t="shared" si="17"/>
        <v>-0.59999999999999787</v>
      </c>
      <c r="H64" s="76">
        <f t="shared" si="17"/>
        <v>-3.5999999999999979</v>
      </c>
      <c r="I64" s="76">
        <f t="shared" si="17"/>
        <v>-1.7999999999999989</v>
      </c>
      <c r="J64" s="76">
        <f t="shared" si="17"/>
        <v>2.4000000000000021</v>
      </c>
      <c r="K64" s="76">
        <f t="shared" si="17"/>
        <v>-5.3999999999999968</v>
      </c>
      <c r="L64" s="76">
        <f t="shared" si="17"/>
        <v>-1.2000000000000011</v>
      </c>
      <c r="M64" s="76">
        <f t="shared" si="17"/>
        <v>-3</v>
      </c>
      <c r="N64" s="76">
        <f t="shared" si="17"/>
        <v>-4.2000000000000011</v>
      </c>
      <c r="O64" s="76">
        <f t="shared" si="17"/>
        <v>-5.3999999999999968</v>
      </c>
      <c r="P64" s="76">
        <f t="shared" si="17"/>
        <v>-5.3999999999999968</v>
      </c>
      <c r="Q64" s="76">
        <f t="shared" si="17"/>
        <v>-5.3999999999999968</v>
      </c>
      <c r="R64" s="76">
        <f t="shared" si="17"/>
        <v>-5.3999999999999968</v>
      </c>
      <c r="S64" s="76" t="e">
        <f t="shared" si="17"/>
        <v>#N/A</v>
      </c>
      <c r="T64" s="76" t="e">
        <f t="shared" si="17"/>
        <v>#N/A</v>
      </c>
      <c r="U64" s="76" t="e">
        <f t="shared" si="17"/>
        <v>#N/A</v>
      </c>
    </row>
    <row r="65" spans="1:21" s="19" customFormat="1" ht="52" x14ac:dyDescent="0.3">
      <c r="A65" s="111" t="s">
        <v>157</v>
      </c>
      <c r="B65" s="76">
        <f>B63-B64</f>
        <v>6</v>
      </c>
      <c r="C65" s="76">
        <f t="shared" ref="C65:U65" si="18">C63-C64</f>
        <v>4.7999999999999989</v>
      </c>
      <c r="D65" s="76">
        <f t="shared" si="18"/>
        <v>5.3999999999999968</v>
      </c>
      <c r="E65" s="76">
        <f t="shared" si="18"/>
        <v>6</v>
      </c>
      <c r="F65" s="76">
        <f t="shared" si="18"/>
        <v>4.2000000000000011</v>
      </c>
      <c r="G65" s="76">
        <f t="shared" si="18"/>
        <v>0.59999999999999787</v>
      </c>
      <c r="H65" s="76">
        <f t="shared" si="18"/>
        <v>3.5999999999999979</v>
      </c>
      <c r="I65" s="76">
        <f t="shared" si="18"/>
        <v>1.7999999999999989</v>
      </c>
      <c r="J65" s="76">
        <f t="shared" si="18"/>
        <v>-2.4000000000000021</v>
      </c>
      <c r="K65" s="76">
        <f t="shared" si="18"/>
        <v>5.3999999999999968</v>
      </c>
      <c r="L65" s="76">
        <f t="shared" si="18"/>
        <v>1.2000000000000011</v>
      </c>
      <c r="M65" s="76">
        <f t="shared" si="18"/>
        <v>3</v>
      </c>
      <c r="N65" s="76">
        <f t="shared" si="18"/>
        <v>4.2000000000000011</v>
      </c>
      <c r="O65" s="76">
        <f t="shared" si="18"/>
        <v>5.3999999999999968</v>
      </c>
      <c r="P65" s="76">
        <f t="shared" si="18"/>
        <v>5.3999999999999968</v>
      </c>
      <c r="Q65" s="76">
        <f t="shared" si="18"/>
        <v>5.3999999999999968</v>
      </c>
      <c r="R65" s="76">
        <f t="shared" si="18"/>
        <v>5.3999999999999968</v>
      </c>
      <c r="S65" s="76" t="e">
        <f t="shared" si="18"/>
        <v>#N/A</v>
      </c>
      <c r="T65" s="76" t="e">
        <f t="shared" si="18"/>
        <v>#N/A</v>
      </c>
      <c r="U65" s="76" t="e">
        <f t="shared" si="18"/>
        <v>#N/A</v>
      </c>
    </row>
    <row r="66" spans="1:21" s="19" customFormat="1" ht="26" x14ac:dyDescent="0.3">
      <c r="A66" s="111" t="s">
        <v>148</v>
      </c>
      <c r="B66" s="77" t="str">
        <f>IF(B64&lt;=B63,"OVER","UNDER")</f>
        <v>OVER</v>
      </c>
      <c r="C66" s="77" t="str">
        <f t="shared" ref="C66:U66" si="19">IF(C64&lt;=C63,"OVER","UNDER")</f>
        <v>OVER</v>
      </c>
      <c r="D66" s="77" t="str">
        <f t="shared" si="19"/>
        <v>OVER</v>
      </c>
      <c r="E66" s="77" t="str">
        <f t="shared" si="19"/>
        <v>OVER</v>
      </c>
      <c r="F66" s="77" t="str">
        <f t="shared" si="19"/>
        <v>OVER</v>
      </c>
      <c r="G66" s="77" t="str">
        <f t="shared" si="19"/>
        <v>OVER</v>
      </c>
      <c r="H66" s="77" t="str">
        <f t="shared" si="19"/>
        <v>OVER</v>
      </c>
      <c r="I66" s="77" t="str">
        <f t="shared" si="19"/>
        <v>OVER</v>
      </c>
      <c r="J66" s="77" t="str">
        <f t="shared" si="19"/>
        <v>UNDER</v>
      </c>
      <c r="K66" s="77" t="str">
        <f t="shared" si="19"/>
        <v>OVER</v>
      </c>
      <c r="L66" s="77" t="str">
        <f t="shared" si="19"/>
        <v>OVER</v>
      </c>
      <c r="M66" s="77" t="str">
        <f t="shared" si="19"/>
        <v>OVER</v>
      </c>
      <c r="N66" s="77" t="str">
        <f t="shared" si="19"/>
        <v>OVER</v>
      </c>
      <c r="O66" s="77" t="str">
        <f t="shared" si="19"/>
        <v>OVER</v>
      </c>
      <c r="P66" s="77" t="str">
        <f t="shared" si="19"/>
        <v>OVER</v>
      </c>
      <c r="Q66" s="77" t="str">
        <f t="shared" si="19"/>
        <v>OVER</v>
      </c>
      <c r="R66" s="77" t="str">
        <f t="shared" si="19"/>
        <v>OVER</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X25" sqref="X25"/>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Bryngwyn!B29</f>
        <v>Application Rate</v>
      </c>
      <c r="C1" s="37" t="str">
        <f>Bryngwyn!C29</f>
        <v>Nitrogen Addition</v>
      </c>
      <c r="D1" s="37" t="str">
        <f>Bryngwyn!D29</f>
        <v>Phosphate Addition</v>
      </c>
      <c r="E1" s="37" t="str">
        <f>Bryngwyn!E29</f>
        <v>Potash  Addition</v>
      </c>
      <c r="F1" s="37" t="str">
        <f>Bryngwyn!F29</f>
        <v>Mg Oxide Addition</v>
      </c>
      <c r="G1" s="37" t="str">
        <f>Bryngwyn!G29</f>
        <v>Copper Addition</v>
      </c>
      <c r="H1" s="37" t="str">
        <f>Bryngwyn!H29</f>
        <v>Zinc Addition</v>
      </c>
      <c r="I1" s="37" t="str">
        <f>Bryngwyn!I29</f>
        <v>Lead Addition</v>
      </c>
      <c r="J1" s="37" t="str">
        <f>Bryngwyn!J29</f>
        <v>Cadmium Addition</v>
      </c>
      <c r="K1" s="37" t="str">
        <f>Bryngwyn!K29</f>
        <v>Mercury Addition</v>
      </c>
      <c r="L1" s="37" t="str">
        <f>Bryngwyn!L29</f>
        <v>Nickel Addition</v>
      </c>
      <c r="M1" s="37" t="str">
        <f>Bryngwyn!M29</f>
        <v>Chromium Addition</v>
      </c>
      <c r="N1" s="37" t="str">
        <f>Bryngwyn!N29</f>
        <v>Aluminium Addition</v>
      </c>
      <c r="O1" s="37" t="str">
        <f>Bryngwyn!O29</f>
        <v>Iron Addition</v>
      </c>
      <c r="P1" s="37" t="str">
        <f>Bryngwyn!P29</f>
        <v xml:space="preserve">Sodium Addition                 </v>
      </c>
      <c r="Q1" s="37" t="str">
        <f>Bryngwyn!Q29</f>
        <v>SO3  Addition                             kg/ha</v>
      </c>
      <c r="R1" s="37" t="str">
        <f>Bryngwyn!R29</f>
        <v xml:space="preserve">Selenium Addition </v>
      </c>
      <c r="S1" s="37" t="str">
        <f>Bryngwyn!S29</f>
        <v xml:space="preserve">Arsenic  Addition  </v>
      </c>
      <c r="T1" s="37" t="str">
        <f>Bryngwyn!T29</f>
        <v xml:space="preserve">Molybdenum Addition  </v>
      </c>
      <c r="U1" s="37" t="str">
        <f>Bryngwyn!U29</f>
        <v xml:space="preserve">Fluoride Addition </v>
      </c>
    </row>
    <row r="2" spans="1:21" ht="25" x14ac:dyDescent="0.25">
      <c r="A2" s="146"/>
      <c r="B2" s="37" t="str">
        <f>Bryngwyn!B30</f>
        <v>tonnes/ha</v>
      </c>
      <c r="C2" s="37" t="str">
        <f>Bryngwyn!C30</f>
        <v>kg/ha</v>
      </c>
      <c r="D2" s="37" t="str">
        <f>Bryngwyn!D30</f>
        <v>P2O5 
kg/ha</v>
      </c>
      <c r="E2" s="37" t="str">
        <f>Bryngwyn!E30</f>
        <v>K2O 
kg/ha</v>
      </c>
      <c r="F2" s="37" t="str">
        <f>Bryngwyn!F30</f>
        <v>MgO 
kg/ha</v>
      </c>
      <c r="G2" s="37" t="str">
        <f>Bryngwyn!G30</f>
        <v>kg/ha</v>
      </c>
      <c r="H2" s="37" t="str">
        <f>Bryngwyn!H30</f>
        <v>kg/ha</v>
      </c>
      <c r="I2" s="37" t="str">
        <f>Bryngwyn!I30</f>
        <v>kg/ha</v>
      </c>
      <c r="J2" s="37" t="str">
        <f>Bryngwyn!J30</f>
        <v>kg/ha</v>
      </c>
      <c r="K2" s="37" t="str">
        <f>Bryngwyn!K30</f>
        <v>kg/ha</v>
      </c>
      <c r="L2" s="37" t="str">
        <f>Bryngwyn!L30</f>
        <v>kg/ha</v>
      </c>
      <c r="M2" s="37" t="str">
        <f>Bryngwyn!M30</f>
        <v>kg/ha</v>
      </c>
      <c r="N2" s="37" t="str">
        <f>Bryngwyn!N30</f>
        <v>kg/ha</v>
      </c>
      <c r="O2" s="37" t="str">
        <f>Bryngwyn!O30</f>
        <v>kg/ha</v>
      </c>
      <c r="P2" s="37" t="str">
        <f>Bryngwyn!P30</f>
        <v>kg/ha</v>
      </c>
      <c r="Q2" s="37" t="str">
        <f>Bryngwyn!Q30</f>
        <v>kg/ha</v>
      </c>
      <c r="R2" s="37" t="str">
        <f>Bryngwyn!R30</f>
        <v>kg/ha</v>
      </c>
      <c r="S2" s="37" t="str">
        <f>Bryngwyn!S30</f>
        <v>kg/ha</v>
      </c>
      <c r="T2" s="37" t="str">
        <f>Bryngwyn!T30</f>
        <v>kg/ha</v>
      </c>
      <c r="U2" s="37" t="str">
        <f>Bryngwyn!U30</f>
        <v>kg/ha</v>
      </c>
    </row>
    <row r="3" spans="1:21" x14ac:dyDescent="0.25">
      <c r="A3" s="35">
        <v>1</v>
      </c>
      <c r="B3" s="32">
        <f>Bryngwyn!B31</f>
        <v>120</v>
      </c>
      <c r="C3" s="32">
        <f>Bryngwyn!C31</f>
        <v>53.698559999999993</v>
      </c>
      <c r="D3" s="32">
        <f>Bryngwyn!D31</f>
        <v>18.888103679999997</v>
      </c>
      <c r="E3" s="32">
        <f>Bryngwyn!E31</f>
        <v>2.2418784000000005</v>
      </c>
      <c r="F3" s="32">
        <f>Bryngwyn!F31</f>
        <v>9.1209630720000003</v>
      </c>
      <c r="G3" s="32">
        <f>Bryngwyn!G31</f>
        <v>0.12038400000000002</v>
      </c>
      <c r="H3" s="32">
        <f>Bryngwyn!H31</f>
        <v>1.5394559999999999</v>
      </c>
      <c r="I3" s="32">
        <f>Bryngwyn!I31</f>
        <v>0.32831999999999995</v>
      </c>
      <c r="J3" s="32">
        <f>Bryngwyn!J31</f>
        <v>1.1162880000000002E-2</v>
      </c>
      <c r="K3" s="32">
        <f>Bryngwyn!K31</f>
        <v>2.4806400000000001E-3</v>
      </c>
      <c r="L3" s="32">
        <f>Bryngwyn!L31</f>
        <v>0.22179840000000001</v>
      </c>
      <c r="M3" s="32">
        <f>Bryngwyn!M31</f>
        <v>0.11381759999999999</v>
      </c>
      <c r="N3" s="32">
        <f>Bryngwyn!N31</f>
        <v>18.385919999999999</v>
      </c>
      <c r="O3" s="32">
        <f>Bryngwyn!O31</f>
        <v>3494.7840000000001</v>
      </c>
      <c r="P3" s="32">
        <f>Bryngwyn!P31</f>
        <v>0</v>
      </c>
      <c r="Q3" s="32">
        <f>Bryngwyn!Q31</f>
        <v>36.297600000000003</v>
      </c>
      <c r="R3" s="32">
        <f>Bryngwyn!R31</f>
        <v>0</v>
      </c>
      <c r="S3" s="32">
        <f>Bryngwyn!S31</f>
        <v>0.64131840000000007</v>
      </c>
      <c r="T3" s="32">
        <f>Bryngwyn!T31</f>
        <v>0</v>
      </c>
      <c r="U3" s="32">
        <f>Bryngwyn!U31</f>
        <v>0</v>
      </c>
    </row>
    <row r="4" spans="1:21" x14ac:dyDescent="0.25">
      <c r="A4" s="35">
        <v>2</v>
      </c>
      <c r="B4" s="32">
        <f>'Capel Dewi'!B31</f>
        <v>250</v>
      </c>
      <c r="C4" s="32">
        <f>'Capel Dewi'!C31</f>
        <v>58.66575000000001</v>
      </c>
      <c r="D4" s="32">
        <f>'Capel Dewi'!D31</f>
        <v>48.896240250000005</v>
      </c>
      <c r="E4" s="32">
        <f>'Capel Dewi'!E31</f>
        <v>6.6556668750000014</v>
      </c>
      <c r="F4" s="32">
        <f>'Capel Dewi'!F31</f>
        <v>28.095639000000002</v>
      </c>
      <c r="G4" s="32">
        <f>'Capel Dewi'!G31</f>
        <v>0.23809500000000003</v>
      </c>
      <c r="H4" s="32">
        <f>'Capel Dewi'!H31</f>
        <v>1.4049750000000001</v>
      </c>
      <c r="I4" s="32">
        <f>'Capel Dewi'!I31</f>
        <v>0.44830499999999995</v>
      </c>
      <c r="J4" s="32">
        <f>'Capel Dewi'!J31</f>
        <v>2.3595000000000001E-3</v>
      </c>
      <c r="K4" s="32">
        <f>'Capel Dewi'!K31</f>
        <v>5.0407500000000001E-3</v>
      </c>
      <c r="L4" s="32">
        <f>'Capel Dewi'!L31</f>
        <v>0.20163</v>
      </c>
      <c r="M4" s="32">
        <f>'Capel Dewi'!M31</f>
        <v>0.19841249999999999</v>
      </c>
      <c r="N4" s="32">
        <f>'Capel Dewi'!N31</f>
        <v>55.233750000000008</v>
      </c>
      <c r="O4" s="32">
        <f>'Capel Dewi'!O31</f>
        <v>3453.4500000000003</v>
      </c>
      <c r="P4" s="32">
        <f>'Capel Dewi'!P31</f>
        <v>0</v>
      </c>
      <c r="Q4" s="32">
        <f>'Capel Dewi'!Q31</f>
        <v>61.668750000000003</v>
      </c>
      <c r="R4" s="32">
        <f>'Capel Dewi'!R31</f>
        <v>0</v>
      </c>
      <c r="S4" s="32">
        <f>'Capel Dewi'!S31</f>
        <v>0.17696249999999999</v>
      </c>
      <c r="T4" s="32">
        <f>'Capel Dewi'!T31</f>
        <v>0</v>
      </c>
      <c r="U4" s="32">
        <f>'Capel Dewi'!U31</f>
        <v>0</v>
      </c>
    </row>
    <row r="5" spans="1:21" x14ac:dyDescent="0.25">
      <c r="A5" s="35">
        <v>3</v>
      </c>
      <c r="B5" s="32">
        <f>'Cefn Dryscoed'!B31</f>
        <v>250</v>
      </c>
      <c r="C5" s="32">
        <f>'Cefn Dryscoed'!C31</f>
        <v>88.719750000000005</v>
      </c>
      <c r="D5" s="32">
        <f>'Cefn Dryscoed'!D31</f>
        <v>17.023046399999998</v>
      </c>
      <c r="E5" s="32">
        <f>'Cefn Dryscoed'!E31</f>
        <v>4.0804312500000011</v>
      </c>
      <c r="F5" s="32">
        <f>'Cefn Dryscoed'!F31</f>
        <v>6.0795958499999996</v>
      </c>
      <c r="G5" s="32">
        <f>'Cefn Dryscoed'!G31</f>
        <v>0.27960749999999995</v>
      </c>
      <c r="H5" s="32">
        <f>'Cefn Dryscoed'!H31</f>
        <v>1.1222999999999999</v>
      </c>
      <c r="I5" s="32">
        <f>'Cefn Dryscoed'!I31</f>
        <v>3.2508000000000002E-2</v>
      </c>
      <c r="J5" s="32">
        <f>'Cefn Dryscoed'!J31</f>
        <v>1.654425E-2</v>
      </c>
      <c r="K5" s="32">
        <f>'Cefn Dryscoed'!K31</f>
        <v>5.0310000000000007E-3</v>
      </c>
      <c r="L5" s="32">
        <f>'Cefn Dryscoed'!L31</f>
        <v>7.8367499999999993E-2</v>
      </c>
      <c r="M5" s="32">
        <f>'Cefn Dryscoed'!M31</f>
        <v>1.7028000000000001E-2</v>
      </c>
      <c r="N5" s="32">
        <f>'Cefn Dryscoed'!N31</f>
        <v>1654.425</v>
      </c>
      <c r="O5" s="32">
        <f>'Cefn Dryscoed'!O31</f>
        <v>42.860249999999994</v>
      </c>
      <c r="P5" s="32">
        <f>'Cefn Dryscoed'!P31</f>
        <v>0</v>
      </c>
      <c r="Q5" s="32">
        <f>'Cefn Dryscoed'!Q31</f>
        <v>290.25</v>
      </c>
      <c r="R5" s="32">
        <f>'Cefn Dryscoed'!R31</f>
        <v>0</v>
      </c>
      <c r="S5" s="32">
        <f>'Cefn Dryscoed'!S31</f>
        <v>0.54373500000000008</v>
      </c>
      <c r="T5" s="32">
        <f>'Cefn Dryscoed'!T31</f>
        <v>0</v>
      </c>
      <c r="U5" s="32">
        <f>'Cefn Dryscoed'!U31</f>
        <v>0</v>
      </c>
    </row>
    <row r="6" spans="1:21" x14ac:dyDescent="0.25">
      <c r="A6" s="35">
        <v>4</v>
      </c>
      <c r="B6" s="32">
        <f>Crai!B31</f>
        <v>125</v>
      </c>
      <c r="C6" s="32">
        <f>Crai!C31</f>
        <v>58.297000000000004</v>
      </c>
      <c r="D6" s="32">
        <f>Crai!D31</f>
        <v>20.137030875000001</v>
      </c>
      <c r="E6" s="32">
        <f>Crai!E31</f>
        <v>2.5709277500000001</v>
      </c>
      <c r="F6" s="32">
        <f>Crai!F31</f>
        <v>9.4788067250000001</v>
      </c>
      <c r="G6" s="32">
        <f>Crai!G31</f>
        <v>0.12170249999999999</v>
      </c>
      <c r="H6" s="32">
        <f>Crai!H31</f>
        <v>1.5926499999999999</v>
      </c>
      <c r="I6" s="32">
        <f>Crai!I31</f>
        <v>0.33806249999999999</v>
      </c>
      <c r="J6" s="32">
        <f>Crai!J31</f>
        <v>1.0292125000000001E-2</v>
      </c>
      <c r="K6" s="32">
        <f>Crai!K31</f>
        <v>2.5542500000000001E-3</v>
      </c>
      <c r="L6" s="32">
        <f>Crai!L31</f>
        <v>0.22988250000000002</v>
      </c>
      <c r="M6" s="32">
        <f>Crai!M31</f>
        <v>0.11869750000000001</v>
      </c>
      <c r="N6" s="32">
        <f>Crai!N31</f>
        <v>17.729499999999998</v>
      </c>
      <c r="O6" s="32">
        <f>Crai!O31</f>
        <v>3613.5125000000003</v>
      </c>
      <c r="P6" s="32">
        <f>Crai!P31</f>
        <v>0</v>
      </c>
      <c r="Q6" s="32">
        <f>Crai!Q31</f>
        <v>36.999062500000001</v>
      </c>
      <c r="R6" s="32">
        <f>Crai!R31</f>
        <v>0</v>
      </c>
      <c r="S6" s="32">
        <f>Crai!S31</f>
        <v>0.63255250000000007</v>
      </c>
      <c r="T6" s="32">
        <f>Crai!T31</f>
        <v>0</v>
      </c>
      <c r="U6" s="32">
        <f>Crai!U31</f>
        <v>0</v>
      </c>
    </row>
    <row r="7" spans="1:21" x14ac:dyDescent="0.25">
      <c r="A7" s="35">
        <v>5</v>
      </c>
      <c r="B7" s="32">
        <f>'Elan Valley'!B31</f>
        <v>250</v>
      </c>
      <c r="C7" s="32">
        <f>'Elan Valley'!C31</f>
        <v>28.8</v>
      </c>
      <c r="D7" s="32">
        <f>'Elan Valley'!D31</f>
        <v>3.6701820000000001</v>
      </c>
      <c r="E7" s="32">
        <f>'Elan Valley'!E31</f>
        <v>1.5616800000000004</v>
      </c>
      <c r="F7" s="32">
        <f>'Elan Valley'!F31</f>
        <v>5.2127520000000001</v>
      </c>
      <c r="G7" s="32">
        <f>'Elan Valley'!G31</f>
        <v>0.19860000000000003</v>
      </c>
      <c r="H7" s="32">
        <f>'Elan Valley'!H31</f>
        <v>2.2860000000000005</v>
      </c>
      <c r="I7" s="32">
        <f>'Elan Valley'!I31</f>
        <v>1.1634000000000002</v>
      </c>
      <c r="J7" s="32">
        <f>'Elan Valley'!J31</f>
        <v>1.2720000000000002E-2</v>
      </c>
      <c r="K7" s="32">
        <f>'Elan Valley'!K31</f>
        <v>5.0400000000000002E-3</v>
      </c>
      <c r="L7" s="32">
        <f>'Elan Valley'!L31</f>
        <v>0.52739999999999998</v>
      </c>
      <c r="M7" s="32">
        <f>'Elan Valley'!M31</f>
        <v>0.16620000000000001</v>
      </c>
      <c r="N7" s="32">
        <f>'Elan Valley'!N31</f>
        <v>34.08</v>
      </c>
      <c r="O7" s="32">
        <f>'Elan Valley'!O31</f>
        <v>3210</v>
      </c>
      <c r="P7" s="32">
        <f>'Elan Valley'!P31</f>
        <v>0</v>
      </c>
      <c r="Q7" s="32">
        <f>'Elan Valley'!Q31</f>
        <v>38.849999999999994</v>
      </c>
      <c r="R7" s="32">
        <f>'Elan Valley'!R31</f>
        <v>0</v>
      </c>
      <c r="S7" s="32">
        <f>'Elan Valley'!S31</f>
        <v>0.33960000000000001</v>
      </c>
      <c r="T7" s="32">
        <f>'Elan Valley'!T31</f>
        <v>0</v>
      </c>
      <c r="U7" s="32">
        <f>'Elan Valley'!U31</f>
        <v>0</v>
      </c>
    </row>
    <row r="8" spans="1:21" x14ac:dyDescent="0.25">
      <c r="A8" s="35">
        <v>6</v>
      </c>
      <c r="B8" s="32">
        <f>Hirwaun!B31</f>
        <v>250</v>
      </c>
      <c r="C8" s="32">
        <f>Hirwaun!C31</f>
        <v>155.95500000000001</v>
      </c>
      <c r="D8" s="32">
        <f>Hirwaun!D31</f>
        <v>35.407405000000004</v>
      </c>
      <c r="E8" s="32">
        <f>Hirwaun!E31</f>
        <v>26.580492500000005</v>
      </c>
      <c r="F8" s="32">
        <f>Hirwaun!F31</f>
        <v>53.112372000000008</v>
      </c>
      <c r="G8" s="32">
        <f>Hirwaun!G31</f>
        <v>0.48472500000000002</v>
      </c>
      <c r="H8" s="32">
        <f>Hirwaun!H31</f>
        <v>2.3182499999999999</v>
      </c>
      <c r="I8" s="32">
        <f>Hirwaun!I31</f>
        <v>0.31190999999999997</v>
      </c>
      <c r="J8" s="32">
        <f>Hirwaun!J31</f>
        <v>4.0745E-3</v>
      </c>
      <c r="K8" s="32">
        <f>Hirwaun!K31</f>
        <v>5.058E-3</v>
      </c>
      <c r="L8" s="32">
        <f>Hirwaun!L31</f>
        <v>0.35968</v>
      </c>
      <c r="M8" s="32">
        <f>Hirwaun!M31</f>
        <v>0.28943000000000002</v>
      </c>
      <c r="N8" s="32">
        <f>Hirwaun!N31</f>
        <v>59.431500000000007</v>
      </c>
      <c r="O8" s="32">
        <f>Hirwaun!O31</f>
        <v>4229.05</v>
      </c>
      <c r="P8" s="32">
        <f>Hirwaun!P31</f>
        <v>0</v>
      </c>
      <c r="Q8" s="32">
        <f>Hirwaun!Q31</f>
        <v>95.188749999999999</v>
      </c>
      <c r="R8" s="32">
        <f>Hirwaun!R31</f>
        <v>0</v>
      </c>
      <c r="S8" s="32">
        <f>Hirwaun!S31</f>
        <v>0.23463499999999998</v>
      </c>
      <c r="T8" s="32">
        <f>Hirwaun!T31</f>
        <v>0</v>
      </c>
      <c r="U8" s="32">
        <f>Hirwaun!U31</f>
        <v>0</v>
      </c>
    </row>
    <row r="9" spans="1:21" x14ac:dyDescent="0.25">
      <c r="A9" s="35">
        <v>7</v>
      </c>
      <c r="B9" s="32">
        <f>Whitebourne!B31</f>
        <v>133</v>
      </c>
      <c r="C9" s="32">
        <f>Whitebourne!C31</f>
        <v>50.313900000000004</v>
      </c>
      <c r="D9" s="32">
        <f>Whitebourne!D31</f>
        <v>37.506806378999997</v>
      </c>
      <c r="E9" s="32">
        <f>Whitebourne!E31</f>
        <v>5.3912504940000003</v>
      </c>
      <c r="F9" s="32">
        <f>Whitebourne!F31</f>
        <v>28.747969152</v>
      </c>
      <c r="G9" s="32">
        <f>Whitebourne!G31</f>
        <v>7.2529421999999996E-2</v>
      </c>
      <c r="H9" s="32">
        <f>Whitebourne!H31</f>
        <v>0.95983439999999998</v>
      </c>
      <c r="I9" s="32">
        <f>Whitebourne!I31</f>
        <v>0.28408002000000004</v>
      </c>
      <c r="J9" s="32">
        <f>Whitebourne!J31</f>
        <v>1.2384960000000002E-3</v>
      </c>
      <c r="K9" s="32">
        <f>Whitebourne!K31</f>
        <v>2.7092100000000001E-3</v>
      </c>
      <c r="L9" s="32">
        <f>Whitebourne!L31</f>
        <v>0.13468643999999999</v>
      </c>
      <c r="M9" s="32">
        <f>Whitebourne!M31</f>
        <v>0.16951913999999998</v>
      </c>
      <c r="N9" s="32">
        <f>Whitebourne!N31</f>
        <v>24.924732000000002</v>
      </c>
      <c r="O9" s="32">
        <f>Whitebourne!O31</f>
        <v>3011.0934000000002</v>
      </c>
      <c r="P9" s="32">
        <f>Whitebourne!P31</f>
        <v>0</v>
      </c>
      <c r="Q9" s="32">
        <f>Whitebourne!Q31</f>
        <v>34.639184999999998</v>
      </c>
      <c r="R9" s="32">
        <f>Whitebourne!R31</f>
        <v>0</v>
      </c>
      <c r="S9" s="32">
        <f>Whitebourne!S31</f>
        <v>0.17725974</v>
      </c>
      <c r="T9" s="32">
        <f>Whitebourne!T31</f>
        <v>0</v>
      </c>
      <c r="U9" s="32">
        <f>Whitebourne!U31</f>
        <v>0</v>
      </c>
    </row>
    <row r="10" spans="1:21" x14ac:dyDescent="0.25">
      <c r="A10" s="35">
        <v>8</v>
      </c>
      <c r="B10" s="32"/>
      <c r="C10" s="32"/>
      <c r="D10" s="32"/>
      <c r="E10" s="32"/>
      <c r="F10" s="32"/>
      <c r="G10" s="32"/>
      <c r="H10" s="32"/>
      <c r="I10" s="32"/>
      <c r="J10" s="32"/>
      <c r="K10" s="32"/>
      <c r="L10" s="32"/>
      <c r="M10" s="32"/>
      <c r="N10" s="32"/>
      <c r="O10" s="32"/>
      <c r="P10" s="32"/>
      <c r="Q10" s="32"/>
      <c r="R10" s="32"/>
      <c r="S10" s="32"/>
      <c r="T10" s="32"/>
      <c r="U10" s="32"/>
    </row>
    <row r="11" spans="1:21" x14ac:dyDescent="0.25">
      <c r="A11" s="35">
        <v>9</v>
      </c>
      <c r="B11" s="32"/>
      <c r="C11" s="32"/>
      <c r="D11" s="32"/>
      <c r="E11" s="32"/>
      <c r="F11" s="32"/>
      <c r="G11" s="32"/>
      <c r="H11" s="32"/>
      <c r="I11" s="32"/>
      <c r="J11" s="32"/>
      <c r="K11" s="32"/>
      <c r="L11" s="32"/>
      <c r="M11" s="32"/>
      <c r="N11" s="32"/>
      <c r="O11" s="32"/>
      <c r="P11" s="32"/>
      <c r="Q11" s="32"/>
      <c r="R11" s="32"/>
      <c r="S11" s="32"/>
      <c r="T11" s="32"/>
      <c r="U11" s="32"/>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1378</v>
      </c>
      <c r="C13" s="80">
        <f t="shared" ref="C13:U13" si="0">SUM(C3:C12)</f>
        <v>494.44996000000003</v>
      </c>
      <c r="D13" s="80">
        <f t="shared" si="0"/>
        <v>181.52881458399997</v>
      </c>
      <c r="E13" s="80">
        <f t="shared" si="0"/>
        <v>49.082327269000004</v>
      </c>
      <c r="F13" s="80">
        <f t="shared" si="0"/>
        <v>139.84809779900002</v>
      </c>
      <c r="G13" s="80">
        <f t="shared" si="0"/>
        <v>1.5156434219999999</v>
      </c>
      <c r="H13" s="80">
        <f t="shared" si="0"/>
        <v>11.2234654</v>
      </c>
      <c r="I13" s="80">
        <f t="shared" si="0"/>
        <v>2.9065855200000001</v>
      </c>
      <c r="J13" s="80">
        <f t="shared" si="0"/>
        <v>5.8391751000000006E-2</v>
      </c>
      <c r="K13" s="80">
        <f t="shared" si="0"/>
        <v>2.791385E-2</v>
      </c>
      <c r="L13" s="80">
        <f t="shared" si="0"/>
        <v>1.75344484</v>
      </c>
      <c r="M13" s="80">
        <f t="shared" si="0"/>
        <v>1.07310474</v>
      </c>
      <c r="N13" s="80">
        <f t="shared" si="0"/>
        <v>1864.2104019999997</v>
      </c>
      <c r="O13" s="80">
        <f t="shared" si="0"/>
        <v>21054.750150000003</v>
      </c>
      <c r="P13" s="80">
        <f t="shared" si="0"/>
        <v>0</v>
      </c>
      <c r="Q13" s="80">
        <f t="shared" si="0"/>
        <v>593.8933475</v>
      </c>
      <c r="R13" s="80">
        <f t="shared" si="0"/>
        <v>0</v>
      </c>
      <c r="S13" s="80">
        <f t="shared" si="0"/>
        <v>2.7460631400000004</v>
      </c>
      <c r="T13" s="80">
        <f t="shared" si="0"/>
        <v>0</v>
      </c>
      <c r="U13" s="80">
        <f t="shared" si="0"/>
        <v>0</v>
      </c>
    </row>
  </sheetData>
  <mergeCells count="1">
    <mergeCell ref="A1:A2"/>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Bryngwyn!B29</f>
        <v>Application Rate</v>
      </c>
      <c r="D1" s="34" t="str">
        <f>Bryngwyn!C29</f>
        <v>Nitrogen Addition</v>
      </c>
      <c r="E1" s="34" t="str">
        <f>Bryngwyn!D29</f>
        <v>Phosphate Addition</v>
      </c>
      <c r="F1" s="34" t="str">
        <f>Bryngwyn!E29</f>
        <v>Potash  Addition</v>
      </c>
      <c r="G1" s="34" t="str">
        <f>Bryngwyn!F29</f>
        <v>Mg Oxide Addition</v>
      </c>
      <c r="H1" s="34" t="str">
        <f>Bryngwyn!G29</f>
        <v>Copper Addition</v>
      </c>
      <c r="I1" s="34" t="str">
        <f>Bryngwyn!H29</f>
        <v>Zinc Addition</v>
      </c>
      <c r="J1" s="34" t="str">
        <f>Bryngwyn!I29</f>
        <v>Lead Addition</v>
      </c>
      <c r="K1" s="34" t="str">
        <f>Bryngwyn!J29</f>
        <v>Cadmium Addition</v>
      </c>
      <c r="L1" s="34" t="str">
        <f>Bryngwyn!K29</f>
        <v>Mercury Addition</v>
      </c>
      <c r="M1" s="34" t="str">
        <f>Bryngwyn!L29</f>
        <v>Nickel Addition</v>
      </c>
      <c r="N1" s="34" t="str">
        <f>Bryngwyn!M29</f>
        <v>Chromium Addition</v>
      </c>
      <c r="O1" s="34" t="str">
        <f>Bryngwyn!N29</f>
        <v>Aluminium Addition</v>
      </c>
      <c r="P1" s="34" t="str">
        <f>Bryngwyn!O29</f>
        <v>Iron Addition</v>
      </c>
      <c r="Q1" s="34" t="str">
        <f>Bryngwyn!P29</f>
        <v xml:space="preserve">Sodium Addition                 </v>
      </c>
      <c r="R1" s="34" t="str">
        <f>Bryngwyn!Q29</f>
        <v>SO3  Addition                             kg/ha</v>
      </c>
      <c r="S1" s="34" t="str">
        <f>Bryngwyn!R29</f>
        <v xml:space="preserve">Selenium Addition </v>
      </c>
      <c r="T1" s="34" t="str">
        <f>Bryngwyn!S29</f>
        <v xml:space="preserve">Arsenic  Addition  </v>
      </c>
      <c r="U1" s="34" t="str">
        <f>Bryngwyn!T29</f>
        <v xml:space="preserve">Molybdenum Addition  </v>
      </c>
      <c r="V1" s="34" t="str">
        <f>Bryngwyn!U29</f>
        <v xml:space="preserve">Fluoride Addition </v>
      </c>
    </row>
    <row r="2" spans="1:22" s="82" customFormat="1" ht="25" x14ac:dyDescent="0.35">
      <c r="A2" s="147"/>
      <c r="B2" s="31" t="s">
        <v>46</v>
      </c>
      <c r="C2" s="34" t="str">
        <f>Bryngwyn!B30</f>
        <v>tonnes/ha</v>
      </c>
      <c r="D2" s="34" t="str">
        <f>Bryngwyn!C30</f>
        <v>kg/ha</v>
      </c>
      <c r="E2" s="34" t="str">
        <f>Bryngwyn!D30</f>
        <v>P2O5 
kg/ha</v>
      </c>
      <c r="F2" s="34" t="str">
        <f>Bryngwyn!E30</f>
        <v>K2O 
kg/ha</v>
      </c>
      <c r="G2" s="34" t="str">
        <f>Bryngwyn!F30</f>
        <v>MgO 
kg/ha</v>
      </c>
      <c r="H2" s="34" t="str">
        <f>Bryngwyn!G30</f>
        <v>kg/ha</v>
      </c>
      <c r="I2" s="34" t="str">
        <f>Bryngwyn!H30</f>
        <v>kg/ha</v>
      </c>
      <c r="J2" s="34" t="str">
        <f>Bryngwyn!I30</f>
        <v>kg/ha</v>
      </c>
      <c r="K2" s="34" t="str">
        <f>Bryngwyn!J30</f>
        <v>kg/ha</v>
      </c>
      <c r="L2" s="34" t="str">
        <f>Bryngwyn!K30</f>
        <v>kg/ha</v>
      </c>
      <c r="M2" s="34" t="str">
        <f>Bryngwyn!L30</f>
        <v>kg/ha</v>
      </c>
      <c r="N2" s="34" t="str">
        <f>Bryngwyn!M30</f>
        <v>kg/ha</v>
      </c>
      <c r="O2" s="34" t="str">
        <f>Bryngwyn!N30</f>
        <v>kg/ha</v>
      </c>
      <c r="P2" s="34" t="str">
        <f>Bryngwyn!O30</f>
        <v>kg/ha</v>
      </c>
      <c r="Q2" s="34" t="str">
        <f>Bryngwyn!P30</f>
        <v>kg/ha</v>
      </c>
      <c r="R2" s="34" t="str">
        <f>Bryngwyn!Q30</f>
        <v>kg/ha</v>
      </c>
      <c r="S2" s="34" t="str">
        <f>Bryngwyn!R30</f>
        <v>kg/ha</v>
      </c>
      <c r="T2" s="34" t="str">
        <f>Bryngwyn!S30</f>
        <v>kg/ha</v>
      </c>
      <c r="U2" s="34" t="str">
        <f>Bryngwyn!T30</f>
        <v>kg/ha</v>
      </c>
      <c r="V2" s="34" t="str">
        <f>Bryngwyn!U30</f>
        <v>kg/ha</v>
      </c>
    </row>
    <row r="3" spans="1:22" x14ac:dyDescent="0.25">
      <c r="A3" s="35">
        <v>1</v>
      </c>
      <c r="B3" s="90"/>
      <c r="C3" s="32">
        <f>Bryngwyn!B31</f>
        <v>120</v>
      </c>
      <c r="D3" s="32">
        <f>Bryngwyn!C31</f>
        <v>53.698559999999993</v>
      </c>
      <c r="E3" s="32">
        <f>Bryngwyn!D31</f>
        <v>18.888103679999997</v>
      </c>
      <c r="F3" s="32">
        <f>Bryngwyn!E31</f>
        <v>2.2418784000000005</v>
      </c>
      <c r="G3" s="32">
        <f>Bryngwyn!F31</f>
        <v>9.1209630720000003</v>
      </c>
      <c r="H3" s="32">
        <f>Bryngwyn!G31</f>
        <v>0.12038400000000002</v>
      </c>
      <c r="I3" s="32">
        <f>Bryngwyn!H31</f>
        <v>1.5394559999999999</v>
      </c>
      <c r="J3" s="32">
        <f>Bryngwyn!I31</f>
        <v>0.32831999999999995</v>
      </c>
      <c r="K3" s="32">
        <f>Bryngwyn!J31</f>
        <v>1.1162880000000002E-2</v>
      </c>
      <c r="L3" s="32">
        <f>Bryngwyn!K31</f>
        <v>2.4806400000000001E-3</v>
      </c>
      <c r="M3" s="32">
        <f>Bryngwyn!L31</f>
        <v>0.22179840000000001</v>
      </c>
      <c r="N3" s="32">
        <f>Bryngwyn!M31</f>
        <v>0.11381759999999999</v>
      </c>
      <c r="O3" s="32">
        <f>Bryngwyn!N31</f>
        <v>18.385919999999999</v>
      </c>
      <c r="P3" s="32">
        <f>Bryngwyn!O31</f>
        <v>3494.7840000000001</v>
      </c>
      <c r="Q3" s="32">
        <f>Bryngwyn!P31</f>
        <v>0</v>
      </c>
      <c r="R3" s="32">
        <f>Bryngwyn!Q31</f>
        <v>36.297600000000003</v>
      </c>
      <c r="S3" s="32">
        <f>Bryngwyn!R31</f>
        <v>0</v>
      </c>
      <c r="T3" s="32">
        <f>Bryngwyn!S31</f>
        <v>0.64131840000000007</v>
      </c>
      <c r="U3" s="32">
        <f>Bryngwyn!T31</f>
        <v>0</v>
      </c>
      <c r="V3" s="32">
        <f>Bryngwyn!U31</f>
        <v>0</v>
      </c>
    </row>
    <row r="4" spans="1:22" x14ac:dyDescent="0.25">
      <c r="A4" s="35">
        <v>2</v>
      </c>
      <c r="B4" s="90"/>
      <c r="C4" s="32">
        <f>'Capel Dewi'!B31</f>
        <v>250</v>
      </c>
      <c r="D4" s="32">
        <f>'Capel Dewi'!C31</f>
        <v>58.66575000000001</v>
      </c>
      <c r="E4" s="32">
        <f>'Capel Dewi'!D31</f>
        <v>48.896240250000005</v>
      </c>
      <c r="F4" s="32">
        <f>'Capel Dewi'!E31</f>
        <v>6.6556668750000014</v>
      </c>
      <c r="G4" s="32">
        <f>'Capel Dewi'!F31</f>
        <v>28.095639000000002</v>
      </c>
      <c r="H4" s="32">
        <f>'Capel Dewi'!G31</f>
        <v>0.23809500000000003</v>
      </c>
      <c r="I4" s="32">
        <f>'Capel Dewi'!H31</f>
        <v>1.4049750000000001</v>
      </c>
      <c r="J4" s="32">
        <f>'Capel Dewi'!I31</f>
        <v>0.44830499999999995</v>
      </c>
      <c r="K4" s="32">
        <f>'Capel Dewi'!J31</f>
        <v>2.3595000000000001E-3</v>
      </c>
      <c r="L4" s="32">
        <f>'Capel Dewi'!K31</f>
        <v>5.0407500000000001E-3</v>
      </c>
      <c r="M4" s="32">
        <f>'Capel Dewi'!L31</f>
        <v>0.20163</v>
      </c>
      <c r="N4" s="32">
        <f>'Capel Dewi'!M31</f>
        <v>0.19841249999999999</v>
      </c>
      <c r="O4" s="32">
        <f>'Capel Dewi'!N31</f>
        <v>55.233750000000008</v>
      </c>
      <c r="P4" s="32">
        <f>'Capel Dewi'!O31</f>
        <v>3453.4500000000003</v>
      </c>
      <c r="Q4" s="32">
        <f>'Capel Dewi'!P31</f>
        <v>0</v>
      </c>
      <c r="R4" s="32">
        <f>'Capel Dewi'!Q31</f>
        <v>61.668750000000003</v>
      </c>
      <c r="S4" s="32">
        <f>'Capel Dewi'!R31</f>
        <v>0</v>
      </c>
      <c r="T4" s="32">
        <f>'Capel Dewi'!S31</f>
        <v>0.17696249999999999</v>
      </c>
      <c r="U4" s="32">
        <f>'Capel Dewi'!T31</f>
        <v>0</v>
      </c>
      <c r="V4" s="32">
        <f>'Capel Dewi'!U31</f>
        <v>0</v>
      </c>
    </row>
    <row r="5" spans="1:22" x14ac:dyDescent="0.25">
      <c r="A5" s="35">
        <v>3</v>
      </c>
      <c r="B5" s="90"/>
      <c r="C5" s="32">
        <f>'Cefn Dryscoed'!B31</f>
        <v>250</v>
      </c>
      <c r="D5" s="32">
        <f>'Cefn Dryscoed'!C31</f>
        <v>88.719750000000005</v>
      </c>
      <c r="E5" s="32">
        <f>'Cefn Dryscoed'!D31</f>
        <v>17.023046399999998</v>
      </c>
      <c r="F5" s="32">
        <f>'Cefn Dryscoed'!E31</f>
        <v>4.0804312500000011</v>
      </c>
      <c r="G5" s="32">
        <f>'Cefn Dryscoed'!F31</f>
        <v>6.0795958499999996</v>
      </c>
      <c r="H5" s="32">
        <f>'Cefn Dryscoed'!G31</f>
        <v>0.27960749999999995</v>
      </c>
      <c r="I5" s="32">
        <f>'Cefn Dryscoed'!H31</f>
        <v>1.1222999999999999</v>
      </c>
      <c r="J5" s="32">
        <f>'Cefn Dryscoed'!I31</f>
        <v>3.2508000000000002E-2</v>
      </c>
      <c r="K5" s="32">
        <f>'Cefn Dryscoed'!J31</f>
        <v>1.654425E-2</v>
      </c>
      <c r="L5" s="32">
        <f>'Cefn Dryscoed'!K31</f>
        <v>5.0310000000000007E-3</v>
      </c>
      <c r="M5" s="32">
        <f>'Cefn Dryscoed'!L31</f>
        <v>7.8367499999999993E-2</v>
      </c>
      <c r="N5" s="32">
        <f>'Cefn Dryscoed'!M31</f>
        <v>1.7028000000000001E-2</v>
      </c>
      <c r="O5" s="32">
        <f>'Cefn Dryscoed'!N31</f>
        <v>1654.425</v>
      </c>
      <c r="P5" s="32">
        <f>'Cefn Dryscoed'!O31</f>
        <v>42.860249999999994</v>
      </c>
      <c r="Q5" s="32">
        <f>'Cefn Dryscoed'!P31</f>
        <v>0</v>
      </c>
      <c r="R5" s="32">
        <f>'Cefn Dryscoed'!Q31</f>
        <v>290.25</v>
      </c>
      <c r="S5" s="32">
        <f>'Cefn Dryscoed'!R31</f>
        <v>0</v>
      </c>
      <c r="T5" s="32">
        <f>'Cefn Dryscoed'!S31</f>
        <v>0.54373500000000008</v>
      </c>
      <c r="U5" s="32">
        <f>'Cefn Dryscoed'!T31</f>
        <v>0</v>
      </c>
      <c r="V5" s="32">
        <f>'Cefn Dryscoed'!U31</f>
        <v>0</v>
      </c>
    </row>
    <row r="6" spans="1:22" x14ac:dyDescent="0.25">
      <c r="A6" s="35">
        <v>4</v>
      </c>
      <c r="B6" s="90"/>
      <c r="C6" s="32">
        <f>Crai!B31</f>
        <v>125</v>
      </c>
      <c r="D6" s="32">
        <f>Crai!C31</f>
        <v>58.297000000000004</v>
      </c>
      <c r="E6" s="32">
        <f>Crai!D31</f>
        <v>20.137030875000001</v>
      </c>
      <c r="F6" s="32">
        <f>Crai!E31</f>
        <v>2.5709277500000001</v>
      </c>
      <c r="G6" s="32">
        <f>Crai!F31</f>
        <v>9.4788067250000001</v>
      </c>
      <c r="H6" s="32">
        <f>Crai!G31</f>
        <v>0.12170249999999999</v>
      </c>
      <c r="I6" s="32">
        <f>Crai!H31</f>
        <v>1.5926499999999999</v>
      </c>
      <c r="J6" s="32">
        <f>Crai!I31</f>
        <v>0.33806249999999999</v>
      </c>
      <c r="K6" s="32">
        <f>Crai!J31</f>
        <v>1.0292125000000001E-2</v>
      </c>
      <c r="L6" s="32">
        <f>Crai!K31</f>
        <v>2.5542500000000001E-3</v>
      </c>
      <c r="M6" s="32">
        <f>Crai!L31</f>
        <v>0.22988250000000002</v>
      </c>
      <c r="N6" s="32">
        <f>Crai!M31</f>
        <v>0.11869750000000001</v>
      </c>
      <c r="O6" s="32">
        <f>Crai!N31</f>
        <v>17.729499999999998</v>
      </c>
      <c r="P6" s="32">
        <f>Crai!O31</f>
        <v>3613.5125000000003</v>
      </c>
      <c r="Q6" s="32">
        <f>Crai!P31</f>
        <v>0</v>
      </c>
      <c r="R6" s="32">
        <f>Crai!Q31</f>
        <v>36.999062500000001</v>
      </c>
      <c r="S6" s="32">
        <f>Crai!R31</f>
        <v>0</v>
      </c>
      <c r="T6" s="32">
        <f>Crai!S31</f>
        <v>0.63255250000000007</v>
      </c>
      <c r="U6" s="32">
        <f>Crai!T31</f>
        <v>0</v>
      </c>
      <c r="V6" s="32">
        <f>Crai!U31</f>
        <v>0</v>
      </c>
    </row>
    <row r="7" spans="1:22" x14ac:dyDescent="0.25">
      <c r="A7" s="35">
        <v>5</v>
      </c>
      <c r="B7" s="90"/>
      <c r="C7" s="32">
        <f>'Elan Valley'!B31</f>
        <v>250</v>
      </c>
      <c r="D7" s="32">
        <f>'Elan Valley'!C31</f>
        <v>28.8</v>
      </c>
      <c r="E7" s="32">
        <f>'Elan Valley'!D31</f>
        <v>3.6701820000000001</v>
      </c>
      <c r="F7" s="32">
        <f>'Elan Valley'!E31</f>
        <v>1.5616800000000004</v>
      </c>
      <c r="G7" s="32">
        <f>'Elan Valley'!F31</f>
        <v>5.2127520000000001</v>
      </c>
      <c r="H7" s="32">
        <f>'Elan Valley'!G31</f>
        <v>0.19860000000000003</v>
      </c>
      <c r="I7" s="32">
        <f>'Elan Valley'!H31</f>
        <v>2.2860000000000005</v>
      </c>
      <c r="J7" s="32">
        <f>'Elan Valley'!I31</f>
        <v>1.1634000000000002</v>
      </c>
      <c r="K7" s="32">
        <f>'Elan Valley'!J31</f>
        <v>1.2720000000000002E-2</v>
      </c>
      <c r="L7" s="32">
        <f>'Elan Valley'!K31</f>
        <v>5.0400000000000002E-3</v>
      </c>
      <c r="M7" s="32">
        <f>'Elan Valley'!L31</f>
        <v>0.52739999999999998</v>
      </c>
      <c r="N7" s="32">
        <f>'Elan Valley'!M31</f>
        <v>0.16620000000000001</v>
      </c>
      <c r="O7" s="32">
        <f>'Elan Valley'!N31</f>
        <v>34.08</v>
      </c>
      <c r="P7" s="32">
        <f>'Elan Valley'!O31</f>
        <v>3210</v>
      </c>
      <c r="Q7" s="32">
        <f>'Elan Valley'!P31</f>
        <v>0</v>
      </c>
      <c r="R7" s="32">
        <f>'Elan Valley'!Q31</f>
        <v>38.849999999999994</v>
      </c>
      <c r="S7" s="32">
        <f>'Elan Valley'!R31</f>
        <v>0</v>
      </c>
      <c r="T7" s="32">
        <f>'Elan Valley'!S31</f>
        <v>0.33960000000000001</v>
      </c>
      <c r="U7" s="32">
        <f>'Elan Valley'!T31</f>
        <v>0</v>
      </c>
      <c r="V7" s="32">
        <f>'Elan Valley'!U31</f>
        <v>0</v>
      </c>
    </row>
    <row r="8" spans="1:22" x14ac:dyDescent="0.25">
      <c r="A8" s="35">
        <v>6</v>
      </c>
      <c r="B8" s="90"/>
      <c r="C8" s="32">
        <f>Hirwaun!B31</f>
        <v>250</v>
      </c>
      <c r="D8" s="32">
        <f>Hirwaun!C31</f>
        <v>155.95500000000001</v>
      </c>
      <c r="E8" s="32">
        <f>Hirwaun!D31</f>
        <v>35.407405000000004</v>
      </c>
      <c r="F8" s="32">
        <f>Hirwaun!E31</f>
        <v>26.580492500000005</v>
      </c>
      <c r="G8" s="32">
        <f>Hirwaun!F31</f>
        <v>53.112372000000008</v>
      </c>
      <c r="H8" s="32">
        <f>Hirwaun!G31</f>
        <v>0.48472500000000002</v>
      </c>
      <c r="I8" s="32">
        <f>Hirwaun!H31</f>
        <v>2.3182499999999999</v>
      </c>
      <c r="J8" s="32">
        <f>Hirwaun!I31</f>
        <v>0.31190999999999997</v>
      </c>
      <c r="K8" s="32">
        <f>Hirwaun!J31</f>
        <v>4.0745E-3</v>
      </c>
      <c r="L8" s="32">
        <f>Hirwaun!K31</f>
        <v>5.058E-3</v>
      </c>
      <c r="M8" s="32">
        <f>Hirwaun!L31</f>
        <v>0.35968</v>
      </c>
      <c r="N8" s="32">
        <f>Hirwaun!M31</f>
        <v>0.28943000000000002</v>
      </c>
      <c r="O8" s="32">
        <f>Hirwaun!N31</f>
        <v>59.431500000000007</v>
      </c>
      <c r="P8" s="32">
        <f>Hirwaun!O31</f>
        <v>4229.05</v>
      </c>
      <c r="Q8" s="32">
        <f>Hirwaun!P31</f>
        <v>0</v>
      </c>
      <c r="R8" s="32">
        <f>Hirwaun!Q31</f>
        <v>95.188749999999999</v>
      </c>
      <c r="S8" s="32">
        <f>Hirwaun!R31</f>
        <v>0</v>
      </c>
      <c r="T8" s="32">
        <f>Hirwaun!S31</f>
        <v>0.23463499999999998</v>
      </c>
      <c r="U8" s="32">
        <f>Hirwaun!T31</f>
        <v>0</v>
      </c>
      <c r="V8" s="32">
        <f>Hirwaun!U31</f>
        <v>0</v>
      </c>
    </row>
    <row r="9" spans="1:22" x14ac:dyDescent="0.25">
      <c r="A9" s="35">
        <v>7</v>
      </c>
      <c r="B9" s="90"/>
      <c r="C9" s="32">
        <f>Whitebourne!B31</f>
        <v>133</v>
      </c>
      <c r="D9" s="32">
        <f>Whitebourne!C31</f>
        <v>50.313900000000004</v>
      </c>
      <c r="E9" s="32">
        <f>Whitebourne!D31</f>
        <v>37.506806378999997</v>
      </c>
      <c r="F9" s="32">
        <f>Whitebourne!E31</f>
        <v>5.3912504940000003</v>
      </c>
      <c r="G9" s="32">
        <f>Whitebourne!F31</f>
        <v>28.747969152</v>
      </c>
      <c r="H9" s="32">
        <f>Whitebourne!G31</f>
        <v>7.2529421999999996E-2</v>
      </c>
      <c r="I9" s="32">
        <f>Whitebourne!H31</f>
        <v>0.95983439999999998</v>
      </c>
      <c r="J9" s="32">
        <f>Whitebourne!I31</f>
        <v>0.28408002000000004</v>
      </c>
      <c r="K9" s="32">
        <f>Whitebourne!J31</f>
        <v>1.2384960000000002E-3</v>
      </c>
      <c r="L9" s="32">
        <f>Whitebourne!K31</f>
        <v>2.7092100000000001E-3</v>
      </c>
      <c r="M9" s="32">
        <f>Whitebourne!L31</f>
        <v>0.13468643999999999</v>
      </c>
      <c r="N9" s="32">
        <f>Whitebourne!M31</f>
        <v>0.16951913999999998</v>
      </c>
      <c r="O9" s="32">
        <f>Whitebourne!N31</f>
        <v>24.924732000000002</v>
      </c>
      <c r="P9" s="32">
        <f>Whitebourne!O31</f>
        <v>3011.0934000000002</v>
      </c>
      <c r="Q9" s="32">
        <f>Whitebourne!P31</f>
        <v>0</v>
      </c>
      <c r="R9" s="32">
        <f>Whitebourne!Q31</f>
        <v>34.639184999999998</v>
      </c>
      <c r="S9" s="32">
        <f>Whitebourne!R31</f>
        <v>0</v>
      </c>
      <c r="T9" s="32">
        <f>Whitebourne!S31</f>
        <v>0.17725974</v>
      </c>
      <c r="U9" s="32">
        <f>Whitebourne!T31</f>
        <v>0</v>
      </c>
      <c r="V9" s="32">
        <f>Whitebourne!U31</f>
        <v>0</v>
      </c>
    </row>
    <row r="10" spans="1:22" x14ac:dyDescent="0.25">
      <c r="A10" s="35">
        <v>8</v>
      </c>
      <c r="B10" s="90"/>
      <c r="C10" s="32" t="e">
        <f>#REF!</f>
        <v>#REF!</v>
      </c>
      <c r="D10" s="32" t="e">
        <f>#REF!</f>
        <v>#REF!</v>
      </c>
      <c r="E10" s="32" t="e">
        <f>#REF!</f>
        <v>#REF!</v>
      </c>
      <c r="F10" s="32" t="e">
        <f>#REF!</f>
        <v>#REF!</v>
      </c>
      <c r="G10" s="32" t="e">
        <f>#REF!</f>
        <v>#REF!</v>
      </c>
      <c r="H10" s="32" t="e">
        <f>#REF!</f>
        <v>#REF!</v>
      </c>
      <c r="I10" s="32" t="e">
        <f>#REF!</f>
        <v>#REF!</v>
      </c>
      <c r="J10" s="32" t="e">
        <f>#REF!</f>
        <v>#REF!</v>
      </c>
      <c r="K10" s="32" t="e">
        <f>#REF!</f>
        <v>#REF!</v>
      </c>
      <c r="L10" s="32" t="e">
        <f>#REF!</f>
        <v>#REF!</v>
      </c>
      <c r="M10" s="32" t="e">
        <f>#REF!</f>
        <v>#REF!</v>
      </c>
      <c r="N10" s="32" t="e">
        <f>#REF!</f>
        <v>#REF!</v>
      </c>
      <c r="O10" s="32" t="e">
        <f>#REF!</f>
        <v>#REF!</v>
      </c>
      <c r="P10" s="32" t="e">
        <f>#REF!</f>
        <v>#REF!</v>
      </c>
      <c r="Q10" s="32" t="e">
        <f>#REF!</f>
        <v>#REF!</v>
      </c>
      <c r="R10" s="32" t="e">
        <f>#REF!</f>
        <v>#REF!</v>
      </c>
      <c r="S10" s="32" t="e">
        <f>#REF!</f>
        <v>#REF!</v>
      </c>
      <c r="T10" s="32" t="e">
        <f>#REF!</f>
        <v>#REF!</v>
      </c>
      <c r="U10" s="32" t="e">
        <f>#REF!</f>
        <v>#REF!</v>
      </c>
      <c r="V10" s="32" t="e">
        <f>#REF!</f>
        <v>#REF!</v>
      </c>
    </row>
    <row r="11" spans="1:22" x14ac:dyDescent="0.25">
      <c r="A11" s="35">
        <v>9</v>
      </c>
      <c r="B11" s="90"/>
      <c r="C11" s="32" t="e">
        <f>#REF!</f>
        <v>#REF!</v>
      </c>
      <c r="D11" s="32" t="e">
        <f>#REF!</f>
        <v>#REF!</v>
      </c>
      <c r="E11" s="32" t="e">
        <f>#REF!</f>
        <v>#REF!</v>
      </c>
      <c r="F11" s="32" t="e">
        <f>#REF!</f>
        <v>#REF!</v>
      </c>
      <c r="G11" s="32" t="e">
        <f>#REF!</f>
        <v>#REF!</v>
      </c>
      <c r="H11" s="32" t="e">
        <f>#REF!</f>
        <v>#REF!</v>
      </c>
      <c r="I11" s="32" t="e">
        <f>#REF!</f>
        <v>#REF!</v>
      </c>
      <c r="J11" s="32" t="e">
        <f>#REF!</f>
        <v>#REF!</v>
      </c>
      <c r="K11" s="32" t="e">
        <f>#REF!</f>
        <v>#REF!</v>
      </c>
      <c r="L11" s="32" t="e">
        <f>#REF!</f>
        <v>#REF!</v>
      </c>
      <c r="M11" s="32" t="e">
        <f>#REF!</f>
        <v>#REF!</v>
      </c>
      <c r="N11" s="32" t="e">
        <f>#REF!</f>
        <v>#REF!</v>
      </c>
      <c r="O11" s="32" t="e">
        <f>#REF!</f>
        <v>#REF!</v>
      </c>
      <c r="P11" s="32" t="e">
        <f>#REF!</f>
        <v>#REF!</v>
      </c>
      <c r="Q11" s="32" t="e">
        <f>#REF!</f>
        <v>#REF!</v>
      </c>
      <c r="R11" s="32" t="e">
        <f>#REF!</f>
        <v>#REF!</v>
      </c>
      <c r="S11" s="32" t="e">
        <f>#REF!</f>
        <v>#REF!</v>
      </c>
      <c r="T11" s="32" t="e">
        <f>#REF!</f>
        <v>#REF!</v>
      </c>
      <c r="U11" s="32" t="e">
        <f>#REF!</f>
        <v>#REF!</v>
      </c>
      <c r="V11" s="32" t="e">
        <f>#REF!</f>
        <v>#REF!</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Bryngwyn!B43</f>
        <v>120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Bryngwyn!B44</f>
        <v>120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120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125</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250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133</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t="e">
        <f t="shared" si="15"/>
        <v>#REF!</v>
      </c>
      <c r="D24" s="87" t="e">
        <f>D10*$B$10</f>
        <v>#REF!</v>
      </c>
      <c r="E24" s="87" t="e">
        <f t="shared" ref="E24:V24" si="16">E10*$B$10</f>
        <v>#REF!</v>
      </c>
      <c r="F24" s="87" t="e">
        <f t="shared" si="16"/>
        <v>#REF!</v>
      </c>
      <c r="G24" s="87" t="e">
        <f t="shared" si="16"/>
        <v>#REF!</v>
      </c>
      <c r="H24" s="87" t="e">
        <f t="shared" si="16"/>
        <v>#REF!</v>
      </c>
      <c r="I24" s="87" t="e">
        <f t="shared" si="16"/>
        <v>#REF!</v>
      </c>
      <c r="J24" s="87" t="e">
        <f t="shared" si="16"/>
        <v>#REF!</v>
      </c>
      <c r="K24" s="87" t="e">
        <f t="shared" si="16"/>
        <v>#REF!</v>
      </c>
      <c r="L24" s="87" t="e">
        <f t="shared" si="16"/>
        <v>#REF!</v>
      </c>
      <c r="M24" s="87" t="e">
        <f t="shared" si="16"/>
        <v>#REF!</v>
      </c>
      <c r="N24" s="87" t="e">
        <f t="shared" si="16"/>
        <v>#REF!</v>
      </c>
      <c r="O24" s="87" t="e">
        <f t="shared" si="16"/>
        <v>#REF!</v>
      </c>
      <c r="P24" s="87" t="e">
        <f t="shared" si="16"/>
        <v>#REF!</v>
      </c>
      <c r="Q24" s="87" t="e">
        <f t="shared" si="16"/>
        <v>#REF!</v>
      </c>
      <c r="R24" s="87" t="e">
        <f t="shared" si="16"/>
        <v>#REF!</v>
      </c>
      <c r="S24" s="87" t="e">
        <f t="shared" si="16"/>
        <v>#REF!</v>
      </c>
      <c r="T24" s="87" t="e">
        <f t="shared" si="16"/>
        <v>#REF!</v>
      </c>
      <c r="U24" s="87" t="e">
        <f t="shared" si="16"/>
        <v>#REF!</v>
      </c>
      <c r="V24" s="87" t="e">
        <f t="shared" si="16"/>
        <v>#REF!</v>
      </c>
    </row>
    <row r="25" spans="1:22" x14ac:dyDescent="0.25">
      <c r="A25" s="84">
        <v>9</v>
      </c>
      <c r="B25" s="85">
        <f t="shared" ref="B25:C25" si="17">B11</f>
        <v>0</v>
      </c>
      <c r="C25" s="86" t="e">
        <f t="shared" si="17"/>
        <v>#REF!</v>
      </c>
      <c r="D25" s="87" t="e">
        <f>D11*$B$11</f>
        <v>#REF!</v>
      </c>
      <c r="E25" s="87" t="e">
        <f t="shared" ref="E25:V25" si="18">E11*$B$11</f>
        <v>#REF!</v>
      </c>
      <c r="F25" s="87" t="e">
        <f t="shared" si="18"/>
        <v>#REF!</v>
      </c>
      <c r="G25" s="87" t="e">
        <f t="shared" si="18"/>
        <v>#REF!</v>
      </c>
      <c r="H25" s="87" t="e">
        <f t="shared" si="18"/>
        <v>#REF!</v>
      </c>
      <c r="I25" s="87" t="e">
        <f t="shared" si="18"/>
        <v>#REF!</v>
      </c>
      <c r="J25" s="87" t="e">
        <f t="shared" si="18"/>
        <v>#REF!</v>
      </c>
      <c r="K25" s="87" t="e">
        <f t="shared" si="18"/>
        <v>#REF!</v>
      </c>
      <c r="L25" s="87" t="e">
        <f t="shared" si="18"/>
        <v>#REF!</v>
      </c>
      <c r="M25" s="87" t="e">
        <f t="shared" si="18"/>
        <v>#REF!</v>
      </c>
      <c r="N25" s="87" t="e">
        <f t="shared" si="18"/>
        <v>#REF!</v>
      </c>
      <c r="O25" s="87" t="e">
        <f t="shared" si="18"/>
        <v>#REF!</v>
      </c>
      <c r="P25" s="87" t="e">
        <f t="shared" si="18"/>
        <v>#REF!</v>
      </c>
      <c r="Q25" s="87" t="e">
        <f t="shared" si="18"/>
        <v>#REF!</v>
      </c>
      <c r="R25" s="87" t="e">
        <f t="shared" si="18"/>
        <v>#REF!</v>
      </c>
      <c r="S25" s="87" t="e">
        <f t="shared" si="18"/>
        <v>#REF!</v>
      </c>
      <c r="T25" s="87" t="e">
        <f t="shared" si="18"/>
        <v>#REF!</v>
      </c>
      <c r="U25" s="87" t="e">
        <f t="shared" si="18"/>
        <v>#REF!</v>
      </c>
      <c r="V25" s="87" t="e">
        <f t="shared" si="18"/>
        <v>#REF!</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REGU-415-1630578</_dlc_DocId>
    <_dlc_DocIdUrl xmlns="9be56660-2c31-41ef-bc00-23e72f632f2a">
      <Url>https://cyfoethnaturiolcymru.sharepoint.com/teams/Regulatory/Permitting/_layouts/15/DocIdRedir.aspx?ID=REGU-415-1630578</Url>
      <Description>REGU-415-1630578</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2023-03-27T23:00:00+00:00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525e805172ecc65872612648a7ee2df1">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70bd1e9e617200c8a7cd7558ce0bbe01"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FE15EAC-B756-45A4-B851-ABB20390B503}"/>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4.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9be56660-2c31-41ef-bc00-23e72f632f2a"/>
    <ds:schemaRef ds:uri="http://www.w3.org/XML/1998/namespace"/>
  </ds:schemaRefs>
</ds:datastoreItem>
</file>

<file path=customXml/itemProps5.xml><?xml version="1.0" encoding="utf-8"?>
<ds:datastoreItem xmlns:ds="http://schemas.openxmlformats.org/officeDocument/2006/customXml" ds:itemID="{625E3A26-DF72-48CA-A00C-4168DF7D743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Bryngwyn</vt:lpstr>
      <vt:lpstr>Capel Dewi</vt:lpstr>
      <vt:lpstr>Cefn Dryscoed</vt:lpstr>
      <vt:lpstr>Crai</vt:lpstr>
      <vt:lpstr>Elan Valley</vt:lpstr>
      <vt:lpstr>Hirwaun</vt:lpstr>
      <vt:lpstr>Whitebourne</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Clee, Owen</cp:lastModifiedBy>
  <dcterms:created xsi:type="dcterms:W3CDTF">2016-09-26T10:07:59Z</dcterms:created>
  <dcterms:modified xsi:type="dcterms:W3CDTF">2023-03-24T14:21:33Z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b6f41c87-cba4-482b-9472-d4c89ac87cd9</vt:lpwstr>
  </property>
</Properties>
</file>