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0931/"/>
    </mc:Choice>
  </mc:AlternateContent>
  <xr:revisionPtr revIDLastSave="0" documentId="13_ncr:1_{8393DEBA-84B0-4442-84D3-5647BBF14981}" xr6:coauthVersionLast="47" xr6:coauthVersionMax="47" xr10:uidLastSave="{00000000-0000-0000-0000-000000000000}"/>
  <bookViews>
    <workbookView xWindow="-28920" yWindow="-120" windowWidth="29040" windowHeight="15840" tabRatio="870" activeTab="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O65" i="1" l="1"/>
  <c r="P65" i="1"/>
  <c r="Q65" i="1"/>
  <c r="R65" i="1"/>
  <c r="S65" i="1"/>
  <c r="T65" i="1"/>
  <c r="U65" i="1"/>
  <c r="O65" i="21"/>
  <c r="P65" i="21"/>
  <c r="Q65" i="21"/>
  <c r="R65" i="21"/>
  <c r="S65" i="21"/>
  <c r="T65" i="21"/>
  <c r="U65" i="21"/>
  <c r="O65" i="27"/>
  <c r="P65" i="27"/>
  <c r="Q65" i="27"/>
  <c r="R65" i="27"/>
  <c r="S65" i="27"/>
  <c r="T65" i="27"/>
  <c r="U65" i="27"/>
  <c r="O65" i="28"/>
  <c r="P65" i="28"/>
  <c r="Q65" i="28"/>
  <c r="R65" i="28"/>
  <c r="S65" i="28"/>
  <c r="T65" i="28"/>
  <c r="U65" i="28"/>
  <c r="O65" i="30"/>
  <c r="P65" i="30"/>
  <c r="Q65" i="30"/>
  <c r="R65" i="30"/>
  <c r="S65" i="30"/>
  <c r="T65" i="30"/>
  <c r="U65" i="30"/>
  <c r="O65" i="26"/>
  <c r="P65" i="26"/>
  <c r="Q65" i="26"/>
  <c r="R65" i="26"/>
  <c r="S65" i="26"/>
  <c r="T65" i="26"/>
  <c r="U65" i="26"/>
  <c r="O65" i="24"/>
  <c r="P65" i="24"/>
  <c r="Q65" i="24"/>
  <c r="R65" i="24"/>
  <c r="S65" i="24"/>
  <c r="T65" i="24"/>
  <c r="U65" i="24"/>
  <c r="O65" i="29"/>
  <c r="P65" i="29"/>
  <c r="Q65" i="29"/>
  <c r="R65" i="29"/>
  <c r="S65" i="29"/>
  <c r="T65" i="29"/>
  <c r="U65" i="29"/>
  <c r="O65" i="23"/>
  <c r="P65" i="23"/>
  <c r="Q65" i="23"/>
  <c r="R65" i="23"/>
  <c r="S65" i="23"/>
  <c r="T65" i="23"/>
  <c r="U65" i="23"/>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U18" i="27"/>
  <c r="T18" i="27"/>
  <c r="S18" i="27"/>
  <c r="R18" i="27"/>
  <c r="L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N23" i="26" s="1"/>
  <c r="U59" i="26"/>
  <c r="V21" i="26"/>
  <c r="V17" i="26"/>
  <c r="V19" i="26" s="1"/>
  <c r="C8" i="20"/>
  <c r="D8" i="19"/>
  <c r="D22" i="19" s="1"/>
  <c r="K8" i="20"/>
  <c r="L8" i="19"/>
  <c r="L22" i="19" s="1"/>
  <c r="S8" i="20"/>
  <c r="T8" i="19"/>
  <c r="T22" i="19" s="1"/>
  <c r="C59" i="29"/>
  <c r="D21" i="29"/>
  <c r="D17" i="29"/>
  <c r="D19" i="29" s="1"/>
  <c r="K59" i="29"/>
  <c r="L21" i="29"/>
  <c r="L23" i="29" s="1"/>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M23" i="28" s="1"/>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19" i="22" s="1"/>
  <c r="J21" i="22"/>
  <c r="J23" i="22" s="1"/>
  <c r="K59" i="23"/>
  <c r="L17" i="23"/>
  <c r="L19" i="23" s="1"/>
  <c r="L21" i="23"/>
  <c r="M57" i="21"/>
  <c r="R59" i="21"/>
  <c r="S21" i="21"/>
  <c r="S23" i="21" s="1"/>
  <c r="S24" i="21" s="1"/>
  <c r="S17" i="21"/>
  <c r="J59" i="21"/>
  <c r="K21" i="21"/>
  <c r="K23" i="21" s="1"/>
  <c r="K24" i="21" s="1"/>
  <c r="K17" i="21"/>
  <c r="K19" i="21" s="1"/>
  <c r="K20" i="21" s="1"/>
  <c r="J59" i="22"/>
  <c r="K17" i="22"/>
  <c r="K21" i="22"/>
  <c r="K23" i="22" s="1"/>
  <c r="R59" i="22"/>
  <c r="S17" i="22"/>
  <c r="S21" i="22"/>
  <c r="S23" i="22" s="1"/>
  <c r="D59" i="23"/>
  <c r="E17" i="23"/>
  <c r="E19" i="23" s="1"/>
  <c r="E21" i="23"/>
  <c r="E23" i="23" s="1"/>
  <c r="L59" i="23"/>
  <c r="M17" i="23"/>
  <c r="M21" i="23"/>
  <c r="T59" i="23"/>
  <c r="U17" i="23"/>
  <c r="U19" i="23" s="1"/>
  <c r="U21" i="23"/>
  <c r="U23" i="23" s="1"/>
  <c r="H21" i="24"/>
  <c r="H23" i="24" s="1"/>
  <c r="H17" i="24"/>
  <c r="H19" i="24" s="1"/>
  <c r="P17" i="24"/>
  <c r="P21" i="24"/>
  <c r="C59" i="26"/>
  <c r="D21" i="26"/>
  <c r="D23" i="26" s="1"/>
  <c r="D17" i="26"/>
  <c r="D19" i="26" s="1"/>
  <c r="K59" i="26"/>
  <c r="L21" i="26"/>
  <c r="L23" i="26" s="1"/>
  <c r="L17" i="26"/>
  <c r="L19" i="26" s="1"/>
  <c r="S59" i="26"/>
  <c r="T21" i="26"/>
  <c r="T17" i="26"/>
  <c r="N63" i="26"/>
  <c r="J59" i="27"/>
  <c r="K17" i="27"/>
  <c r="K19" i="27" s="1"/>
  <c r="K20" i="27" s="1"/>
  <c r="R59" i="27"/>
  <c r="S17" i="27"/>
  <c r="S19" i="27" s="1"/>
  <c r="J59" i="28"/>
  <c r="K17" i="28"/>
  <c r="K19" i="28" s="1"/>
  <c r="K21" i="28"/>
  <c r="R59" i="28"/>
  <c r="S17" i="28"/>
  <c r="S21" i="28"/>
  <c r="S23" i="28" s="1"/>
  <c r="I59" i="29"/>
  <c r="J17" i="29"/>
  <c r="J19" i="29" s="1"/>
  <c r="J21" i="29"/>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23" i="28" s="1"/>
  <c r="L17" i="28"/>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23" i="21" s="1"/>
  <c r="H24" i="21" s="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J59" i="24"/>
  <c r="K21" i="24"/>
  <c r="K17" i="24"/>
  <c r="R59" i="24"/>
  <c r="S21" i="24"/>
  <c r="S23" i="24" s="1"/>
  <c r="S17" i="24"/>
  <c r="G21" i="26"/>
  <c r="G17" i="26"/>
  <c r="G19" i="26" s="1"/>
  <c r="O17" i="26"/>
  <c r="O21" i="26"/>
  <c r="E59" i="27"/>
  <c r="F17" i="27"/>
  <c r="F19" i="27" s="1"/>
  <c r="F20" i="27" s="1"/>
  <c r="M59" i="27"/>
  <c r="N17" i="27"/>
  <c r="U59" i="27"/>
  <c r="V17" i="27"/>
  <c r="E59" i="28"/>
  <c r="F17" i="28"/>
  <c r="F19" i="28" s="1"/>
  <c r="F21" i="28"/>
  <c r="F23" i="28" s="1"/>
  <c r="M59" i="28"/>
  <c r="N17" i="28"/>
  <c r="N19" i="28" s="1"/>
  <c r="N21" i="28"/>
  <c r="N23" i="28" s="1"/>
  <c r="U59" i="28"/>
  <c r="V17" i="28"/>
  <c r="V21" i="28"/>
  <c r="D59" i="29"/>
  <c r="E17" i="29"/>
  <c r="E19" i="29" s="1"/>
  <c r="E21" i="29"/>
  <c r="L59" i="29"/>
  <c r="M17" i="29"/>
  <c r="M19" i="29" s="1"/>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23" i="21" s="1"/>
  <c r="G24" i="21" s="1"/>
  <c r="G17" i="21"/>
  <c r="G17" i="22"/>
  <c r="G21" i="22"/>
  <c r="G23" i="22" s="1"/>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H19" i="26" s="1"/>
  <c r="P21" i="26"/>
  <c r="P17" i="26"/>
  <c r="F59" i="28"/>
  <c r="G17" i="28"/>
  <c r="G19" i="28" s="1"/>
  <c r="G21" i="28"/>
  <c r="G23" i="28" s="1"/>
  <c r="N59" i="28"/>
  <c r="O17" i="28"/>
  <c r="O19" i="28" s="1"/>
  <c r="O21" i="28"/>
  <c r="E59" i="29"/>
  <c r="F17" i="29"/>
  <c r="F21" i="29"/>
  <c r="F23" i="29" s="1"/>
  <c r="M59" i="29"/>
  <c r="N17" i="29"/>
  <c r="N21" i="29"/>
  <c r="N23" i="29" s="1"/>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17" i="28"/>
  <c r="H19" i="28" s="1"/>
  <c r="P21" i="28"/>
  <c r="P17" i="28"/>
  <c r="P19" i="28" s="1"/>
  <c r="G17" i="29"/>
  <c r="G19" i="29" s="1"/>
  <c r="G21" i="29"/>
  <c r="G23" i="29" s="1"/>
  <c r="O17" i="29"/>
  <c r="O21" i="29"/>
  <c r="E59" i="30"/>
  <c r="F21" i="30"/>
  <c r="F23" i="30" s="1"/>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K23" i="26" s="1"/>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U23" i="30"/>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H58" i="30"/>
  <c r="H61" i="30" s="1"/>
  <c r="H64" i="30" s="1"/>
  <c r="H65" i="30" s="1"/>
  <c r="N59" i="30"/>
  <c r="Q57" i="21"/>
  <c r="B58" i="21"/>
  <c r="B61" i="21" s="1"/>
  <c r="I58" i="22"/>
  <c r="I61" i="22" s="1"/>
  <c r="I64" i="22" s="1"/>
  <c r="I65"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C64" i="22" s="1"/>
  <c r="C65" i="22" s="1"/>
  <c r="K58" i="22"/>
  <c r="K61" i="22" s="1"/>
  <c r="K64" i="22" s="1"/>
  <c r="K65" i="22" s="1"/>
  <c r="S58" i="22"/>
  <c r="S61" i="22" s="1"/>
  <c r="S64" i="22" s="1"/>
  <c r="F57" i="23"/>
  <c r="D23" i="24"/>
  <c r="T23" i="24"/>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T23" i="29"/>
  <c r="G58" i="29"/>
  <c r="G61" i="29" s="1"/>
  <c r="O58" i="29"/>
  <c r="O61" i="29" s="1"/>
  <c r="P59" i="29"/>
  <c r="I57" i="30"/>
  <c r="G57" i="21"/>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S19" i="29"/>
  <c r="S23" i="29"/>
  <c r="A31" i="29"/>
  <c r="A33" i="29"/>
  <c r="A39" i="29"/>
  <c r="A41" i="29"/>
  <c r="A47" i="29"/>
  <c r="A49" i="29"/>
  <c r="G57" i="29"/>
  <c r="O57" i="29"/>
  <c r="G59" i="29"/>
  <c r="O59" i="29"/>
  <c r="G63" i="29"/>
  <c r="O63" i="29"/>
  <c r="U19" i="29"/>
  <c r="E23" i="29"/>
  <c r="U23" i="29"/>
  <c r="I57" i="29"/>
  <c r="Q57" i="29"/>
  <c r="I63" i="29"/>
  <c r="Q63" i="29"/>
  <c r="F19" i="29"/>
  <c r="N19" i="29"/>
  <c r="V19" i="29"/>
  <c r="B63" i="29"/>
  <c r="J63" i="29"/>
  <c r="R63" i="29"/>
  <c r="O19" i="29"/>
  <c r="A32" i="29"/>
  <c r="A34" i="29"/>
  <c r="A40" i="29"/>
  <c r="A42" i="29"/>
  <c r="A48" i="29"/>
  <c r="A50" i="29"/>
  <c r="C63" i="29"/>
  <c r="K63" i="29"/>
  <c r="S63" i="29"/>
  <c r="P19" i="29"/>
  <c r="D63" i="29"/>
  <c r="L63" i="29"/>
  <c r="T63" i="29"/>
  <c r="E63" i="29"/>
  <c r="M63" i="29"/>
  <c r="S19" i="28"/>
  <c r="K23" i="28"/>
  <c r="A31" i="28"/>
  <c r="A33" i="28"/>
  <c r="A37" i="28"/>
  <c r="A39" i="28"/>
  <c r="A41" i="28"/>
  <c r="A45" i="28"/>
  <c r="A47" i="28"/>
  <c r="A49" i="28"/>
  <c r="G57" i="28"/>
  <c r="O57" i="28"/>
  <c r="G59" i="28"/>
  <c r="O59" i="28"/>
  <c r="G63" i="28"/>
  <c r="O63" i="28"/>
  <c r="D19" i="28"/>
  <c r="L19" i="28"/>
  <c r="T23" i="28"/>
  <c r="H59" i="28"/>
  <c r="P59" i="28"/>
  <c r="H63" i="28"/>
  <c r="P63" i="28"/>
  <c r="E19" i="28"/>
  <c r="M19" i="28"/>
  <c r="U19" i="28"/>
  <c r="I57" i="28"/>
  <c r="Q57" i="28"/>
  <c r="I63" i="28"/>
  <c r="Q63" i="28"/>
  <c r="R19" i="28"/>
  <c r="V19" i="28"/>
  <c r="V23" i="28"/>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J23" i="26"/>
  <c r="A31" i="26"/>
  <c r="A33" i="26"/>
  <c r="A37" i="26"/>
  <c r="A39" i="26"/>
  <c r="A41" i="26"/>
  <c r="A45" i="26"/>
  <c r="A47" i="26"/>
  <c r="A49" i="26"/>
  <c r="G57" i="26"/>
  <c r="O57" i="26"/>
  <c r="G59" i="26"/>
  <c r="O59" i="26"/>
  <c r="G63" i="26"/>
  <c r="O63" i="26"/>
  <c r="T19" i="26"/>
  <c r="T23" i="26"/>
  <c r="H63" i="26"/>
  <c r="P63" i="26"/>
  <c r="M19" i="26"/>
  <c r="M23" i="26"/>
  <c r="I57" i="26"/>
  <c r="Q57" i="26"/>
  <c r="I59" i="26"/>
  <c r="I64" i="26" s="1"/>
  <c r="I65" i="26" s="1"/>
  <c r="Q59" i="26"/>
  <c r="Q64" i="26" s="1"/>
  <c r="I63" i="26"/>
  <c r="Q63" i="26"/>
  <c r="N19" i="26"/>
  <c r="V23" i="26"/>
  <c r="B63" i="26"/>
  <c r="J63" i="26"/>
  <c r="R63" i="26"/>
  <c r="O19" i="26"/>
  <c r="A32" i="26"/>
  <c r="A34" i="26"/>
  <c r="A40" i="26"/>
  <c r="A42" i="26"/>
  <c r="A48" i="26"/>
  <c r="A50" i="26"/>
  <c r="C63" i="26"/>
  <c r="K63" i="26"/>
  <c r="S63" i="26"/>
  <c r="P19" i="26"/>
  <c r="D63" i="26"/>
  <c r="L63" i="26"/>
  <c r="I19" i="26"/>
  <c r="J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T19" i="23"/>
  <c r="L23" i="23"/>
  <c r="T23" i="23"/>
  <c r="M19"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T23" i="22"/>
  <c r="A31" i="22"/>
  <c r="A33" i="22"/>
  <c r="A41" i="22"/>
  <c r="A47" i="22"/>
  <c r="M19" i="22"/>
  <c r="U23" i="22"/>
  <c r="I57" i="22"/>
  <c r="Q57" i="22"/>
  <c r="K19" i="22"/>
  <c r="A39" i="22"/>
  <c r="A49" i="22"/>
  <c r="V19" i="22"/>
  <c r="V23" i="22"/>
  <c r="G19"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C57" i="21"/>
  <c r="K57" i="21"/>
  <c r="S57" i="21"/>
  <c r="G19" i="21"/>
  <c r="G20" i="21" s="1"/>
  <c r="Q19" i="21"/>
  <c r="J23" i="21"/>
  <c r="J24" i="21" s="1"/>
  <c r="R23" i="21"/>
  <c r="R24" i="21" s="1"/>
  <c r="I19" i="21"/>
  <c r="I20" i="21" s="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K65" i="21"/>
  <c r="C65" i="21"/>
  <c r="D65" i="21"/>
  <c r="N66" i="21"/>
  <c r="N65" i="21"/>
  <c r="H64" i="26"/>
  <c r="H65" i="26" s="1"/>
  <c r="D64" i="30"/>
  <c r="D65" i="30" s="1"/>
  <c r="L64" i="28"/>
  <c r="L65" i="28" s="1"/>
  <c r="K64" i="30"/>
  <c r="K65" i="30" s="1"/>
  <c r="L64" i="23"/>
  <c r="L65" i="23" s="1"/>
  <c r="L64" i="30"/>
  <c r="L65" i="30" s="1"/>
  <c r="M66" i="26"/>
  <c r="M65" i="26"/>
  <c r="L64" i="26"/>
  <c r="L65" i="26" s="1"/>
  <c r="J64" i="28"/>
  <c r="J65" i="28" s="1"/>
  <c r="J64" i="27"/>
  <c r="J65" i="27" s="1"/>
  <c r="I64" i="30"/>
  <c r="I65" i="30" s="1"/>
  <c r="I64" i="27"/>
  <c r="I65" i="27" s="1"/>
  <c r="F64" i="26"/>
  <c r="D64" i="24"/>
  <c r="D65" i="24" s="1"/>
  <c r="C64" i="29"/>
  <c r="C65" i="29" s="1"/>
  <c r="C64" i="26"/>
  <c r="C65" i="26" s="1"/>
  <c r="C64" i="30"/>
  <c r="C65" i="30" s="1"/>
  <c r="C64" i="23"/>
  <c r="C65" i="23" s="1"/>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4" i="30"/>
  <c r="J66" i="28"/>
  <c r="G64" i="26"/>
  <c r="G64" i="29"/>
  <c r="F64" i="22"/>
  <c r="O64" i="26"/>
  <c r="O66" i="26" s="1"/>
  <c r="R66" i="22"/>
  <c r="T66" i="24"/>
  <c r="U66" i="23"/>
  <c r="P64" i="30"/>
  <c r="P66" i="30" s="1"/>
  <c r="P66" i="23"/>
  <c r="E66" i="22"/>
  <c r="T66" i="23"/>
  <c r="Q66" i="21"/>
  <c r="P66" i="21"/>
  <c r="K66" i="27"/>
  <c r="G64" i="23"/>
  <c r="Q66" i="24"/>
  <c r="R66" i="27"/>
  <c r="C66" i="27"/>
  <c r="H66" i="23"/>
  <c r="G64" i="27"/>
  <c r="G66" i="30"/>
  <c r="J66" i="30"/>
  <c r="F64" i="27"/>
  <c r="T66" i="27"/>
  <c r="Q66" i="22"/>
  <c r="C66" i="22"/>
  <c r="T66" i="21"/>
  <c r="S66" i="23"/>
  <c r="H66" i="30"/>
  <c r="E66" i="30"/>
  <c r="S66" i="24"/>
  <c r="L66" i="21"/>
  <c r="S66" i="26"/>
  <c r="L66" i="28"/>
  <c r="T66" i="30"/>
  <c r="H66" i="22"/>
  <c r="R66" i="28"/>
  <c r="N64" i="26"/>
  <c r="O64" i="29"/>
  <c r="O66" i="29" s="1"/>
  <c r="P64" i="29"/>
  <c r="P66" i="29" s="1"/>
  <c r="S64" i="1"/>
  <c r="R66" i="26"/>
  <c r="D66" i="27"/>
  <c r="N64" i="29"/>
  <c r="R66" i="30"/>
  <c r="O66" i="22"/>
  <c r="R64" i="1"/>
  <c r="J66" i="23"/>
  <c r="Q64" i="1"/>
  <c r="U64" i="1"/>
  <c r="P64" i="1"/>
  <c r="E66" i="27"/>
  <c r="J66" i="24"/>
  <c r="Q66" i="29"/>
  <c r="F64" i="29"/>
  <c r="O64" i="23"/>
  <c r="O66" i="23" s="1"/>
  <c r="O64" i="30"/>
  <c r="O66" i="30" s="1"/>
  <c r="N64" i="24"/>
  <c r="B66" i="30"/>
  <c r="B66" i="24"/>
  <c r="K66" i="30"/>
  <c r="R66" i="29"/>
  <c r="I66" i="29"/>
  <c r="S66" i="29"/>
  <c r="T66" i="28"/>
  <c r="D66" i="28"/>
  <c r="Q66" i="28"/>
  <c r="I66" i="28"/>
  <c r="S66" i="28"/>
  <c r="K66" i="28"/>
  <c r="Q66" i="27"/>
  <c r="I66" i="27"/>
  <c r="P66" i="27"/>
  <c r="Q66" i="26"/>
  <c r="P66" i="26"/>
  <c r="C66" i="26"/>
  <c r="I66" i="26"/>
  <c r="H66" i="26"/>
  <c r="L66" i="24"/>
  <c r="I66" i="24"/>
  <c r="P66" i="24"/>
  <c r="I66" i="23"/>
  <c r="N66" i="23"/>
  <c r="E66" i="23"/>
  <c r="I66" i="22"/>
  <c r="M66" i="22"/>
  <c r="S66" i="22"/>
  <c r="K66" i="22"/>
  <c r="T66" i="22"/>
  <c r="K66" i="21"/>
  <c r="C66" i="21"/>
  <c r="D66" i="21"/>
  <c r="R66" i="21"/>
  <c r="N64" i="1"/>
  <c r="N65" i="1" s="1"/>
  <c r="M64" i="1"/>
  <c r="T64" i="1"/>
  <c r="L64" i="1"/>
  <c r="L65" i="1" s="1"/>
  <c r="J64" i="1"/>
  <c r="J65" i="1" s="1"/>
  <c r="K64" i="1"/>
  <c r="O64" i="1"/>
  <c r="C64" i="1"/>
  <c r="C65" i="1" s="1"/>
  <c r="I64" i="1"/>
  <c r="H64" i="1"/>
  <c r="G64" i="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L66" i="23" l="1"/>
  <c r="L66" i="22"/>
  <c r="I66" i="30"/>
  <c r="C66" i="29"/>
  <c r="M65" i="1"/>
  <c r="K65" i="1"/>
  <c r="I65" i="1"/>
  <c r="H65" i="1"/>
  <c r="G65" i="1"/>
  <c r="D65" i="1"/>
  <c r="B65" i="1"/>
  <c r="N66" i="30"/>
  <c r="N65" i="30"/>
  <c r="N66" i="29"/>
  <c r="N65" i="29"/>
  <c r="N66" i="24"/>
  <c r="N65" i="24"/>
  <c r="N66" i="27"/>
  <c r="N65" i="27"/>
  <c r="N66" i="26"/>
  <c r="N65" i="26"/>
  <c r="N66" i="28"/>
  <c r="N65" i="28"/>
  <c r="M66" i="29"/>
  <c r="L66" i="26"/>
  <c r="M66" i="24"/>
  <c r="D66" i="24"/>
  <c r="M66" i="28"/>
  <c r="L66" i="29"/>
  <c r="D66" i="30"/>
  <c r="M66" i="30"/>
  <c r="M65" i="30"/>
  <c r="M66" i="23"/>
  <c r="M65" i="23"/>
  <c r="M66" i="21"/>
  <c r="K66" i="29"/>
  <c r="K65" i="29"/>
  <c r="L66" i="27"/>
  <c r="L65" i="27"/>
  <c r="K66" i="24"/>
  <c r="M66" i="27"/>
  <c r="M65" i="27"/>
  <c r="L66" i="30"/>
  <c r="K66" i="26"/>
  <c r="K65" i="26"/>
  <c r="K66" i="23"/>
  <c r="K65" i="23"/>
  <c r="J66" i="26"/>
  <c r="J66" i="27"/>
  <c r="J66" i="29"/>
  <c r="J65" i="29"/>
  <c r="J66" i="21"/>
  <c r="J65" i="21"/>
  <c r="J66" i="22"/>
  <c r="J65" i="22"/>
  <c r="I66" i="21"/>
  <c r="I65" i="21"/>
  <c r="H66" i="27"/>
  <c r="H65" i="27"/>
  <c r="H66" i="24"/>
  <c r="H65" i="24"/>
  <c r="H66" i="21"/>
  <c r="H66" i="28"/>
  <c r="H65" i="28"/>
  <c r="H66" i="29"/>
  <c r="H65" i="29"/>
  <c r="G66" i="28"/>
  <c r="G65" i="28"/>
  <c r="G66" i="26"/>
  <c r="G65" i="26"/>
  <c r="G66" i="23"/>
  <c r="G65" i="23"/>
  <c r="G66" i="21"/>
  <c r="G65" i="21"/>
  <c r="G66" i="24"/>
  <c r="G65" i="24"/>
  <c r="G66" i="22"/>
  <c r="G65" i="22"/>
  <c r="G66" i="29"/>
  <c r="G65" i="29"/>
  <c r="G66" i="27"/>
  <c r="G65" i="27"/>
  <c r="F66" i="27"/>
  <c r="F65" i="27"/>
  <c r="F66" i="28"/>
  <c r="F65" i="28"/>
  <c r="F66" i="24"/>
  <c r="F65" i="24"/>
  <c r="F66" i="29"/>
  <c r="F65" i="29"/>
  <c r="F66" i="30"/>
  <c r="F65" i="30"/>
  <c r="F66" i="21"/>
  <c r="F65" i="21"/>
  <c r="F66" i="23"/>
  <c r="F65" i="23"/>
  <c r="F66" i="22"/>
  <c r="F65" i="22"/>
  <c r="F66" i="26"/>
  <c r="F65" i="26"/>
  <c r="E66" i="26"/>
  <c r="E65" i="26"/>
  <c r="E66" i="24"/>
  <c r="E65" i="24"/>
  <c r="E66" i="29"/>
  <c r="E65" i="29"/>
  <c r="E66" i="21"/>
  <c r="E65" i="21"/>
  <c r="E66" i="28"/>
  <c r="E65" i="28"/>
  <c r="D66" i="22"/>
  <c r="D66" i="23"/>
  <c r="D66" i="26"/>
  <c r="D66" i="29"/>
  <c r="C66" i="23"/>
  <c r="C66" i="30"/>
  <c r="C66" i="24"/>
  <c r="C65" i="24"/>
  <c r="C66" i="28"/>
  <c r="C65" i="28"/>
  <c r="B66" i="21"/>
  <c r="B65" i="21"/>
  <c r="B66" i="27"/>
  <c r="B65" i="27"/>
  <c r="B66" i="28"/>
  <c r="B65" i="28"/>
  <c r="B66" i="26"/>
  <c r="B65" i="26"/>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<sst xmlns="http://schemas.openxmlformats.org/spreadsheetml/2006/main" count="2133" uniqueCount="175">
  <si>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</si>
  <si>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</si>
  <si>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</si>
  <si>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</si>
  <si>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</si>
  <si>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</si>
  <si>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</si>
  <si>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</si>
  <si>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</si>
  <si>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</si>
  <si>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</si>
  <si>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</si>
  <si>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</si>
  <si>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</si>
  <si>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</si>
  <si>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</si>
  <si>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</si>
  <si>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</si>
  <si>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</si>
  <si>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</si>
  <si>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</si>
  <si>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</si>
  <si>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</si>
  <si>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</si>
  <si>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</si>
  <si>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</si>
  <si>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</si>
  <si>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</si>
  <si>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</si>
  <si>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</si>
  <si>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</si>
  <si>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</si>
  <si>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</si>
  <si>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</si>
  <si>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</si>
  <si>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</si>
  <si>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</si>
  <si>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</si>
  <si>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</si>
  <si>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</si>
  <si>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</si>
  <si>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</si>
  <si>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</si>
  <si>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</si>
  <si>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</si>
  <si>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</si>
  <si>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</si>
  <si>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</si>
  <si>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</si>
  <si>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</si>
  <si>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</si>
  <si>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</si>
  <si>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</si>
  <si>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</si>
  <si>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</si>
  <si>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</si>
  <si>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</si>
  <si>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</si>
  <si>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</si>
  <si>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</si>
  <si>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</si>
  <si>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</si>
  <si>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</si>
  <si>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</si>
  <si>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</si>
  <si>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</si>
  <si>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</si>
  <si>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</si>
  <si>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</si>
  <si>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</si>
  <si>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</si>
  <si>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</si>
  <si>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</si>
  <si>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</si>
  <si>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</si>
  <si>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</si>
  <si>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</si>
  <si>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</si>
  <si>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</si>
  <si>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</si>
  <si>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</si>
  <si>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</si>
  <si>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</si>
  <si>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</si>
  <si>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</si>
  <si>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</si>
  <si>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</si>
  <si>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</si>
  <si>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</si>
  <si>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</si>
  <si>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</si>
  <si>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</si>
  <si>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</si>
  <si>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</si>
  <si>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</si>
  <si>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</si>
  <si>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</si>
  <si>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</si>
  <si>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</si>
  <si>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</si>
  <si>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</si>
  <si>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</si>
  <si>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</si>
  <si>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</si>
  <si>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</si>
  <si>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</si>
  <si>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</si>
  <si>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</si>
  <si>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</si>
  <si>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</si>
  <si>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</si>
  <si>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</si>
  <si>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</si>
  <si>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</si>
  <si>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</si>
  <si>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</si>
  <si>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</si>
  <si>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</si>
  <si>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</si>
  <si>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</si>
  <si>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</si>
  <si>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</si>
  <si>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</si>
  <si>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</si>
  <si>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</si>
  <si>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</si>
  <si>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</si>
  <si>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</si>
  <si>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</si>
  <si>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</si>
  <si>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</si>
  <si>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</si>
  <si>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</si>
  <si>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</si>
  <si>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</si>
  <si>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</si>
  <si>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</si>
  <si>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</si>
  <si>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</si>
  <si>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</si>
  <si>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</si>
  <si>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</si>
  <si>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</si>
  <si>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</si>
  <si>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</si>
  <si>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</si>
  <si>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</si>
  <si>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</si>
  <si>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</si>
  <si>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</si>
  <si>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</si>
  <si>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</si>
  <si>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</si>
  <si>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</si>
  <si>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</si>
  <si>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</si>
  <si>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</si>
  <si>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</si>
  <si>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</si>
  <si>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</si>
  <si>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PAN-020931 </t>
  </si>
  <si>
    <t>EPR/AB3891CX</t>
  </si>
  <si>
    <t>Stepside Agri</t>
  </si>
  <si>
    <t>Ffynnoncyff farm, Ferwig, Cardigan, Ceredigion, SA43 1QD</t>
  </si>
  <si>
    <t>Ethan Banfield</t>
  </si>
  <si>
    <t>2/0278</t>
  </si>
  <si>
    <t>F7</t>
  </si>
  <si>
    <t>F29</t>
  </si>
  <si>
    <t>F30</t>
  </si>
  <si>
    <t>moderate</t>
  </si>
  <si>
    <t>Volac</t>
  </si>
  <si>
    <t>Penderyn</t>
  </si>
  <si>
    <t xml:space="preserve">bolton hill </t>
  </si>
  <si>
    <t>02 02 04</t>
  </si>
  <si>
    <t>02 07 02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</si>
</sst>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17" fontId="5" fillId="3" borderId="3" xfId="0" applyNumberFormat="1" applyFont="1" applyFill="1" applyBorder="1" applyAlignment="1" applyProtection="1">
      <alignment horizontal="center" vertical="top"/>
      <protection locked="0"/>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I1"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49.7</v>
      </c>
      <c r="G1" s="123" t="s">
        <v>43</v>
      </c>
      <c r="H1" s="124"/>
      <c r="I1" s="96">
        <v>7.1</v>
      </c>
      <c r="J1" s="127" t="s">
        <v>153</v>
      </c>
      <c r="K1" s="127"/>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173</v>
      </c>
      <c r="G2" s="125" t="s">
        <v>110</v>
      </c>
      <c r="H2" s="126"/>
      <c r="I2" s="96">
        <v>830</v>
      </c>
      <c r="J2" s="127" t="s">
        <v>158</v>
      </c>
      <c r="K2" s="127"/>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200</v>
      </c>
      <c r="J3" s="123" t="s">
        <v>154</v>
      </c>
      <c r="K3" s="124"/>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8" t="s">
        <v>163</v>
      </c>
      <c r="D4" s="122"/>
      <c r="E4" s="94" t="s">
        <v>1</v>
      </c>
      <c r="F4" s="95" t="s">
        <v>170</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9" t="s">
        <v>164</v>
      </c>
      <c r="D5" s="129"/>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165</v>
      </c>
      <c r="D8" s="15" t="s">
        <v>166</v>
      </c>
      <c r="E8" s="148">
        <v>8</v>
      </c>
      <c r="F8" s="15">
        <v>9</v>
      </c>
      <c r="G8" s="15">
        <v>11</v>
      </c>
      <c r="H8" s="15">
        <v>12</v>
      </c>
      <c r="I8" s="15">
        <v>13</v>
      </c>
      <c r="J8" s="15">
        <v>20</v>
      </c>
      <c r="K8" s="15">
        <v>21</v>
      </c>
      <c r="L8" s="15">
        <v>24</v>
      </c>
      <c r="M8" s="15" t="s">
        <v>167</v>
      </c>
      <c r="N8" s="15" t="s">
        <v>168</v>
      </c>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v>1</v>
      </c>
      <c r="E9" s="15">
        <v>1</v>
      </c>
      <c r="F9" s="15">
        <v>1</v>
      </c>
      <c r="G9" s="15">
        <v>1</v>
      </c>
      <c r="H9" s="15">
        <v>1</v>
      </c>
      <c r="I9" s="15">
        <v>1</v>
      </c>
      <c r="J9" s="15">
        <v>1</v>
      </c>
      <c r="K9" s="15" t="s">
        <v>169</v>
      </c>
      <c r="L9" s="15" t="s">
        <v>169</v>
      </c>
      <c r="M9" s="15" t="s">
        <v>169</v>
      </c>
      <c r="N9" s="15" t="s">
        <v>169</v>
      </c>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6.4</v>
      </c>
      <c r="D10" s="15">
        <v>6.7</v>
      </c>
      <c r="E10" s="15">
        <v>6.4</v>
      </c>
      <c r="F10" s="15">
        <v>6.3</v>
      </c>
      <c r="G10" s="15">
        <v>6.3</v>
      </c>
      <c r="H10" s="15">
        <v>6.9</v>
      </c>
      <c r="I10" s="15">
        <v>7</v>
      </c>
      <c r="J10" s="15">
        <v>6.9</v>
      </c>
      <c r="K10" s="15">
        <v>7</v>
      </c>
      <c r="L10" s="15">
        <v>6.2</v>
      </c>
      <c r="M10" s="15">
        <v>6.4</v>
      </c>
      <c r="N10" s="15">
        <v>6.6</v>
      </c>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3</v>
      </c>
      <c r="E11" s="15">
        <v>2</v>
      </c>
      <c r="F11" s="15">
        <v>2</v>
      </c>
      <c r="G11" s="15">
        <v>2</v>
      </c>
      <c r="H11" s="15">
        <v>3</v>
      </c>
      <c r="I11" s="15">
        <v>3</v>
      </c>
      <c r="J11" s="15">
        <v>3</v>
      </c>
      <c r="K11" s="15">
        <v>3</v>
      </c>
      <c r="L11" s="15">
        <v>3</v>
      </c>
      <c r="M11" s="15">
        <v>3</v>
      </c>
      <c r="N11" s="15">
        <v>3</v>
      </c>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2</v>
      </c>
      <c r="E12" s="15">
        <v>1</v>
      </c>
      <c r="F12" s="15">
        <v>1</v>
      </c>
      <c r="G12" s="15">
        <v>1</v>
      </c>
      <c r="H12" s="15">
        <v>2</v>
      </c>
      <c r="I12" s="15">
        <v>2</v>
      </c>
      <c r="J12" s="15">
        <v>3</v>
      </c>
      <c r="K12" s="15">
        <v>2</v>
      </c>
      <c r="L12" s="15">
        <v>3</v>
      </c>
      <c r="M12" s="15">
        <v>2</v>
      </c>
      <c r="N12" s="15">
        <v>1</v>
      </c>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4</v>
      </c>
      <c r="D13" s="15">
        <v>2</v>
      </c>
      <c r="E13" s="15">
        <v>4</v>
      </c>
      <c r="F13" s="15">
        <v>4</v>
      </c>
      <c r="G13" s="15">
        <v>4</v>
      </c>
      <c r="H13" s="15">
        <v>2</v>
      </c>
      <c r="I13" s="15">
        <v>2</v>
      </c>
      <c r="J13" s="15">
        <v>2</v>
      </c>
      <c r="K13" s="15">
        <v>2</v>
      </c>
      <c r="L13" s="15">
        <v>2</v>
      </c>
      <c r="M13" s="15">
        <v>2</v>
      </c>
      <c r="N13" s="15">
        <v>2</v>
      </c>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7" t="s">
        <v>8</v>
      </c>
      <c r="B14" s="137"/>
      <c r="C14" s="100" t="s">
        <v>68</v>
      </c>
      <c r="D14" s="100" t="s">
        <v>68</v>
      </c>
      <c r="E14" s="100" t="s">
        <v>105</v>
      </c>
      <c r="F14" s="100" t="s">
        <v>105</v>
      </c>
      <c r="G14" s="100" t="s">
        <v>68</v>
      </c>
      <c r="H14" s="100" t="s">
        <v>105</v>
      </c>
      <c r="I14" s="100" t="s">
        <v>105</v>
      </c>
      <c r="J14" s="100" t="s">
        <v>68</v>
      </c>
      <c r="K14" s="100" t="s">
        <v>113</v>
      </c>
      <c r="L14" s="100" t="s">
        <v>113</v>
      </c>
      <c r="M14" s="100" t="s">
        <v>113</v>
      </c>
      <c r="N14" s="100" t="s">
        <v>113</v>
      </c>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6" t="s">
        <v>9</v>
      </c>
      <c r="B15" s="136"/>
      <c r="C15" s="15">
        <v>6.5</v>
      </c>
      <c r="D15" s="15">
        <v>6.5</v>
      </c>
      <c r="E15" s="15">
        <v>45</v>
      </c>
      <c r="F15" s="15">
        <v>45</v>
      </c>
      <c r="G15" s="15">
        <v>6.5</v>
      </c>
      <c r="H15" s="15">
        <v>45</v>
      </c>
      <c r="I15" s="15">
        <v>45</v>
      </c>
      <c r="J15" s="15">
        <v>6.5</v>
      </c>
      <c r="K15" s="15">
        <v>47</v>
      </c>
      <c r="L15" s="15">
        <v>47</v>
      </c>
      <c r="M15" s="15">
        <v>47</v>
      </c>
      <c r="N15" s="15">
        <v>47</v>
      </c>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54.681588000000005</v>
      </c>
      <c r="D18" s="16">
        <f>$D32</f>
        <v>54.681588000000005</v>
      </c>
      <c r="E18" s="16">
        <f>$D33</f>
        <v>62.722998000000004</v>
      </c>
      <c r="F18" s="16">
        <f>$D34</f>
        <v>62.722998000000004</v>
      </c>
      <c r="G18" s="16">
        <f>$D35</f>
        <v>54.681588000000005</v>
      </c>
      <c r="H18" s="16">
        <f>$D36</f>
        <v>62.722998000000004</v>
      </c>
      <c r="I18" s="16">
        <f>$D37</f>
        <v>62.722998000000004</v>
      </c>
      <c r="J18" s="16">
        <f>$D38</f>
        <v>54.681588000000005</v>
      </c>
      <c r="K18" s="16">
        <f>$D39</f>
        <v>64.331280000000007</v>
      </c>
      <c r="L18" s="16">
        <f>$D40</f>
        <v>64.331280000000007</v>
      </c>
      <c r="M18" s="16">
        <f>$D41</f>
        <v>64.331280000000007</v>
      </c>
      <c r="N18" s="16">
        <f>$D42</f>
        <v>64.331280000000007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-0.56841199999999503</v>
      </c>
      <c r="D19" s="16">
        <f t="shared" ref="D19:V19" si="1">D18-D17</f>
        <v>-0.56841199999999503</v>
      </c>
      <c r="E19" s="16">
        <f t="shared" si="1"/>
        <v>-0.27700199999998887</v>
      </c>
      <c r="F19" s="16">
        <f t="shared" si="1"/>
        <v>-0.27700199999998887</v>
      </c>
      <c r="G19" s="16">
        <f t="shared" si="1"/>
        <v>-0.56841199999999503</v>
      </c>
      <c r="H19" s="16">
        <f t="shared" si="1"/>
        <v>-0.27700199999998887</v>
      </c>
      <c r="I19" s="16">
        <f t="shared" si="1"/>
        <v>-0.27700199999998887</v>
      </c>
      <c r="J19" s="16">
        <f t="shared" si="1"/>
        <v>-0.56841199999999503</v>
      </c>
      <c r="K19" s="16">
        <f t="shared" si="1"/>
        <v>-15.568719999999985</v>
      </c>
      <c r="L19" s="16">
        <f t="shared" si="1"/>
        <v>-15.568719999999985</v>
      </c>
      <c r="M19" s="16">
        <f t="shared" si="1"/>
        <v>-15.568719999999985</v>
      </c>
      <c r="N19" s="16">
        <f t="shared" si="1"/>
        <v>-15.568719999999985</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33.718310000000002</v>
      </c>
      <c r="D22" s="16">
        <f>$E32</f>
        <v>33.718310000000002</v>
      </c>
      <c r="E22" s="16">
        <f>$E33</f>
        <v>38.676885000000006</v>
      </c>
      <c r="F22" s="16">
        <f>$E34</f>
        <v>38.676885000000006</v>
      </c>
      <c r="G22" s="16">
        <f>$E35</f>
        <v>33.718310000000002</v>
      </c>
      <c r="H22" s="16">
        <f>$E36</f>
        <v>38.676885000000006</v>
      </c>
      <c r="I22" s="16">
        <f>$E37</f>
        <v>38.676885000000006</v>
      </c>
      <c r="J22" s="16">
        <f>$E38</f>
        <v>33.718310000000002</v>
      </c>
      <c r="K22" s="16">
        <f>$E39</f>
        <v>39.668600000000005</v>
      </c>
      <c r="L22" s="16">
        <f>$E40</f>
        <v>39.668600000000005</v>
      </c>
      <c r="M22" s="16">
        <f>$E41</f>
        <v>39.668600000000005</v>
      </c>
      <c r="N22" s="16">
        <f>$E42</f>
        <v>39.668600000000005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-44.281689999999998</v>
      </c>
      <c r="D23" s="16">
        <f t="shared" ref="D23:V23" si="3">D22-D21</f>
        <v>-44.281689999999998</v>
      </c>
      <c r="E23" s="16">
        <f t="shared" si="3"/>
        <v>-159.32311500000003</v>
      </c>
      <c r="F23" s="16">
        <f t="shared" si="3"/>
        <v>-159.32311500000003</v>
      </c>
      <c r="G23" s="16">
        <f t="shared" si="3"/>
        <v>-44.281689999999998</v>
      </c>
      <c r="H23" s="16">
        <f t="shared" si="3"/>
        <v>-159.32311500000003</v>
      </c>
      <c r="I23" s="16">
        <f t="shared" si="3"/>
        <v>-159.32311500000003</v>
      </c>
      <c r="J23" s="16">
        <f t="shared" si="3"/>
        <v>-44.281689999999998</v>
      </c>
      <c r="K23" s="16">
        <f t="shared" si="3"/>
        <v>-242.3314</v>
      </c>
      <c r="L23" s="16">
        <f t="shared" si="3"/>
        <v>-242.3314</v>
      </c>
      <c r="M23" s="16">
        <f t="shared" si="3"/>
        <v>-242.3314</v>
      </c>
      <c r="N23" s="16">
        <f t="shared" si="3"/>
        <v>-242.3314</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v>34</v>
      </c>
      <c r="C31" s="77">
        <f>IF(C$27="%w/w SAR",((C$28*10)*$B31),IF(C$27="%w/w DM",(((C$28*10)*($B$28/100))*$B31),IF(C$27="kg/t SAR",(C$28*$B31),IF(C$27="kg/t DM",((C$28*($B$28/100))*$B31),IF(C$27="mg/kg SAR",((C$28*0.001)*$B31),IF(C$27="mg/kg DM",(((C$28*0.001)*($B$28/100))*$B31),0))))))</f>
        <v>23.8</v>
      </c>
      <c r="D31" s="77">
        <f>(IF(D$27="%w/w SAR",((D$28*10)*$B31),IF(D$27="%w/w DM",(((D$28*10)*($B$28/100))*$B31),IF(D$27="kg/t SAR",(D$28*$B31),IF(D$27="kg/t DM",((D$28*($B$28/100))*$B31),IF(D$27="mg/kg SAR",((D$28*0.001)*$B31),IF(D$27="mg/kg DM",(((D$28*0.001)*($B$28/100))*$B31),"0")))))))*2.291</f>
        <v>54.681588000000005</v>
      </c>
      <c r="E31" s="77">
        <f>(IF(E$27="%w/w SAR",((E$28*10)*$B31),IF(E$27="%w/w DM",(((E$28*10)*($B$28/100))*$B31),IF(E$27="kg/t SAR",(E$28*$B31),IF(E$27="kg/t DM",((E$28*($B$28/100))*$B31),IF(E$27="mg/kg SAR",((E$28*0.001)*$B31),IF(E$27="mg/kg DM",(((E$28*0.001)*($B$28/100))*$B31),"0")))))))*1.205</f>
        <v>33.718310000000002</v>
      </c>
      <c r="F31" s="77">
        <f>(IF(F$27="%w/w SAR",((F$28*10)*$B31),IF(F$27="%w/w DM",(((F$28*10)*($B$28/100))*$B31),IF(F$27="kg/t SAR",(F$28*$B31),IF(F$27="kg/t DM",((F$28*($B$28/100))*$B31),IF(F$27="mg/kg SAR",((F$28*0.001)*$B31),IF(F$27="mg/kg DM",(((F$28*0.001)*($B$28/100))*$B31),"0")))))))*1.658</f>
        <v>8.9067759999999989</v>
      </c>
      <c r="G31" s="77">
        <f t="shared" ref="G31:P31" si="5">IF(G$27="%w/w SAR",((G$28*10)*$B31),IF(G$27="%w/w DM",(((G$28*10)*($B$28/100))*$B31),IF(G$27="kg/t SAR",(G$28*$B31),IF(G$27="kg/t DM",((G$28*($B$28/100))*$B31),IF(G$27="mg/kg SAR",((G$28*0.001)*$B31),IF(G$27="mg/kg DM",(((G$28*0.001)*($B$28/100))*$B31),0))))))</f>
        <v>2.5159999999999998E-2</v>
      </c>
      <c r="H31" s="77">
        <f t="shared" si="5"/>
        <v>4.8959999999999997E-2</v>
      </c>
      <c r="I31" s="77">
        <f t="shared" si="5"/>
        <v>1.7000000000000001E-2</v>
      </c>
      <c r="J31" s="77">
        <f t="shared" si="5"/>
        <v>3.4000000000000002E-4</v>
      </c>
      <c r="K31" s="77">
        <f t="shared" si="5"/>
        <v>1.7000000000000001E-3</v>
      </c>
      <c r="L31" s="77">
        <f t="shared" si="5"/>
        <v>8.1600000000000006E-3</v>
      </c>
      <c r="M31" s="77">
        <f t="shared" si="5"/>
        <v>6.8000000000000005E-3</v>
      </c>
      <c r="N31" s="77">
        <f t="shared" si="5"/>
        <v>0</v>
      </c>
      <c r="O31" s="77">
        <f t="shared" si="5"/>
        <v>0</v>
      </c>
      <c r="P31" s="77">
        <f t="shared" si="5"/>
        <v>16.489999999999998</v>
      </c>
      <c r="Q31" s="77">
        <f>(IF(Q$27="%w/w SAR",((Q$28*10)*$B31),IF(Q$27="%w/w DM",(((Q$28*10)*($B$28/100))*$B31),IF(Q$27="kg/t SAR",(Q$28*$B31),IF(Q$27="kg/t DM",((Q$28*($B$28/100))*$B31),IF(Q$27="mg/kg SAR",((Q$28*0.001)*$B31),IF(Q$27="mg/kg DM",(((Q$28*0.001)*($B$28/100))*$B31),0)))))))*2.5</f>
        <v>13.345000000000001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v>34</v>
      </c>
      <c r="C32" s="77">
        <f t="shared" ref="C32:C50" si="6">IF(C$27="%w/w SAR",((C$28*10)*$B32),IF(C$27="%w/w DM",(((C$28*10)*($B$28/100))*$B32),IF(C$27="kg/t SAR",(C$28*$B32),IF(C$27="kg/t DM",((C$28*($B$28/100))*$B32),IF(C$27="mg/kg SAR",((C$28*0.001)*$B32),IF(C$27="mg/kg DM",(((C$28*0.001)*($B$28/100))*$B32),0))))))</f>
        <v>23.8</v>
      </c>
      <c r="D32" s="77">
        <f t="shared" ref="D32:D50" si="7">(IF(D$27="%w/w SAR",((D$28*10)*$B32),IF(D$27="%w/w DM",(((D$28*10)*($B$28/100))*$B32),IF(D$27="kg/t SAR",(D$28*$B32),IF(D$27="kg/t DM",((D$28*($B$28/100))*$B32),IF(D$27="mg/kg SAR",((D$28*0.001)*$B32),IF(D$27="mg/kg DM",(((D$28*0.001)*($B$28/100))*$B32),"0")))))))*2.291</f>
        <v>54.681588000000005</v>
      </c>
      <c r="E32" s="77">
        <f t="shared" ref="E32:E50" si="8">(IF(E$27="%w/w SAR",((E$28*10)*$B32),IF(E$27="%w/w DM",(((E$28*10)*($B$28/100))*$B32),IF(E$27="kg/t SAR",(E$28*$B32),IF(E$27="kg/t DM",((E$28*($B$28/100))*$B32),IF(E$27="mg/kg SAR",((E$28*0.001)*$B32),IF(E$27="mg/kg DM",(((E$28*0.001)*($B$28/100))*$B32),"0")))))))*1.205</f>
        <v>33.718310000000002</v>
      </c>
      <c r="F32" s="77">
        <f t="shared" ref="F32:F50" si="9">(IF(F$27="%w/w SAR",((F$28*10)*$B32),IF(F$27="%w/w DM",(((F$28*10)*($B$28/100))*$B32),IF(F$27="kg/t SAR",(F$28*$B32),IF(F$27="kg/t DM",((F$28*($B$28/100))*$B32),IF(F$27="mg/kg SAR",((F$28*0.001)*$B32),IF(F$27="mg/kg DM",(((F$28*0.001)*($B$28/100))*$B32),"0")))))))*1.658</f>
        <v>8.9067759999999989</v>
      </c>
      <c r="G32" s="77">
        <f t="shared" ref="G32:P50" si="10">IF(G$27="%w/w SAR",((G$28*10)*$B32),IF(G$27="%w/w DM",(((G$28*10)*($B$28/100))*$B32),IF(G$27="kg/t SAR",(G$28*$B32),IF(G$27="kg/t DM",((G$28*($B$28/100))*$B32),IF(G$27="mg/kg SAR",((G$28*0.001)*$B32),IF(G$27="mg/kg DM",(((G$28*0.001)*($B$28/100))*$B32),0))))))</f>
        <v>2.5159999999999998E-2</v>
      </c>
      <c r="H32" s="77">
        <f t="shared" si="10"/>
        <v>4.8959999999999997E-2</v>
      </c>
      <c r="I32" s="77">
        <f t="shared" si="10"/>
        <v>1.7000000000000001E-2</v>
      </c>
      <c r="J32" s="77">
        <f t="shared" si="10"/>
        <v>3.4000000000000002E-4</v>
      </c>
      <c r="K32" s="77">
        <f t="shared" si="10"/>
        <v>1.7000000000000001E-3</v>
      </c>
      <c r="L32" s="77">
        <f t="shared" si="10"/>
        <v>8.1600000000000006E-3</v>
      </c>
      <c r="M32" s="77">
        <f t="shared" si="10"/>
        <v>6.8000000000000005E-3</v>
      </c>
      <c r="N32" s="77">
        <f t="shared" si="10"/>
        <v>0</v>
      </c>
      <c r="O32" s="77">
        <f t="shared" si="10"/>
        <v>0</v>
      </c>
      <c r="P32" s="77">
        <f t="shared" si="10"/>
        <v>16.489999999999998</v>
      </c>
      <c r="Q32" s="77">
        <f t="shared" ref="Q32:Q50" si="11">(IF(Q$27="%w/w SAR",((Q$28*10)*$B32),IF(Q$27="%w/w DM",(((Q$28*10)*($B$28/100))*$B32),IF(Q$27="kg/t SAR",(Q$28*$B32),IF(Q$27="kg/t DM",((Q$28*($B$28/100))*$B32),IF(Q$27="mg/kg SAR",((Q$28*0.001)*$B32),IF(Q$27="mg/kg DM",(((Q$28*0.001)*($B$28/100))*$B32),0)))))))*2.5</f>
        <v>13.345000000000001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8</v>
      </c>
      <c r="B33" s="15">
        <v>39</v>
      </c>
      <c r="C33" s="77">
        <f t="shared" si="6"/>
        <v>27.300000000000004</v>
      </c>
      <c r="D33" s="77">
        <f t="shared" si="7"/>
        <v>62.722998000000004</v>
      </c>
      <c r="E33" s="77">
        <f t="shared" si="8"/>
        <v>38.676885000000006</v>
      </c>
      <c r="F33" s="77">
        <f t="shared" si="9"/>
        <v>10.216595999999999</v>
      </c>
      <c r="G33" s="77">
        <f t="shared" si="10"/>
        <v>2.886E-2</v>
      </c>
      <c r="H33" s="77">
        <f t="shared" si="10"/>
        <v>5.6159999999999995E-2</v>
      </c>
      <c r="I33" s="77">
        <f t="shared" si="10"/>
        <v>1.95E-2</v>
      </c>
      <c r="J33" s="77">
        <f t="shared" si="10"/>
        <v>3.9000000000000005E-4</v>
      </c>
      <c r="K33" s="77">
        <f t="shared" si="10"/>
        <v>1.9500000000000001E-3</v>
      </c>
      <c r="L33" s="77">
        <f t="shared" si="10"/>
        <v>9.3600000000000003E-3</v>
      </c>
      <c r="M33" s="77">
        <f t="shared" si="10"/>
        <v>7.8000000000000005E-3</v>
      </c>
      <c r="N33" s="77">
        <f t="shared" si="10"/>
        <v>0</v>
      </c>
      <c r="O33" s="77">
        <f t="shared" si="10"/>
        <v>0</v>
      </c>
      <c r="P33" s="77">
        <f t="shared" si="10"/>
        <v>18.914999999999999</v>
      </c>
      <c r="Q33" s="77">
        <f t="shared" si="11"/>
        <v>15.307500000000001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9</v>
      </c>
      <c r="B34" s="15">
        <v>39</v>
      </c>
      <c r="C34" s="77">
        <f t="shared" si="6"/>
        <v>27.300000000000004</v>
      </c>
      <c r="D34" s="77">
        <f t="shared" si="7"/>
        <v>62.722998000000004</v>
      </c>
      <c r="E34" s="77">
        <f t="shared" si="8"/>
        <v>38.676885000000006</v>
      </c>
      <c r="F34" s="77">
        <f t="shared" si="9"/>
        <v>10.216595999999999</v>
      </c>
      <c r="G34" s="77">
        <f t="shared" si="10"/>
        <v>2.886E-2</v>
      </c>
      <c r="H34" s="77">
        <f t="shared" si="10"/>
        <v>5.6159999999999995E-2</v>
      </c>
      <c r="I34" s="77">
        <f t="shared" si="10"/>
        <v>1.95E-2</v>
      </c>
      <c r="J34" s="77">
        <f t="shared" si="10"/>
        <v>3.9000000000000005E-4</v>
      </c>
      <c r="K34" s="77">
        <f t="shared" si="10"/>
        <v>1.9500000000000001E-3</v>
      </c>
      <c r="L34" s="77">
        <f t="shared" si="10"/>
        <v>9.3600000000000003E-3</v>
      </c>
      <c r="M34" s="77">
        <f t="shared" si="10"/>
        <v>7.8000000000000005E-3</v>
      </c>
      <c r="N34" s="77">
        <f t="shared" si="10"/>
        <v>0</v>
      </c>
      <c r="O34" s="77">
        <f t="shared" si="10"/>
        <v>0</v>
      </c>
      <c r="P34" s="77">
        <f t="shared" si="10"/>
        <v>18.914999999999999</v>
      </c>
      <c r="Q34" s="77">
        <f t="shared" si="11"/>
        <v>15.307500000000001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11</v>
      </c>
      <c r="B35" s="15">
        <v>34</v>
      </c>
      <c r="C35" s="77">
        <f t="shared" si="6"/>
        <v>23.8</v>
      </c>
      <c r="D35" s="77">
        <f t="shared" si="7"/>
        <v>54.681588000000005</v>
      </c>
      <c r="E35" s="77">
        <f t="shared" si="8"/>
        <v>33.718310000000002</v>
      </c>
      <c r="F35" s="77">
        <f t="shared" si="9"/>
        <v>8.9067759999999989</v>
      </c>
      <c r="G35" s="77">
        <f t="shared" si="10"/>
        <v>2.5159999999999998E-2</v>
      </c>
      <c r="H35" s="77">
        <f t="shared" si="10"/>
        <v>4.8959999999999997E-2</v>
      </c>
      <c r="I35" s="77">
        <f t="shared" si="10"/>
        <v>1.7000000000000001E-2</v>
      </c>
      <c r="J35" s="77">
        <f t="shared" si="10"/>
        <v>3.4000000000000002E-4</v>
      </c>
      <c r="K35" s="77">
        <f t="shared" si="10"/>
        <v>1.7000000000000001E-3</v>
      </c>
      <c r="L35" s="77">
        <f t="shared" si="10"/>
        <v>8.1600000000000006E-3</v>
      </c>
      <c r="M35" s="77">
        <f t="shared" si="10"/>
        <v>6.8000000000000005E-3</v>
      </c>
      <c r="N35" s="77">
        <f t="shared" si="10"/>
        <v>0</v>
      </c>
      <c r="O35" s="77">
        <f t="shared" si="10"/>
        <v>0</v>
      </c>
      <c r="P35" s="77">
        <f t="shared" si="10"/>
        <v>16.489999999999998</v>
      </c>
      <c r="Q35" s="77">
        <f t="shared" si="11"/>
        <v>13.345000000000001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12</v>
      </c>
      <c r="B36" s="15">
        <v>39</v>
      </c>
      <c r="C36" s="77">
        <f t="shared" si="6"/>
        <v>27.300000000000004</v>
      </c>
      <c r="D36" s="77">
        <f t="shared" si="7"/>
        <v>62.722998000000004</v>
      </c>
      <c r="E36" s="77">
        <f t="shared" si="8"/>
        <v>38.676885000000006</v>
      </c>
      <c r="F36" s="77">
        <f t="shared" si="9"/>
        <v>10.216595999999999</v>
      </c>
      <c r="G36" s="77">
        <f t="shared" si="10"/>
        <v>2.886E-2</v>
      </c>
      <c r="H36" s="77">
        <f t="shared" si="10"/>
        <v>5.6159999999999995E-2</v>
      </c>
      <c r="I36" s="77">
        <f t="shared" si="10"/>
        <v>1.95E-2</v>
      </c>
      <c r="J36" s="77">
        <f t="shared" si="10"/>
        <v>3.9000000000000005E-4</v>
      </c>
      <c r="K36" s="77">
        <f t="shared" si="10"/>
        <v>1.9500000000000001E-3</v>
      </c>
      <c r="L36" s="77">
        <f t="shared" si="10"/>
        <v>9.3600000000000003E-3</v>
      </c>
      <c r="M36" s="77">
        <f t="shared" si="10"/>
        <v>7.8000000000000005E-3</v>
      </c>
      <c r="N36" s="77">
        <f t="shared" si="10"/>
        <v>0</v>
      </c>
      <c r="O36" s="77">
        <f t="shared" si="10"/>
        <v>0</v>
      </c>
      <c r="P36" s="77">
        <f t="shared" si="10"/>
        <v>18.914999999999999</v>
      </c>
      <c r="Q36" s="77">
        <f t="shared" si="11"/>
        <v>15.307500000000001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13</v>
      </c>
      <c r="B37" s="15">
        <v>39</v>
      </c>
      <c r="C37" s="77">
        <f t="shared" si="6"/>
        <v>27.300000000000004</v>
      </c>
      <c r="D37" s="77">
        <f t="shared" si="7"/>
        <v>62.722998000000004</v>
      </c>
      <c r="E37" s="77">
        <f t="shared" si="8"/>
        <v>38.676885000000006</v>
      </c>
      <c r="F37" s="77">
        <f t="shared" si="9"/>
        <v>10.216595999999999</v>
      </c>
      <c r="G37" s="77">
        <f t="shared" si="10"/>
        <v>2.886E-2</v>
      </c>
      <c r="H37" s="77">
        <f t="shared" si="10"/>
        <v>5.6159999999999995E-2</v>
      </c>
      <c r="I37" s="77">
        <f t="shared" si="10"/>
        <v>1.95E-2</v>
      </c>
      <c r="J37" s="77">
        <f t="shared" si="10"/>
        <v>3.9000000000000005E-4</v>
      </c>
      <c r="K37" s="77">
        <f t="shared" si="10"/>
        <v>1.9500000000000001E-3</v>
      </c>
      <c r="L37" s="77">
        <f t="shared" si="10"/>
        <v>9.3600000000000003E-3</v>
      </c>
      <c r="M37" s="77">
        <f t="shared" si="10"/>
        <v>7.8000000000000005E-3</v>
      </c>
      <c r="N37" s="77">
        <f t="shared" si="10"/>
        <v>0</v>
      </c>
      <c r="O37" s="77">
        <f t="shared" si="10"/>
        <v>0</v>
      </c>
      <c r="P37" s="77">
        <f t="shared" si="10"/>
        <v>18.914999999999999</v>
      </c>
      <c r="Q37" s="77">
        <f t="shared" si="11"/>
        <v>15.307500000000001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20</v>
      </c>
      <c r="B38" s="15">
        <v>34</v>
      </c>
      <c r="C38" s="77">
        <f t="shared" si="6"/>
        <v>23.8</v>
      </c>
      <c r="D38" s="77">
        <f t="shared" si="7"/>
        <v>54.681588000000005</v>
      </c>
      <c r="E38" s="77">
        <f t="shared" si="8"/>
        <v>33.718310000000002</v>
      </c>
      <c r="F38" s="77">
        <f t="shared" si="9"/>
        <v>8.9067759999999989</v>
      </c>
      <c r="G38" s="77">
        <f t="shared" si="10"/>
        <v>2.5159999999999998E-2</v>
      </c>
      <c r="H38" s="77">
        <f t="shared" si="10"/>
        <v>4.8959999999999997E-2</v>
      </c>
      <c r="I38" s="77">
        <f t="shared" si="10"/>
        <v>1.7000000000000001E-2</v>
      </c>
      <c r="J38" s="77">
        <f t="shared" si="10"/>
        <v>3.4000000000000002E-4</v>
      </c>
      <c r="K38" s="77">
        <f t="shared" si="10"/>
        <v>1.7000000000000001E-3</v>
      </c>
      <c r="L38" s="77">
        <f t="shared" si="10"/>
        <v>8.1600000000000006E-3</v>
      </c>
      <c r="M38" s="77">
        <f t="shared" si="10"/>
        <v>6.8000000000000005E-3</v>
      </c>
      <c r="N38" s="77">
        <f t="shared" si="10"/>
        <v>0</v>
      </c>
      <c r="O38" s="77">
        <f t="shared" si="10"/>
        <v>0</v>
      </c>
      <c r="P38" s="77">
        <f t="shared" si="10"/>
        <v>16.489999999999998</v>
      </c>
      <c r="Q38" s="77">
        <f t="shared" si="11"/>
        <v>13.345000000000001</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21</v>
      </c>
      <c r="B39" s="15">
        <v>40</v>
      </c>
      <c r="C39" s="77">
        <f t="shared" si="6"/>
        <v>28.000000000000004</v>
      </c>
      <c r="D39" s="77">
        <f t="shared" si="7"/>
        <v>64.331280000000007</v>
      </c>
      <c r="E39" s="77">
        <f t="shared" si="8"/>
        <v>39.668600000000005</v>
      </c>
      <c r="F39" s="77">
        <f t="shared" si="9"/>
        <v>10.47856</v>
      </c>
      <c r="G39" s="77">
        <f t="shared" si="10"/>
        <v>2.9600000000000001E-2</v>
      </c>
      <c r="H39" s="77">
        <f t="shared" si="10"/>
        <v>5.7599999999999998E-2</v>
      </c>
      <c r="I39" s="77">
        <f t="shared" si="10"/>
        <v>0.02</v>
      </c>
      <c r="J39" s="77">
        <f t="shared" si="10"/>
        <v>4.0000000000000002E-4</v>
      </c>
      <c r="K39" s="77">
        <f t="shared" si="10"/>
        <v>2E-3</v>
      </c>
      <c r="L39" s="77">
        <f t="shared" si="10"/>
        <v>9.6000000000000009E-3</v>
      </c>
      <c r="M39" s="77">
        <f t="shared" si="10"/>
        <v>8.0000000000000002E-3</v>
      </c>
      <c r="N39" s="77">
        <f t="shared" si="10"/>
        <v>0</v>
      </c>
      <c r="O39" s="77">
        <f t="shared" si="10"/>
        <v>0</v>
      </c>
      <c r="P39" s="77">
        <f t="shared" si="10"/>
        <v>19.399999999999999</v>
      </c>
      <c r="Q39" s="77">
        <f t="shared" si="11"/>
        <v>15.700000000000001</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24</v>
      </c>
      <c r="B40" s="15">
        <v>40</v>
      </c>
      <c r="C40" s="77">
        <f t="shared" si="6"/>
        <v>28.000000000000004</v>
      </c>
      <c r="D40" s="77">
        <f t="shared" si="7"/>
        <v>64.331280000000007</v>
      </c>
      <c r="E40" s="77">
        <f t="shared" si="8"/>
        <v>39.668600000000005</v>
      </c>
      <c r="F40" s="77">
        <f t="shared" si="9"/>
        <v>10.47856</v>
      </c>
      <c r="G40" s="77">
        <f t="shared" si="10"/>
        <v>2.9600000000000001E-2</v>
      </c>
      <c r="H40" s="77">
        <f t="shared" si="10"/>
        <v>5.7599999999999998E-2</v>
      </c>
      <c r="I40" s="77">
        <f t="shared" si="10"/>
        <v>0.02</v>
      </c>
      <c r="J40" s="77">
        <f t="shared" si="10"/>
        <v>4.0000000000000002E-4</v>
      </c>
      <c r="K40" s="77">
        <f t="shared" si="10"/>
        <v>2E-3</v>
      </c>
      <c r="L40" s="77">
        <f t="shared" si="10"/>
        <v>9.6000000000000009E-3</v>
      </c>
      <c r="M40" s="77">
        <f t="shared" si="10"/>
        <v>8.0000000000000002E-3</v>
      </c>
      <c r="N40" s="77">
        <f t="shared" si="10"/>
        <v>0</v>
      </c>
      <c r="O40" s="77">
        <f t="shared" si="10"/>
        <v>0</v>
      </c>
      <c r="P40" s="77">
        <f t="shared" si="10"/>
        <v>19.399999999999999</v>
      </c>
      <c r="Q40" s="77">
        <f t="shared" si="11"/>
        <v>15.700000000000001</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F29</v>
      </c>
      <c r="B41" s="15">
        <v>40</v>
      </c>
      <c r="C41" s="77">
        <f t="shared" si="6"/>
        <v>28.000000000000004</v>
      </c>
      <c r="D41" s="77">
        <f t="shared" si="7"/>
        <v>64.331280000000007</v>
      </c>
      <c r="E41" s="77">
        <f t="shared" si="8"/>
        <v>39.668600000000005</v>
      </c>
      <c r="F41" s="77">
        <f t="shared" si="9"/>
        <v>10.47856</v>
      </c>
      <c r="G41" s="77">
        <f t="shared" si="10"/>
        <v>2.9600000000000001E-2</v>
      </c>
      <c r="H41" s="77">
        <f t="shared" si="10"/>
        <v>5.7599999999999998E-2</v>
      </c>
      <c r="I41" s="77">
        <f t="shared" si="10"/>
        <v>0.02</v>
      </c>
      <c r="J41" s="77">
        <f t="shared" si="10"/>
        <v>4.0000000000000002E-4</v>
      </c>
      <c r="K41" s="77">
        <f t="shared" si="10"/>
        <v>2E-3</v>
      </c>
      <c r="L41" s="77">
        <f t="shared" si="10"/>
        <v>9.6000000000000009E-3</v>
      </c>
      <c r="M41" s="77">
        <f t="shared" si="10"/>
        <v>8.0000000000000002E-3</v>
      </c>
      <c r="N41" s="77">
        <f t="shared" si="10"/>
        <v>0</v>
      </c>
      <c r="O41" s="77">
        <f t="shared" si="10"/>
        <v>0</v>
      </c>
      <c r="P41" s="77">
        <f t="shared" si="10"/>
        <v>19.399999999999999</v>
      </c>
      <c r="Q41" s="77">
        <f t="shared" si="11"/>
        <v>15.700000000000001</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F30</v>
      </c>
      <c r="B42" s="15">
        <v>40</v>
      </c>
      <c r="C42" s="77">
        <f t="shared" si="6"/>
        <v>28.000000000000004</v>
      </c>
      <c r="D42" s="77">
        <f t="shared" si="7"/>
        <v>64.331280000000007</v>
      </c>
      <c r="E42" s="77">
        <f t="shared" si="8"/>
        <v>39.668600000000005</v>
      </c>
      <c r="F42" s="77">
        <f t="shared" si="9"/>
        <v>10.47856</v>
      </c>
      <c r="G42" s="77">
        <f t="shared" si="10"/>
        <v>2.9600000000000001E-2</v>
      </c>
      <c r="H42" s="77">
        <f t="shared" si="10"/>
        <v>5.7599999999999998E-2</v>
      </c>
      <c r="I42" s="77">
        <f t="shared" si="10"/>
        <v>0.02</v>
      </c>
      <c r="J42" s="77">
        <f t="shared" si="10"/>
        <v>4.0000000000000002E-4</v>
      </c>
      <c r="K42" s="77">
        <f t="shared" si="10"/>
        <v>2E-3</v>
      </c>
      <c r="L42" s="77">
        <f t="shared" si="10"/>
        <v>9.6000000000000009E-3</v>
      </c>
      <c r="M42" s="77">
        <f t="shared" si="10"/>
        <v>8.0000000000000002E-3</v>
      </c>
      <c r="N42" s="77">
        <f t="shared" si="10"/>
        <v>0</v>
      </c>
      <c r="O42" s="77">
        <f t="shared" si="10"/>
        <v>0</v>
      </c>
      <c r="P42" s="77">
        <f t="shared" si="10"/>
        <v>19.399999999999999</v>
      </c>
      <c r="Q42" s="77">
        <f t="shared" si="11"/>
        <v>15.700000000000001</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f>VLOOKUP(I$14,Table24[],5,FALSE)</f>
        <v>6.7</v>
      </c>
      <c r="I59" s="76">
        <f>VLOOKUP(J$14,Table24[],5,FALSE)</f>
        <v>6.7</v>
      </c>
      <c r="J59" s="76">
        <f>VLOOKUP(K$14,Table24[],5,FALSE)</f>
        <v>6.2</v>
      </c>
      <c r="K59" s="76">
        <f>VLOOKUP(L$14,Table24[],5,FALSE)</f>
        <v>6.2</v>
      </c>
      <c r="L59" s="76">
        <f>VLOOKUP(M$14,Table24[],5,FALSE)</f>
        <v>6.2</v>
      </c>
      <c r="M59" s="76">
        <f>VLOOKUP(N$14,Table24[],5,FALSE)</f>
        <v>6.2</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34</v>
      </c>
      <c r="C62" s="77">
        <f>B32</f>
        <v>34</v>
      </c>
      <c r="D62" s="77">
        <f>B33</f>
        <v>39</v>
      </c>
      <c r="E62" s="77">
        <f>B34</f>
        <v>39</v>
      </c>
      <c r="F62" s="77">
        <f>B35</f>
        <v>34</v>
      </c>
      <c r="G62" s="77">
        <f>B36</f>
        <v>39</v>
      </c>
      <c r="H62" s="77">
        <f>B37</f>
        <v>39</v>
      </c>
      <c r="I62" s="77">
        <f>B38</f>
        <v>34</v>
      </c>
      <c r="J62" s="77">
        <f>B39</f>
        <v>40</v>
      </c>
      <c r="K62" s="77">
        <f>B40</f>
        <v>40</v>
      </c>
      <c r="L62" s="77">
        <f>B41</f>
        <v>40</v>
      </c>
      <c r="M62" s="77">
        <f>B42</f>
        <v>40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v>4.16</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t="s">
        <v>174</v>
      </c>
      <c r="G2" s="125" t="s">
        <v>110</v>
      </c>
      <c r="H2" s="126"/>
      <c r="I2" s="118">
        <v>1114</v>
      </c>
      <c r="J2" s="127" t="s">
        <v>158</v>
      </c>
      <c r="K2" s="127"/>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t="s">
        <v>77</v>
      </c>
      <c r="G3" s="127" t="s">
        <v>159</v>
      </c>
      <c r="H3" s="127"/>
      <c r="I3" s="118"/>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50.058350000000004</v>
      </c>
      <c r="D18" s="16">
        <f>$D32</f>
        <v>50.058350000000004</v>
      </c>
      <c r="E18" s="16">
        <f>$D33</f>
        <v>50.058350000000004</v>
      </c>
      <c r="F18" s="16">
        <f>$D34</f>
        <v>50.058350000000004</v>
      </c>
      <c r="G18" s="16">
        <f>$D35</f>
        <v>50.058350000000004</v>
      </c>
      <c r="H18" s="16">
        <f>$D36</f>
        <v>50.058350000000004</v>
      </c>
      <c r="I18" s="16">
        <f>$D37</f>
        <v>50.058350000000004</v>
      </c>
      <c r="J18" s="16">
        <f>$D38</f>
        <v>50.058350000000004</v>
      </c>
      <c r="K18" s="16">
        <f>$D39</f>
        <v>50.058350000000004</v>
      </c>
      <c r="L18" s="16">
        <f>$D40</f>
        <v>50.058350000000004</v>
      </c>
      <c r="M18" s="16">
        <f>$D41</f>
        <v>50.058350000000004</v>
      </c>
      <c r="N18" s="16">
        <f>$D42</f>
        <v>50.058350000000004</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-5.1916499999999957</v>
      </c>
      <c r="D19" s="16">
        <f t="shared" ref="D19:V19" si="1">D18-D17</f>
        <v>-5.1916499999999957</v>
      </c>
      <c r="E19" s="16">
        <f t="shared" si="1"/>
        <v>-12.941649999999989</v>
      </c>
      <c r="F19" s="16">
        <f t="shared" si="1"/>
        <v>-12.941649999999989</v>
      </c>
      <c r="G19" s="16">
        <f t="shared" si="1"/>
        <v>-5.1916499999999957</v>
      </c>
      <c r="H19" s="16">
        <f t="shared" si="1"/>
        <v>-12.941649999999989</v>
      </c>
      <c r="I19" s="16">
        <f t="shared" si="1"/>
        <v>-12.941649999999989</v>
      </c>
      <c r="J19" s="16">
        <f t="shared" si="1"/>
        <v>-5.1916499999999957</v>
      </c>
      <c r="K19" s="16">
        <f t="shared" si="1"/>
        <v>-29.841649999999987</v>
      </c>
      <c r="L19" s="16">
        <f t="shared" si="1"/>
        <v>-29.841649999999987</v>
      </c>
      <c r="M19" s="16">
        <f t="shared" si="1"/>
        <v>-29.841649999999987</v>
      </c>
      <c r="N19" s="16">
        <f t="shared" si="1"/>
        <v>-29.841649999999987</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48.260250000000006</v>
      </c>
      <c r="D22" s="16">
        <f>$E32</f>
        <v>48.260250000000006</v>
      </c>
      <c r="E22" s="16">
        <f>$E33</f>
        <v>48.260250000000006</v>
      </c>
      <c r="F22" s="16">
        <f>$E34</f>
        <v>48.260250000000006</v>
      </c>
      <c r="G22" s="16">
        <f>$E35</f>
        <v>48.260250000000006</v>
      </c>
      <c r="H22" s="16">
        <f>$E36</f>
        <v>48.260250000000006</v>
      </c>
      <c r="I22" s="16">
        <f>$E37</f>
        <v>48.260250000000006</v>
      </c>
      <c r="J22" s="16">
        <f>$E38</f>
        <v>48.260250000000006</v>
      </c>
      <c r="K22" s="16">
        <f>$E39</f>
        <v>48.260250000000006</v>
      </c>
      <c r="L22" s="16">
        <f>$E40</f>
        <v>48.260250000000006</v>
      </c>
      <c r="M22" s="16">
        <f>$E41</f>
        <v>48.260250000000006</v>
      </c>
      <c r="N22" s="16">
        <f>$E42</f>
        <v>48.260250000000006</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-29.739749999999994</v>
      </c>
      <c r="D23" s="16">
        <f t="shared" ref="D23:V23" si="3">D22-D21</f>
        <v>-29.739749999999994</v>
      </c>
      <c r="E23" s="16">
        <f t="shared" si="3"/>
        <v>-149.73975000000002</v>
      </c>
      <c r="F23" s="16">
        <f t="shared" si="3"/>
        <v>-149.73975000000002</v>
      </c>
      <c r="G23" s="16">
        <f t="shared" si="3"/>
        <v>-29.739749999999994</v>
      </c>
      <c r="H23" s="16">
        <f t="shared" si="3"/>
        <v>-149.73975000000002</v>
      </c>
      <c r="I23" s="16">
        <f t="shared" si="3"/>
        <v>-149.73975000000002</v>
      </c>
      <c r="J23" s="16">
        <f t="shared" si="3"/>
        <v>-29.739749999999994</v>
      </c>
      <c r="K23" s="16">
        <f t="shared" si="3"/>
        <v>-233.73974999999999</v>
      </c>
      <c r="L23" s="16">
        <f t="shared" si="3"/>
        <v>-233.73974999999999</v>
      </c>
      <c r="M23" s="16">
        <f t="shared" si="3"/>
        <v>-233.73974999999999</v>
      </c>
      <c r="N23" s="16">
        <f t="shared" si="3"/>
        <v>-233.73974999999999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2.52</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v>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50.058350000000004</v>
      </c>
      <c r="E31" s="77">
        <f>(IF(E$27="%w/w SAR",((E$28*10)*$B31),IF(E$27="%w/w DM",(((E$28*10)*($B$28/100))*$B31),IF(E$27="kg/t SAR",(E$28*$B31),IF(E$27="kg/t DM",((E$28*($B$28/100))*$B31),IF(E$27="mg/kg SAR",((E$28*0.001)*$B31),IF(E$27="mg/kg DM",(((E$28*0.001)*($B$28/100))*$B31),"0")))))))*1.205</f>
        <v>48.260250000000006</v>
      </c>
      <c r="F31" s="77">
        <f>(IF(F$27="%w/w SAR",((F$28*10)*$B31),IF(F$27="%w/w DM",(((F$28*10)*($B$28/100))*$B31),IF(F$27="kg/t SAR",(F$28*$B31),IF(F$27="kg/t DM",((F$28*($B$28/100))*$B31),IF(F$27="mg/kg SAR",((F$28*0.001)*$B31),IF(F$27="mg/kg DM",(((F$28*0.001)*($B$28/100))*$B31),"0")))))))*1.658</f>
        <v>10.694100000000001</v>
      </c>
      <c r="G31" s="77">
        <f t="shared" ref="G31:P46" si="5">IF(G$27="%w/w SAR",((G$28*10)*$B31),IF(G$27="%w/w DM",(((G$28*10)*($B$28/100))*$B31),IF(G$27="kg/t SAR",(G$28*$B31),IF(G$27="kg/t DM",((G$28*($B$28/100))*$B31),IF(G$27="mg/kg SAR",((G$28*0.001)*$B31),IF(G$27="mg/kg DM",(((G$28*0.001)*($B$28/100))*$B31),0))))))</f>
        <v>0.186</v>
      </c>
      <c r="H31" s="77">
        <f t="shared" si="5"/>
        <v>4.5999999999999999E-2</v>
      </c>
      <c r="I31" s="77">
        <f t="shared" si="5"/>
        <v>2.5000000000000001E-2</v>
      </c>
      <c r="J31" s="77">
        <f t="shared" si="5"/>
        <v>5.0000000000000001E-4</v>
      </c>
      <c r="K31" s="77">
        <f t="shared" si="5"/>
        <v>2.5000000000000001E-3</v>
      </c>
      <c r="L31" s="77">
        <f t="shared" si="5"/>
        <v>0.01</v>
      </c>
      <c r="M31" s="77">
        <f t="shared" si="5"/>
        <v>1.3000000000000001E-2</v>
      </c>
      <c r="N31" s="77">
        <f t="shared" si="5"/>
        <v>0</v>
      </c>
      <c r="O31" s="77">
        <f t="shared" si="5"/>
        <v>0</v>
      </c>
      <c r="P31" s="77">
        <f t="shared" si="5"/>
        <v>45.6</v>
      </c>
      <c r="Q31" s="77">
        <f>(IF(Q$27="%w/w SAR",((Q$28*10)*$B31),IF(Q$27="%w/w DM",(((Q$28*10)*($B$28/100))*$B31),IF(Q$27="kg/t SAR",(Q$28*$B31),IF(Q$27="kg/t DM",((Q$28*($B$28/100))*$B31),IF(Q$27="mg/kg SAR",((Q$28*0.001)*$B31),IF(Q$27="mg/kg DM",(((Q$28*0.001)*($B$28/100))*$B31),0)))))))*2.5</f>
        <v>12.750000000000002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v>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50.058350000000004</v>
      </c>
      <c r="E32" s="77">
        <f t="shared" ref="E32:E50" si="8">(IF(E$27="%w/w SAR",((E$28*10)*$B32),IF(E$27="%w/w DM",(((E$28*10)*($B$28/100))*$B32),IF(E$27="kg/t SAR",(E$28*$B32),IF(E$27="kg/t DM",((E$28*($B$28/100))*$B32),IF(E$27="mg/kg SAR",((E$28*0.001)*$B32),IF(E$27="mg/kg DM",(((E$28*0.001)*($B$28/100))*$B32),"0")))))))*1.205</f>
        <v>48.260250000000006</v>
      </c>
      <c r="F32" s="77">
        <f t="shared" ref="F32:F50" si="9">(IF(F$27="%w/w SAR",((F$28*10)*$B32),IF(F$27="%w/w DM",(((F$28*10)*($B$28/100))*$B32),IF(F$27="kg/t SAR",(F$28*$B32),IF(F$27="kg/t DM",((F$28*($B$28/100))*$B32),IF(F$27="mg/kg SAR",((F$28*0.001)*$B32),IF(F$27="mg/kg DM",(((F$28*0.001)*($B$28/100))*$B32),"0")))))))*1.658</f>
        <v>10.694100000000001</v>
      </c>
      <c r="G32" s="77">
        <f t="shared" si="5"/>
        <v>0.186</v>
      </c>
      <c r="H32" s="77">
        <f t="shared" si="5"/>
        <v>4.5999999999999999E-2</v>
      </c>
      <c r="I32" s="77">
        <f t="shared" si="5"/>
        <v>2.5000000000000001E-2</v>
      </c>
      <c r="J32" s="77">
        <f t="shared" si="5"/>
        <v>5.0000000000000001E-4</v>
      </c>
      <c r="K32" s="77">
        <f t="shared" si="5"/>
        <v>2.5000000000000001E-3</v>
      </c>
      <c r="L32" s="77">
        <f t="shared" si="5"/>
        <v>0.01</v>
      </c>
      <c r="M32" s="77">
        <f t="shared" si="5"/>
        <v>1.3000000000000001E-2</v>
      </c>
      <c r="N32" s="77">
        <f t="shared" si="5"/>
        <v>0</v>
      </c>
      <c r="O32" s="77">
        <f t="shared" si="5"/>
        <v>0</v>
      </c>
      <c r="P32" s="77">
        <f t="shared" si="5"/>
        <v>45.6</v>
      </c>
      <c r="Q32" s="77">
        <f t="shared" ref="Q32:Q50" si="10">(IF(Q$27="%w/w SAR",((Q$28*10)*$B32),IF(Q$27="%w/w DM",(((Q$28*10)*($B$28/100))*$B32),IF(Q$27="kg/t SAR",(Q$28*$B32),IF(Q$27="kg/t DM",((Q$28*($B$28/100))*$B32),IF(Q$27="mg/kg SAR",((Q$28*0.001)*$B32),IF(Q$27="mg/kg DM",(((Q$28*0.001)*($B$28/100))*$B32),0)))))))*2.5</f>
        <v>12.750000000000002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v>50</v>
      </c>
      <c r="C33" s="77">
        <f t="shared" si="6"/>
        <v>50</v>
      </c>
      <c r="D33" s="77">
        <f t="shared" si="7"/>
        <v>50.058350000000004</v>
      </c>
      <c r="E33" s="77">
        <f t="shared" si="8"/>
        <v>48.260250000000006</v>
      </c>
      <c r="F33" s="77">
        <f t="shared" si="9"/>
        <v>10.694100000000001</v>
      </c>
      <c r="G33" s="77">
        <f t="shared" si="5"/>
        <v>0.186</v>
      </c>
      <c r="H33" s="77">
        <f t="shared" si="5"/>
        <v>4.5999999999999999E-2</v>
      </c>
      <c r="I33" s="77">
        <f t="shared" si="5"/>
        <v>2.5000000000000001E-2</v>
      </c>
      <c r="J33" s="77">
        <f t="shared" si="5"/>
        <v>5.0000000000000001E-4</v>
      </c>
      <c r="K33" s="77">
        <f t="shared" si="5"/>
        <v>2.5000000000000001E-3</v>
      </c>
      <c r="L33" s="77">
        <f t="shared" si="5"/>
        <v>0.01</v>
      </c>
      <c r="M33" s="77">
        <f t="shared" si="5"/>
        <v>1.3000000000000001E-2</v>
      </c>
      <c r="N33" s="77">
        <f t="shared" si="5"/>
        <v>0</v>
      </c>
      <c r="O33" s="77">
        <f t="shared" si="5"/>
        <v>0</v>
      </c>
      <c r="P33" s="77">
        <f t="shared" si="5"/>
        <v>45.6</v>
      </c>
      <c r="Q33" s="77">
        <f t="shared" si="10"/>
        <v>12.750000000000002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v>50</v>
      </c>
      <c r="C34" s="77">
        <f t="shared" si="6"/>
        <v>50</v>
      </c>
      <c r="D34" s="77">
        <f t="shared" si="7"/>
        <v>50.058350000000004</v>
      </c>
      <c r="E34" s="77">
        <f t="shared" si="8"/>
        <v>48.260250000000006</v>
      </c>
      <c r="F34" s="77">
        <f t="shared" si="9"/>
        <v>10.694100000000001</v>
      </c>
      <c r="G34" s="77">
        <f t="shared" si="5"/>
        <v>0.186</v>
      </c>
      <c r="H34" s="77">
        <f t="shared" si="5"/>
        <v>4.5999999999999999E-2</v>
      </c>
      <c r="I34" s="77">
        <f t="shared" si="5"/>
        <v>2.5000000000000001E-2</v>
      </c>
      <c r="J34" s="77">
        <f t="shared" si="5"/>
        <v>5.0000000000000001E-4</v>
      </c>
      <c r="K34" s="77">
        <f t="shared" si="5"/>
        <v>2.5000000000000001E-3</v>
      </c>
      <c r="L34" s="77">
        <f t="shared" si="5"/>
        <v>0.01</v>
      </c>
      <c r="M34" s="77">
        <f t="shared" si="5"/>
        <v>1.3000000000000001E-2</v>
      </c>
      <c r="N34" s="77">
        <f t="shared" si="5"/>
        <v>0</v>
      </c>
      <c r="O34" s="77">
        <f t="shared" si="5"/>
        <v>0</v>
      </c>
      <c r="P34" s="77">
        <f t="shared" si="5"/>
        <v>45.6</v>
      </c>
      <c r="Q34" s="77">
        <f t="shared" si="10"/>
        <v>12.750000000000002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v>50</v>
      </c>
      <c r="C35" s="77">
        <f t="shared" si="6"/>
        <v>50</v>
      </c>
      <c r="D35" s="77">
        <f t="shared" si="7"/>
        <v>50.058350000000004</v>
      </c>
      <c r="E35" s="77">
        <f t="shared" si="8"/>
        <v>48.260250000000006</v>
      </c>
      <c r="F35" s="77">
        <f t="shared" si="9"/>
        <v>10.694100000000001</v>
      </c>
      <c r="G35" s="77">
        <f t="shared" si="5"/>
        <v>0.186</v>
      </c>
      <c r="H35" s="77">
        <f t="shared" si="5"/>
        <v>4.5999999999999999E-2</v>
      </c>
      <c r="I35" s="77">
        <f t="shared" si="5"/>
        <v>2.5000000000000001E-2</v>
      </c>
      <c r="J35" s="77">
        <f t="shared" si="5"/>
        <v>5.0000000000000001E-4</v>
      </c>
      <c r="K35" s="77">
        <f t="shared" si="5"/>
        <v>2.5000000000000001E-3</v>
      </c>
      <c r="L35" s="77">
        <f t="shared" si="5"/>
        <v>0.01</v>
      </c>
      <c r="M35" s="77">
        <f t="shared" si="5"/>
        <v>1.3000000000000001E-2</v>
      </c>
      <c r="N35" s="77">
        <f t="shared" si="5"/>
        <v>0</v>
      </c>
      <c r="O35" s="77">
        <f t="shared" si="5"/>
        <v>0</v>
      </c>
      <c r="P35" s="77">
        <f t="shared" si="5"/>
        <v>45.6</v>
      </c>
      <c r="Q35" s="77">
        <f t="shared" si="10"/>
        <v>12.750000000000002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v>50</v>
      </c>
      <c r="C36" s="77">
        <f t="shared" si="6"/>
        <v>50</v>
      </c>
      <c r="D36" s="77">
        <f t="shared" si="7"/>
        <v>50.058350000000004</v>
      </c>
      <c r="E36" s="77">
        <f t="shared" si="8"/>
        <v>48.260250000000006</v>
      </c>
      <c r="F36" s="77">
        <f t="shared" si="9"/>
        <v>10.694100000000001</v>
      </c>
      <c r="G36" s="77">
        <f t="shared" si="5"/>
        <v>0.186</v>
      </c>
      <c r="H36" s="77">
        <f t="shared" si="5"/>
        <v>4.5999999999999999E-2</v>
      </c>
      <c r="I36" s="77">
        <f t="shared" si="5"/>
        <v>2.5000000000000001E-2</v>
      </c>
      <c r="J36" s="77">
        <f t="shared" si="5"/>
        <v>5.0000000000000001E-4</v>
      </c>
      <c r="K36" s="77">
        <f t="shared" si="5"/>
        <v>2.5000000000000001E-3</v>
      </c>
      <c r="L36" s="77">
        <f t="shared" si="5"/>
        <v>0.01</v>
      </c>
      <c r="M36" s="77">
        <f t="shared" si="5"/>
        <v>1.3000000000000001E-2</v>
      </c>
      <c r="N36" s="77">
        <f t="shared" si="5"/>
        <v>0</v>
      </c>
      <c r="O36" s="77">
        <f t="shared" si="5"/>
        <v>0</v>
      </c>
      <c r="P36" s="77">
        <f t="shared" si="5"/>
        <v>45.6</v>
      </c>
      <c r="Q36" s="77">
        <f t="shared" si="10"/>
        <v>12.750000000000002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v>50</v>
      </c>
      <c r="C37" s="77">
        <f t="shared" si="6"/>
        <v>50</v>
      </c>
      <c r="D37" s="77">
        <f t="shared" si="7"/>
        <v>50.058350000000004</v>
      </c>
      <c r="E37" s="77">
        <f t="shared" si="8"/>
        <v>48.260250000000006</v>
      </c>
      <c r="F37" s="77">
        <f t="shared" si="9"/>
        <v>10.694100000000001</v>
      </c>
      <c r="G37" s="77">
        <f t="shared" si="5"/>
        <v>0.186</v>
      </c>
      <c r="H37" s="77">
        <f t="shared" si="5"/>
        <v>4.5999999999999999E-2</v>
      </c>
      <c r="I37" s="77">
        <f t="shared" si="5"/>
        <v>2.5000000000000001E-2</v>
      </c>
      <c r="J37" s="77">
        <f t="shared" si="5"/>
        <v>5.0000000000000001E-4</v>
      </c>
      <c r="K37" s="77">
        <f t="shared" si="5"/>
        <v>2.5000000000000001E-3</v>
      </c>
      <c r="L37" s="77">
        <f t="shared" si="5"/>
        <v>0.01</v>
      </c>
      <c r="M37" s="77">
        <f t="shared" si="5"/>
        <v>1.3000000000000001E-2</v>
      </c>
      <c r="N37" s="77">
        <f t="shared" si="5"/>
        <v>0</v>
      </c>
      <c r="O37" s="77">
        <f t="shared" si="5"/>
        <v>0</v>
      </c>
      <c r="P37" s="77">
        <f t="shared" si="5"/>
        <v>45.6</v>
      </c>
      <c r="Q37" s="77">
        <f t="shared" si="10"/>
        <v>12.750000000000002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v>50</v>
      </c>
      <c r="C38" s="77">
        <f t="shared" si="6"/>
        <v>50</v>
      </c>
      <c r="D38" s="77">
        <f t="shared" si="7"/>
        <v>50.058350000000004</v>
      </c>
      <c r="E38" s="77">
        <f t="shared" si="8"/>
        <v>48.260250000000006</v>
      </c>
      <c r="F38" s="77">
        <f t="shared" si="9"/>
        <v>10.694100000000001</v>
      </c>
      <c r="G38" s="77">
        <f t="shared" si="5"/>
        <v>0.186</v>
      </c>
      <c r="H38" s="77">
        <f t="shared" si="5"/>
        <v>4.5999999999999999E-2</v>
      </c>
      <c r="I38" s="77">
        <f t="shared" si="5"/>
        <v>2.5000000000000001E-2</v>
      </c>
      <c r="J38" s="77">
        <f t="shared" si="5"/>
        <v>5.0000000000000001E-4</v>
      </c>
      <c r="K38" s="77">
        <f t="shared" si="5"/>
        <v>2.5000000000000001E-3</v>
      </c>
      <c r="L38" s="77">
        <f t="shared" si="5"/>
        <v>0.01</v>
      </c>
      <c r="M38" s="77">
        <f t="shared" si="5"/>
        <v>1.3000000000000001E-2</v>
      </c>
      <c r="N38" s="77">
        <f t="shared" si="5"/>
        <v>0</v>
      </c>
      <c r="O38" s="77">
        <f t="shared" si="5"/>
        <v>0</v>
      </c>
      <c r="P38" s="77">
        <f t="shared" si="5"/>
        <v>45.6</v>
      </c>
      <c r="Q38" s="77">
        <f t="shared" si="10"/>
        <v>12.750000000000002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v>50</v>
      </c>
      <c r="C39" s="77">
        <f t="shared" si="6"/>
        <v>50</v>
      </c>
      <c r="D39" s="77">
        <f t="shared" si="7"/>
        <v>50.058350000000004</v>
      </c>
      <c r="E39" s="77">
        <f t="shared" si="8"/>
        <v>48.260250000000006</v>
      </c>
      <c r="F39" s="77">
        <f t="shared" si="9"/>
        <v>10.694100000000001</v>
      </c>
      <c r="G39" s="77">
        <f t="shared" si="5"/>
        <v>0.186</v>
      </c>
      <c r="H39" s="77">
        <f t="shared" si="5"/>
        <v>4.5999999999999999E-2</v>
      </c>
      <c r="I39" s="77">
        <f t="shared" si="5"/>
        <v>2.5000000000000001E-2</v>
      </c>
      <c r="J39" s="77">
        <f t="shared" si="5"/>
        <v>5.0000000000000001E-4</v>
      </c>
      <c r="K39" s="77">
        <f t="shared" si="5"/>
        <v>2.5000000000000001E-3</v>
      </c>
      <c r="L39" s="77">
        <f t="shared" si="5"/>
        <v>0.01</v>
      </c>
      <c r="M39" s="77">
        <f t="shared" si="5"/>
        <v>1.3000000000000001E-2</v>
      </c>
      <c r="N39" s="77">
        <f t="shared" si="5"/>
        <v>0</v>
      </c>
      <c r="O39" s="77">
        <f t="shared" si="5"/>
        <v>0</v>
      </c>
      <c r="P39" s="77">
        <f t="shared" si="5"/>
        <v>45.6</v>
      </c>
      <c r="Q39" s="77">
        <f t="shared" si="10"/>
        <v>12.750000000000002</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v>50</v>
      </c>
      <c r="C40" s="77">
        <f t="shared" si="6"/>
        <v>50</v>
      </c>
      <c r="D40" s="77">
        <f t="shared" si="7"/>
        <v>50.058350000000004</v>
      </c>
      <c r="E40" s="77">
        <f t="shared" si="8"/>
        <v>48.260250000000006</v>
      </c>
      <c r="F40" s="77">
        <f t="shared" si="9"/>
        <v>10.694100000000001</v>
      </c>
      <c r="G40" s="77">
        <f t="shared" si="5"/>
        <v>0.186</v>
      </c>
      <c r="H40" s="77">
        <f t="shared" si="5"/>
        <v>4.5999999999999999E-2</v>
      </c>
      <c r="I40" s="77">
        <f t="shared" si="5"/>
        <v>2.5000000000000001E-2</v>
      </c>
      <c r="J40" s="77">
        <f t="shared" si="5"/>
        <v>5.0000000000000001E-4</v>
      </c>
      <c r="K40" s="77">
        <f t="shared" si="5"/>
        <v>2.5000000000000001E-3</v>
      </c>
      <c r="L40" s="77">
        <f t="shared" si="5"/>
        <v>0.01</v>
      </c>
      <c r="M40" s="77">
        <f t="shared" si="5"/>
        <v>1.3000000000000001E-2</v>
      </c>
      <c r="N40" s="77">
        <f t="shared" si="5"/>
        <v>0</v>
      </c>
      <c r="O40" s="77">
        <f t="shared" si="5"/>
        <v>0</v>
      </c>
      <c r="P40" s="77">
        <f t="shared" si="5"/>
        <v>45.6</v>
      </c>
      <c r="Q40" s="77">
        <f t="shared" si="10"/>
        <v>12.750000000000002</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v>50</v>
      </c>
      <c r="C41" s="77">
        <f t="shared" si="6"/>
        <v>50</v>
      </c>
      <c r="D41" s="77">
        <f t="shared" si="7"/>
        <v>50.058350000000004</v>
      </c>
      <c r="E41" s="77">
        <f t="shared" si="8"/>
        <v>48.260250000000006</v>
      </c>
      <c r="F41" s="77">
        <f t="shared" si="9"/>
        <v>10.694100000000001</v>
      </c>
      <c r="G41" s="77">
        <f t="shared" si="5"/>
        <v>0.186</v>
      </c>
      <c r="H41" s="77">
        <f t="shared" si="5"/>
        <v>4.5999999999999999E-2</v>
      </c>
      <c r="I41" s="77">
        <f t="shared" si="5"/>
        <v>2.5000000000000001E-2</v>
      </c>
      <c r="J41" s="77">
        <f t="shared" si="5"/>
        <v>5.0000000000000001E-4</v>
      </c>
      <c r="K41" s="77">
        <f t="shared" si="5"/>
        <v>2.5000000000000001E-3</v>
      </c>
      <c r="L41" s="77">
        <f t="shared" si="5"/>
        <v>0.01</v>
      </c>
      <c r="M41" s="77">
        <f t="shared" si="5"/>
        <v>1.3000000000000001E-2</v>
      </c>
      <c r="N41" s="77">
        <f t="shared" si="5"/>
        <v>0</v>
      </c>
      <c r="O41" s="77">
        <f t="shared" si="5"/>
        <v>0</v>
      </c>
      <c r="P41" s="77">
        <f t="shared" si="5"/>
        <v>45.6</v>
      </c>
      <c r="Q41" s="77">
        <f t="shared" si="10"/>
        <v>12.750000000000002</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v>50</v>
      </c>
      <c r="C42" s="77">
        <f t="shared" si="6"/>
        <v>50</v>
      </c>
      <c r="D42" s="77">
        <f t="shared" si="7"/>
        <v>50.058350000000004</v>
      </c>
      <c r="E42" s="77">
        <f t="shared" si="8"/>
        <v>48.260250000000006</v>
      </c>
      <c r="F42" s="77">
        <f t="shared" si="9"/>
        <v>10.694100000000001</v>
      </c>
      <c r="G42" s="77">
        <f t="shared" si="5"/>
        <v>0.186</v>
      </c>
      <c r="H42" s="77">
        <f t="shared" si="5"/>
        <v>4.5999999999999999E-2</v>
      </c>
      <c r="I42" s="77">
        <f t="shared" si="5"/>
        <v>2.5000000000000001E-2</v>
      </c>
      <c r="J42" s="77">
        <f t="shared" si="5"/>
        <v>5.0000000000000001E-4</v>
      </c>
      <c r="K42" s="77">
        <f t="shared" si="5"/>
        <v>2.5000000000000001E-3</v>
      </c>
      <c r="L42" s="77">
        <f t="shared" si="5"/>
        <v>0.01</v>
      </c>
      <c r="M42" s="77">
        <f t="shared" si="5"/>
        <v>1.3000000000000001E-2</v>
      </c>
      <c r="N42" s="77">
        <f t="shared" si="5"/>
        <v>0</v>
      </c>
      <c r="O42" s="77">
        <f t="shared" si="5"/>
        <v>0</v>
      </c>
      <c r="P42" s="77">
        <f t="shared" si="5"/>
        <v>45.6</v>
      </c>
      <c r="Q42" s="77">
        <f t="shared" si="10"/>
        <v>12.750000000000002</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f>VLOOKUP(I$14,Table245[],5,FALSE)</f>
        <v>6.7</v>
      </c>
      <c r="I59" s="76">
        <f>VLOOKUP(J$14,Table245[],5,FALSE)</f>
        <v>6.7</v>
      </c>
      <c r="J59" s="76">
        <f>VLOOKUP(K$14,Table245[],5,FALSE)</f>
        <v>6.2</v>
      </c>
      <c r="K59" s="76">
        <f>VLOOKUP(L$14,Table245[],5,FALSE)</f>
        <v>6.2</v>
      </c>
      <c r="L59" s="76">
        <f>VLOOKUP(M$14,Table245[],5,FALSE)</f>
        <v>6.2</v>
      </c>
      <c r="M59" s="76">
        <f>VLOOKUP(N$14,Table245[],5,FALSE)</f>
        <v>6.2</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50</v>
      </c>
      <c r="C62" s="77">
        <f>B32</f>
        <v>50</v>
      </c>
      <c r="D62" s="77">
        <f>B33</f>
        <v>50</v>
      </c>
      <c r="E62" s="77">
        <f>B34</f>
        <v>50</v>
      </c>
      <c r="F62" s="77">
        <f>B35</f>
        <v>50</v>
      </c>
      <c r="G62" s="77">
        <f>B36</f>
        <v>50</v>
      </c>
      <c r="H62" s="77">
        <f>B37</f>
        <v>50</v>
      </c>
      <c r="I62" s="77">
        <f>B38</f>
        <v>50</v>
      </c>
      <c r="J62" s="77">
        <f>B39</f>
        <v>50</v>
      </c>
      <c r="K62" s="77">
        <f>B40</f>
        <v>50</v>
      </c>
      <c r="L62" s="77">
        <f>B41</f>
        <v>50</v>
      </c>
      <c r="M62" s="77">
        <f>B42</f>
        <v>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B1" zoomScale="90" zoomScaleNormal="90" workbookViewId="0">
      <selection activeCell="B28" sqref="B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v>7</v>
      </c>
      <c r="J1" s="127" t="s">
        <v>153</v>
      </c>
      <c r="K1" s="127"/>
      <c r="L1" s="97">
        <v>457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t="s">
        <v>83</v>
      </c>
      <c r="G2" s="125" t="s">
        <v>110</v>
      </c>
      <c r="H2" s="126"/>
      <c r="I2" s="118"/>
      <c r="J2" s="127" t="s">
        <v>158</v>
      </c>
      <c r="K2" s="127"/>
      <c r="L2" s="97">
        <v>0.93100000000000005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t="s">
        <v>78</v>
      </c>
      <c r="G3" s="127" t="s">
        <v>159</v>
      </c>
      <c r="H3" s="127"/>
      <c r="I3" s="118"/>
      <c r="J3" s="123" t="s">
        <v>154</v>
      </c>
      <c r="K3" s="124"/>
      <c r="L3" s="97">
        <f>(L1/(L2*10000))*100</f>
        <v>4.9087003222341563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39.279195000000009</v>
      </c>
      <c r="D18" s="16">
        <f>$D32</f>
        <v>39.279195000000009</v>
      </c>
      <c r="E18" s="16">
        <f>$D33</f>
        <v>39.279195000000009</v>
      </c>
      <c r="F18" s="16">
        <f>$D34</f>
        <v>39.279195000000009</v>
      </c>
      <c r="G18" s="16">
        <f>$D35</f>
        <v>39.279195000000009</v>
      </c>
      <c r="H18" s="16">
        <f>$D36</f>
        <v>39.279195000000009</v>
      </c>
      <c r="I18" s="16">
        <f>$D37</f>
        <v>39.279195000000009</v>
      </c>
      <c r="J18" s="16">
        <f>$D38</f>
        <v>39.279195000000009</v>
      </c>
      <c r="K18" s="16">
        <f>$D39</f>
        <v>39.279195000000009</v>
      </c>
      <c r="L18" s="16">
        <f>$D40</f>
        <v>39.279195000000009</v>
      </c>
      <c r="M18" s="16">
        <f>$D41</f>
        <v>39.279195000000009</v>
      </c>
      <c r="N18" s="16">
        <f>$D42</f>
        <v>39.279195000000009</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-15.970804999999991</v>
      </c>
      <c r="D19" s="16">
        <f t="shared" ref="D19:V19" si="1">D18-D17</f>
        <v>-15.970804999999991</v>
      </c>
      <c r="E19" s="16">
        <f t="shared" si="1"/>
        <v>-23.720804999999984</v>
      </c>
      <c r="F19" s="16">
        <f t="shared" si="1"/>
        <v>-23.720804999999984</v>
      </c>
      <c r="G19" s="16">
        <f t="shared" si="1"/>
        <v>-15.970804999999991</v>
      </c>
      <c r="H19" s="16">
        <f t="shared" si="1"/>
        <v>-23.720804999999984</v>
      </c>
      <c r="I19" s="16">
        <f t="shared" si="1"/>
        <v>-23.720804999999984</v>
      </c>
      <c r="J19" s="16">
        <f t="shared" si="1"/>
        <v>-15.970804999999991</v>
      </c>
      <c r="K19" s="16">
        <f t="shared" si="1"/>
        <v>-40.620804999999983</v>
      </c>
      <c r="L19" s="16">
        <f t="shared" si="1"/>
        <v>-40.620804999999983</v>
      </c>
      <c r="M19" s="16">
        <f t="shared" si="1"/>
        <v>-40.620804999999983</v>
      </c>
      <c r="N19" s="16">
        <f t="shared" si="1"/>
        <v>-40.620804999999983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(VLOOKUP(D$14,$AI2:$AK24,3,FALSE))*D$15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8.215087500000001</v>
      </c>
      <c r="D22" s="16">
        <f>$E32</f>
        <v>8.215087500000001</v>
      </c>
      <c r="E22" s="16">
        <f>$E33</f>
        <v>8.215087500000001</v>
      </c>
      <c r="F22" s="16">
        <f>$E34</f>
        <v>8.215087500000001</v>
      </c>
      <c r="G22" s="16">
        <f>$E35</f>
        <v>8.215087500000001</v>
      </c>
      <c r="H22" s="16">
        <f>$E36</f>
        <v>8.215087500000001</v>
      </c>
      <c r="I22" s="16">
        <f>$E37</f>
        <v>8.215087500000001</v>
      </c>
      <c r="J22" s="16">
        <f>$E38</f>
        <v>8.215087500000001</v>
      </c>
      <c r="K22" s="16">
        <f>$E39</f>
        <v>8.215087500000001</v>
      </c>
      <c r="L22" s="16">
        <f>$E40</f>
        <v>8.215087500000001</v>
      </c>
      <c r="M22" s="16">
        <f>$E41</f>
        <v>8.215087500000001</v>
      </c>
      <c r="N22" s="16">
        <f>$E42</f>
        <v>8.215087500000001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-69.784912500000004</v>
      </c>
      <c r="D23" s="16">
        <f t="shared" ref="D23:V23" si="3">D22-D21</f>
        <v>-69.784912500000004</v>
      </c>
      <c r="E23" s="16">
        <f t="shared" si="3"/>
        <v>-189.78491250000002</v>
      </c>
      <c r="F23" s="16">
        <f t="shared" si="3"/>
        <v>-189.78491250000002</v>
      </c>
      <c r="G23" s="16">
        <f t="shared" si="3"/>
        <v>-69.784912500000004</v>
      </c>
      <c r="H23" s="16">
        <f t="shared" si="3"/>
        <v>-189.78491250000002</v>
      </c>
      <c r="I23" s="16">
        <f t="shared" si="3"/>
        <v>-189.78491250000002</v>
      </c>
      <c r="J23" s="16">
        <f t="shared" si="3"/>
        <v>-69.784912500000004</v>
      </c>
      <c r="K23" s="16">
        <f t="shared" si="3"/>
        <v>-273.78491250000002</v>
      </c>
      <c r="L23" s="16">
        <f t="shared" si="3"/>
        <v>-273.78491250000002</v>
      </c>
      <c r="M23" s="16">
        <f t="shared" si="3"/>
        <v>-273.78491250000002</v>
      </c>
      <c r="N23" s="16">
        <f t="shared" si="3"/>
        <v>-273.78491250000002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13.5</v>
      </c>
      <c r="C28" s="15">
        <v>0.93100000000000005</v>
      </c>
      <c r="D28" s="15">
        <v>0.254</v>
      </c>
      <c r="E28" s="15">
        <v>0.10100000000000001</v>
      </c>
      <c r="F28" s="15">
        <v>3650</v>
      </c>
      <c r="G28" s="15">
        <v>39.9</v>
      </c>
      <c r="H28" s="15">
        <v>367</v>
      </c>
      <c r="I28" s="15">
        <v>31.4</v>
      </c>
      <c r="J28" s="15">
        <v>1.39</v>
      </c>
      <c r="K28" s="23">
        <v>0.21</v>
      </c>
      <c r="L28" s="15">
        <v>56.6</v>
      </c>
      <c r="M28" s="15">
        <v>25.8</v>
      </c>
      <c r="N28" s="15">
        <v>18400</v>
      </c>
      <c r="O28" s="15">
        <v>48700</v>
      </c>
      <c r="P28" s="15"/>
      <c r="Q28" s="15">
        <v>1580</v>
      </c>
      <c r="R28" s="15"/>
      <c r="S28" s="15">
        <v>12.9</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v>50</v>
      </c>
      <c r="C31" s="77">
        <f>IF(C$27="%w/w SAR",((C$28*10)*$B31),IF(C$27="%w/w DM",(((C$28*10)*($B$28/100))*$B31),IF(C$27="kg/t SAR",(C$28*$B31),IF(C$27="kg/t DM",((C$28*($B$28/100))*$B31),IF(C$27="mg/kg SAR",((C$28*0.001)*$B31),IF(C$27="mg/kg DM",(((C$28*0.001)*($B$28/100))*$B31),0))))))</f>
        <v>62.842500000000015</v>
      </c>
      <c r="D31" s="77">
        <f>(IF(D$27="%w/w SAR",((D$28*10)*$B31),IF(D$27="%w/w DM",(((D$28*10)*($B$28/100))*$B31),IF(D$27="kg/t SAR",(D$28*$B31),IF(D$27="kg/t DM",((D$28*($B$28/100))*$B31),IF(D$27="mg/kg SAR",((D$28*0.001)*$B31),IF(D$27="mg/kg DM",(((D$28*0.001)*($B$28/100))*$B31),"0")))))))*2.291</f>
        <v>39.279195000000009</v>
      </c>
      <c r="E31" s="77">
        <f>(IF(E$27="%w/w SAR",((E$28*10)*$B31),IF(E$27="%w/w DM",(((E$28*10)*($B$28/100))*$B31),IF(E$27="kg/t SAR",(E$28*$B31),IF(E$27="kg/t DM",((E$28*($B$28/100))*$B31),IF(E$27="mg/kg SAR",((E$28*0.001)*$B31),IF(E$27="mg/kg DM",(((E$28*0.001)*($B$28/100))*$B31),"0")))))))*1.205</f>
        <v>8.215087500000001</v>
      </c>
      <c r="F31" s="77">
        <f>(IF(F$27="%w/w SAR",((F$28*10)*$B31),IF(F$27="%w/w DM",(((F$28*10)*($B$28/100))*$B31),IF(F$27="kg/t SAR",(F$28*$B31),IF(F$27="kg/t DM",((F$28*($B$28/100))*$B31),IF(F$27="mg/kg SAR",((F$28*0.001)*$B31),IF(F$27="mg/kg DM",(((F$28*0.001)*($B$28/100))*$B31),"0")))))))*1.658</f>
        <v>40.848975000000003</v>
      </c>
      <c r="G31" s="77">
        <f t="shared" ref="G31:P46" si="5">IF(G$27="%w/w SAR",((G$28*10)*$B31),IF(G$27="%w/w DM",(((G$28*10)*($B$28/100))*$B31),IF(G$27="kg/t SAR",(G$28*$B31),IF(G$27="kg/t DM",((G$28*($B$28/100))*$B31),IF(G$27="mg/kg SAR",((G$28*0.001)*$B31),IF(G$27="mg/kg DM",(((G$28*0.001)*($B$28/100))*$B31),0))))))</f>
        <v>0.26932499999999998</v>
      </c>
      <c r="H31" s="77">
        <f t="shared" si="5"/>
        <v>2.4772500000000002</v>
      </c>
      <c r="I31" s="77">
        <f t="shared" si="5"/>
        <v>0.21194999999999997</v>
      </c>
      <c r="J31" s="77">
        <f t="shared" si="5"/>
        <v>9.3825000000000002E-3</v>
      </c>
      <c r="K31" s="77">
        <f t="shared" si="5"/>
        <v>1.4175000000000001E-3</v>
      </c>
      <c r="L31" s="77">
        <f t="shared" si="5"/>
        <v>0.38205000000000006</v>
      </c>
      <c r="M31" s="77">
        <f t="shared" si="5"/>
        <v>0.17415000000000003</v>
      </c>
      <c r="N31" s="77">
        <f t="shared" si="5"/>
        <v>124.20000000000002</v>
      </c>
      <c r="O31" s="77">
        <f t="shared" si="5"/>
        <v>328.72500000000002</v>
      </c>
      <c r="P31" s="77">
        <f t="shared" si="5"/>
        <v>0</v>
      </c>
      <c r="Q31" s="77">
        <f>(IF(Q$27="%w/w SAR",((Q$28*10)*$B31),IF(Q$27="%w/w DM",(((Q$28*10)*($B$28/100))*$B31),IF(Q$27="kg/t SAR",(Q$28*$B31),IF(Q$27="kg/t DM",((Q$28*($B$28/100))*$B31),IF(Q$27="mg/kg SAR",((Q$28*0.001)*$B31),IF(Q$27="mg/kg DM",(((Q$28*0.001)*($B$28/100))*$B31),0)))))))*2.5</f>
        <v>26.662500000000001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8.7075000000000014E-2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v>50</v>
      </c>
      <c r="C32" s="77">
        <f t="shared" ref="C32:C50" si="6">IF(C$27="%w/w SAR",((C$28*10)*$B32),IF(C$27="%w/w DM",(((C$28*10)*($B$28/100))*$B32),IF(C$27="kg/t SAR",(C$28*$B32),IF(C$27="kg/t DM",((C$28*($B$28/100))*$B32),IF(C$27="mg/kg SAR",((C$28*0.001)*$B32),IF(C$27="mg/kg DM",(((C$28*0.001)*($B$28/100))*$B32),0))))))</f>
        <v>62.842500000000015</v>
      </c>
      <c r="D32" s="77">
        <f t="shared" ref="D32:D50" si="7">(IF(D$27="%w/w SAR",((D$28*10)*$B32),IF(D$27="%w/w DM",(((D$28*10)*($B$28/100))*$B32),IF(D$27="kg/t SAR",(D$28*$B32),IF(D$27="kg/t DM",((D$28*($B$28/100))*$B32),IF(D$27="mg/kg SAR",((D$28*0.001)*$B32),IF(D$27="mg/kg DM",(((D$28*0.001)*($B$28/100))*$B32),"0")))))))*2.291</f>
        <v>39.279195000000009</v>
      </c>
      <c r="E32" s="77">
        <f t="shared" ref="E32:E50" si="8">(IF(E$27="%w/w SAR",((E$28*10)*$B32),IF(E$27="%w/w DM",(((E$28*10)*($B$28/100))*$B32),IF(E$27="kg/t SAR",(E$28*$B32),IF(E$27="kg/t DM",((E$28*($B$28/100))*$B32),IF(E$27="mg/kg SAR",((E$28*0.001)*$B32),IF(E$27="mg/kg DM",(((E$28*0.001)*($B$28/100))*$B32),"0")))))))*1.205</f>
        <v>8.215087500000001</v>
      </c>
      <c r="F32" s="77">
        <f t="shared" ref="F32:F50" si="9">(IF(F$27="%w/w SAR",((F$28*10)*$B32),IF(F$27="%w/w DM",(((F$28*10)*($B$28/100))*$B32),IF(F$27="kg/t SAR",(F$28*$B32),IF(F$27="kg/t DM",((F$28*($B$28/100))*$B32),IF(F$27="mg/kg SAR",((F$28*0.001)*$B32),IF(F$27="mg/kg DM",(((F$28*0.001)*($B$28/100))*$B32),"0")))))))*1.658</f>
        <v>40.848975000000003</v>
      </c>
      <c r="G32" s="77">
        <f t="shared" si="5"/>
        <v>0.26932499999999998</v>
      </c>
      <c r="H32" s="77">
        <f t="shared" si="5"/>
        <v>2.4772500000000002</v>
      </c>
      <c r="I32" s="77">
        <f t="shared" si="5"/>
        <v>0.21194999999999997</v>
      </c>
      <c r="J32" s="77">
        <f t="shared" si="5"/>
        <v>9.3825000000000002E-3</v>
      </c>
      <c r="K32" s="77">
        <f t="shared" si="5"/>
        <v>1.4175000000000001E-3</v>
      </c>
      <c r="L32" s="77">
        <f t="shared" si="5"/>
        <v>0.38205000000000006</v>
      </c>
      <c r="M32" s="77">
        <f t="shared" si="5"/>
        <v>0.17415000000000003</v>
      </c>
      <c r="N32" s="77">
        <f t="shared" si="5"/>
        <v>124.20000000000002</v>
      </c>
      <c r="O32" s="77">
        <f t="shared" si="5"/>
        <v>328.72500000000002</v>
      </c>
      <c r="P32" s="77">
        <f t="shared" si="5"/>
        <v>0</v>
      </c>
      <c r="Q32" s="77">
        <f t="shared" ref="Q32:Q50" si="10">(IF(Q$27="%w/w SAR",((Q$28*10)*$B32),IF(Q$27="%w/w DM",(((Q$28*10)*($B$28/100))*$B32),IF(Q$27="kg/t SAR",(Q$28*$B32),IF(Q$27="kg/t DM",((Q$28*($B$28/100))*$B32),IF(Q$27="mg/kg SAR",((Q$28*0.001)*$B32),IF(Q$27="mg/kg DM",(((Q$28*0.001)*($B$28/100))*$B32),0)))))))*2.5</f>
        <v>26.662500000000001</v>
      </c>
      <c r="R32" s="77">
        <f t="shared" ref="R32:U50" si="11">IF(R$27="%w/w SAR",((R$28*10)*$B32),IF(R$27="%w/w DM",(((R$28*10)*($B$28/100))*$B32),IF(R$27="kg/t SAR",(R$28*$B32),IF(R$27="kg/t DM",((R$28*($B$28/100))*$B32),IF(R$27="mg/kg SAR",((R$28*0.001)*$B32),IF(R$27="mg/kg DM",(((R$28*0.001)*($B$28/100))*$B32),0))))))</f>
        <v>0</v>
      </c>
      <c r="S32" s="77">
        <f t="shared" si="11"/>
        <v>8.7075000000000014E-2</v>
      </c>
      <c r="T32" s="77">
        <f t="shared" si="11"/>
        <v>0</v>
      </c>
      <c r="U32" s="77">
        <f t="shared" si="11"/>
        <v>0</v>
      </c>
      <c r="AB32" s="59"/>
      <c r="AC32" s="59"/>
      <c r="AD32" s="59"/>
      <c r="AE32" s="59"/>
      <c r="AF32" s="59"/>
      <c r="AG32" s="59"/>
      <c r="AH32" s="59"/>
      <c r="AI32" s="59"/>
    </row>
    <row r="33" spans="1:35" s="72" customFormat="1" ht="13" x14ac:dyDescent="0.35">
      <c r="A33" s="13">
        <f>E8</f>
        <v>8</v>
      </c>
      <c r="B33" s="15">
        <v>50</v>
      </c>
      <c r="C33" s="77">
        <f t="shared" si="6"/>
        <v>62.842500000000015</v>
      </c>
      <c r="D33" s="77">
        <f t="shared" si="7"/>
        <v>39.279195000000009</v>
      </c>
      <c r="E33" s="77">
        <f t="shared" si="8"/>
        <v>8.215087500000001</v>
      </c>
      <c r="F33" s="77">
        <f t="shared" si="9"/>
        <v>40.848975000000003</v>
      </c>
      <c r="G33" s="77">
        <f t="shared" si="5"/>
        <v>0.26932499999999998</v>
      </c>
      <c r="H33" s="77">
        <f t="shared" si="5"/>
        <v>2.4772500000000002</v>
      </c>
      <c r="I33" s="77">
        <f t="shared" si="5"/>
        <v>0.21194999999999997</v>
      </c>
      <c r="J33" s="77">
        <f t="shared" si="5"/>
        <v>9.3825000000000002E-3</v>
      </c>
      <c r="K33" s="77">
        <f t="shared" si="5"/>
        <v>1.4175000000000001E-3</v>
      </c>
      <c r="L33" s="77">
        <f t="shared" si="5"/>
        <v>0.38205000000000006</v>
      </c>
      <c r="M33" s="77">
        <f t="shared" si="5"/>
        <v>0.17415000000000003</v>
      </c>
      <c r="N33" s="77">
        <f t="shared" si="5"/>
        <v>124.20000000000002</v>
      </c>
      <c r="O33" s="77">
        <f t="shared" si="5"/>
        <v>328.72500000000002</v>
      </c>
      <c r="P33" s="77">
        <f t="shared" si="5"/>
        <v>0</v>
      </c>
      <c r="Q33" s="77">
        <f t="shared" si="10"/>
        <v>26.662500000000001</v>
      </c>
      <c r="R33" s="77">
        <f t="shared" si="11"/>
        <v>0</v>
      </c>
      <c r="S33" s="77">
        <f t="shared" si="11"/>
        <v>8.7075000000000014E-2</v>
      </c>
      <c r="T33" s="77">
        <f t="shared" si="11"/>
        <v>0</v>
      </c>
      <c r="U33" s="77">
        <f t="shared" si="11"/>
        <v>0</v>
      </c>
      <c r="AB33" s="59"/>
      <c r="AC33" s="59"/>
      <c r="AD33" s="59"/>
      <c r="AE33" s="59"/>
      <c r="AF33" s="59"/>
      <c r="AG33" s="59"/>
      <c r="AH33" s="59"/>
      <c r="AI33" s="59"/>
    </row>
    <row r="34" spans="1:35" s="72" customFormat="1" ht="13" x14ac:dyDescent="0.35">
      <c r="A34" s="13">
        <f>F8</f>
        <v>9</v>
      </c>
      <c r="B34" s="15">
        <v>50</v>
      </c>
      <c r="C34" s="77">
        <f t="shared" si="6"/>
        <v>62.842500000000015</v>
      </c>
      <c r="D34" s="77">
        <f t="shared" si="7"/>
        <v>39.279195000000009</v>
      </c>
      <c r="E34" s="77">
        <f t="shared" si="8"/>
        <v>8.215087500000001</v>
      </c>
      <c r="F34" s="77">
        <f t="shared" si="9"/>
        <v>40.848975000000003</v>
      </c>
      <c r="G34" s="77">
        <f t="shared" si="5"/>
        <v>0.26932499999999998</v>
      </c>
      <c r="H34" s="77">
        <f t="shared" si="5"/>
        <v>2.4772500000000002</v>
      </c>
      <c r="I34" s="77">
        <f t="shared" si="5"/>
        <v>0.21194999999999997</v>
      </c>
      <c r="J34" s="77">
        <f t="shared" si="5"/>
        <v>9.3825000000000002E-3</v>
      </c>
      <c r="K34" s="77">
        <f t="shared" si="5"/>
        <v>1.4175000000000001E-3</v>
      </c>
      <c r="L34" s="77">
        <f t="shared" si="5"/>
        <v>0.38205000000000006</v>
      </c>
      <c r="M34" s="77">
        <f t="shared" si="5"/>
        <v>0.17415000000000003</v>
      </c>
      <c r="N34" s="77">
        <f t="shared" si="5"/>
        <v>124.20000000000002</v>
      </c>
      <c r="O34" s="77">
        <f t="shared" si="5"/>
        <v>328.72500000000002</v>
      </c>
      <c r="P34" s="77">
        <f t="shared" si="5"/>
        <v>0</v>
      </c>
      <c r="Q34" s="77">
        <f t="shared" si="10"/>
        <v>26.662500000000001</v>
      </c>
      <c r="R34" s="77">
        <f t="shared" si="11"/>
        <v>0</v>
      </c>
      <c r="S34" s="77">
        <f t="shared" si="11"/>
        <v>8.7075000000000014E-2</v>
      </c>
      <c r="T34" s="77">
        <f t="shared" si="11"/>
        <v>0</v>
      </c>
      <c r="U34" s="77">
        <f t="shared" si="11"/>
        <v>0</v>
      </c>
      <c r="AB34" s="59"/>
      <c r="AC34" s="59"/>
      <c r="AD34" s="59"/>
      <c r="AE34" s="59"/>
      <c r="AF34" s="59"/>
      <c r="AG34" s="59"/>
      <c r="AH34" s="59"/>
      <c r="AI34" s="59"/>
    </row>
    <row r="35" spans="1:35" s="72" customFormat="1" ht="13" x14ac:dyDescent="0.35">
      <c r="A35" s="13">
        <f>G8</f>
        <v>11</v>
      </c>
      <c r="B35" s="15">
        <v>50</v>
      </c>
      <c r="C35" s="77">
        <f t="shared" si="6"/>
        <v>62.842500000000015</v>
      </c>
      <c r="D35" s="77">
        <f t="shared" si="7"/>
        <v>39.279195000000009</v>
      </c>
      <c r="E35" s="77">
        <f t="shared" si="8"/>
        <v>8.215087500000001</v>
      </c>
      <c r="F35" s="77">
        <f t="shared" si="9"/>
        <v>40.848975000000003</v>
      </c>
      <c r="G35" s="77">
        <f t="shared" si="5"/>
        <v>0.26932499999999998</v>
      </c>
      <c r="H35" s="77">
        <f t="shared" si="5"/>
        <v>2.4772500000000002</v>
      </c>
      <c r="I35" s="77">
        <f t="shared" si="5"/>
        <v>0.21194999999999997</v>
      </c>
      <c r="J35" s="77">
        <f t="shared" si="5"/>
        <v>9.3825000000000002E-3</v>
      </c>
      <c r="K35" s="77">
        <f t="shared" si="5"/>
        <v>1.4175000000000001E-3</v>
      </c>
      <c r="L35" s="77">
        <f t="shared" si="5"/>
        <v>0.38205000000000006</v>
      </c>
      <c r="M35" s="77">
        <f t="shared" si="5"/>
        <v>0.17415000000000003</v>
      </c>
      <c r="N35" s="77">
        <f t="shared" si="5"/>
        <v>124.20000000000002</v>
      </c>
      <c r="O35" s="77">
        <f t="shared" si="5"/>
        <v>328.72500000000002</v>
      </c>
      <c r="P35" s="77">
        <f t="shared" si="5"/>
        <v>0</v>
      </c>
      <c r="Q35" s="77">
        <f t="shared" si="10"/>
        <v>26.662500000000001</v>
      </c>
      <c r="R35" s="77">
        <f t="shared" si="11"/>
        <v>0</v>
      </c>
      <c r="S35" s="77">
        <f t="shared" si="11"/>
        <v>8.7075000000000014E-2</v>
      </c>
      <c r="T35" s="77">
        <f t="shared" si="11"/>
        <v>0</v>
      </c>
      <c r="U35" s="77">
        <f t="shared" si="11"/>
        <v>0</v>
      </c>
      <c r="AB35" s="59"/>
      <c r="AC35" s="59"/>
      <c r="AD35" s="59"/>
      <c r="AE35" s="59"/>
      <c r="AF35" s="59"/>
      <c r="AG35" s="59"/>
      <c r="AH35" s="59"/>
      <c r="AI35" s="59"/>
    </row>
    <row r="36" spans="1:35" s="72" customFormat="1" ht="13" x14ac:dyDescent="0.35">
      <c r="A36" s="13">
        <f>H8</f>
        <v>12</v>
      </c>
      <c r="B36" s="15">
        <v>50</v>
      </c>
      <c r="C36" s="77">
        <f t="shared" si="6"/>
        <v>62.842500000000015</v>
      </c>
      <c r="D36" s="77">
        <f t="shared" si="7"/>
        <v>39.279195000000009</v>
      </c>
      <c r="E36" s="77">
        <f t="shared" si="8"/>
        <v>8.215087500000001</v>
      </c>
      <c r="F36" s="77">
        <f t="shared" si="9"/>
        <v>40.848975000000003</v>
      </c>
      <c r="G36" s="77">
        <f t="shared" si="5"/>
        <v>0.26932499999999998</v>
      </c>
      <c r="H36" s="77">
        <f t="shared" si="5"/>
        <v>2.4772500000000002</v>
      </c>
      <c r="I36" s="77">
        <f t="shared" si="5"/>
        <v>0.21194999999999997</v>
      </c>
      <c r="J36" s="77">
        <f t="shared" si="5"/>
        <v>9.3825000000000002E-3</v>
      </c>
      <c r="K36" s="77">
        <f t="shared" si="5"/>
        <v>1.4175000000000001E-3</v>
      </c>
      <c r="L36" s="77">
        <f t="shared" si="5"/>
        <v>0.38205000000000006</v>
      </c>
      <c r="M36" s="77">
        <f t="shared" si="5"/>
        <v>0.17415000000000003</v>
      </c>
      <c r="N36" s="77">
        <f t="shared" si="5"/>
        <v>124.20000000000002</v>
      </c>
      <c r="O36" s="77">
        <f t="shared" si="5"/>
        <v>328.72500000000002</v>
      </c>
      <c r="P36" s="77">
        <f t="shared" si="5"/>
        <v>0</v>
      </c>
      <c r="Q36" s="77">
        <f t="shared" si="10"/>
        <v>26.662500000000001</v>
      </c>
      <c r="R36" s="77">
        <f t="shared" si="11"/>
        <v>0</v>
      </c>
      <c r="S36" s="77">
        <f t="shared" si="11"/>
        <v>8.7075000000000014E-2</v>
      </c>
      <c r="T36" s="77">
        <f t="shared" si="11"/>
        <v>0</v>
      </c>
      <c r="U36" s="77">
        <f t="shared" si="11"/>
        <v>0</v>
      </c>
      <c r="AB36" s="59"/>
      <c r="AC36" s="59"/>
      <c r="AD36" s="59"/>
      <c r="AE36" s="59"/>
      <c r="AF36" s="59"/>
      <c r="AG36" s="59"/>
      <c r="AH36" s="59"/>
      <c r="AI36" s="59"/>
    </row>
    <row r="37" spans="1:35" s="72" customFormat="1" ht="13" x14ac:dyDescent="0.35">
      <c r="A37" s="13">
        <f>I8</f>
        <v>13</v>
      </c>
      <c r="B37" s="15">
        <v>50</v>
      </c>
      <c r="C37" s="77">
        <f t="shared" si="6"/>
        <v>62.842500000000015</v>
      </c>
      <c r="D37" s="77">
        <f t="shared" si="7"/>
        <v>39.279195000000009</v>
      </c>
      <c r="E37" s="77">
        <f t="shared" si="8"/>
        <v>8.215087500000001</v>
      </c>
      <c r="F37" s="77">
        <f t="shared" si="9"/>
        <v>40.848975000000003</v>
      </c>
      <c r="G37" s="77">
        <f t="shared" si="5"/>
        <v>0.26932499999999998</v>
      </c>
      <c r="H37" s="77">
        <f t="shared" si="5"/>
        <v>2.4772500000000002</v>
      </c>
      <c r="I37" s="77">
        <f t="shared" si="5"/>
        <v>0.21194999999999997</v>
      </c>
      <c r="J37" s="77">
        <f t="shared" si="5"/>
        <v>9.3825000000000002E-3</v>
      </c>
      <c r="K37" s="77">
        <f t="shared" si="5"/>
        <v>1.4175000000000001E-3</v>
      </c>
      <c r="L37" s="77">
        <f t="shared" si="5"/>
        <v>0.38205000000000006</v>
      </c>
      <c r="M37" s="77">
        <f t="shared" si="5"/>
        <v>0.17415000000000003</v>
      </c>
      <c r="N37" s="77">
        <f t="shared" si="5"/>
        <v>124.20000000000002</v>
      </c>
      <c r="O37" s="77">
        <f t="shared" si="5"/>
        <v>328.72500000000002</v>
      </c>
      <c r="P37" s="77">
        <f t="shared" si="5"/>
        <v>0</v>
      </c>
      <c r="Q37" s="77">
        <f t="shared" si="10"/>
        <v>26.662500000000001</v>
      </c>
      <c r="R37" s="77">
        <f t="shared" si="11"/>
        <v>0</v>
      </c>
      <c r="S37" s="77">
        <f t="shared" si="11"/>
        <v>8.7075000000000014E-2</v>
      </c>
      <c r="T37" s="77">
        <f t="shared" si="11"/>
        <v>0</v>
      </c>
      <c r="U37" s="77">
        <f t="shared" si="11"/>
        <v>0</v>
      </c>
      <c r="AB37" s="59"/>
      <c r="AC37" s="59"/>
      <c r="AD37" s="59"/>
      <c r="AE37" s="59"/>
      <c r="AF37" s="59"/>
      <c r="AG37" s="59"/>
      <c r="AH37" s="59"/>
      <c r="AI37" s="59"/>
    </row>
    <row r="38" spans="1:35" s="72" customFormat="1" ht="13" x14ac:dyDescent="0.35">
      <c r="A38" s="13">
        <f>J8</f>
        <v>20</v>
      </c>
      <c r="B38" s="15">
        <v>50</v>
      </c>
      <c r="C38" s="77">
        <f t="shared" si="6"/>
        <v>62.842500000000015</v>
      </c>
      <c r="D38" s="77">
        <f t="shared" si="7"/>
        <v>39.279195000000009</v>
      </c>
      <c r="E38" s="77">
        <f t="shared" si="8"/>
        <v>8.215087500000001</v>
      </c>
      <c r="F38" s="77">
        <f t="shared" si="9"/>
        <v>40.848975000000003</v>
      </c>
      <c r="G38" s="77">
        <f t="shared" si="5"/>
        <v>0.26932499999999998</v>
      </c>
      <c r="H38" s="77">
        <f t="shared" si="5"/>
        <v>2.4772500000000002</v>
      </c>
      <c r="I38" s="77">
        <f t="shared" si="5"/>
        <v>0.21194999999999997</v>
      </c>
      <c r="J38" s="77">
        <f t="shared" si="5"/>
        <v>9.3825000000000002E-3</v>
      </c>
      <c r="K38" s="77">
        <f t="shared" si="5"/>
        <v>1.4175000000000001E-3</v>
      </c>
      <c r="L38" s="77">
        <f t="shared" si="5"/>
        <v>0.38205000000000006</v>
      </c>
      <c r="M38" s="77">
        <f t="shared" si="5"/>
        <v>0.17415000000000003</v>
      </c>
      <c r="N38" s="77">
        <f t="shared" si="5"/>
        <v>124.20000000000002</v>
      </c>
      <c r="O38" s="77">
        <f t="shared" si="5"/>
        <v>328.72500000000002</v>
      </c>
      <c r="P38" s="77">
        <f t="shared" si="5"/>
        <v>0</v>
      </c>
      <c r="Q38" s="77">
        <f t="shared" si="10"/>
        <v>26.662500000000001</v>
      </c>
      <c r="R38" s="77">
        <f t="shared" si="11"/>
        <v>0</v>
      </c>
      <c r="S38" s="77">
        <f t="shared" si="11"/>
        <v>8.7075000000000014E-2</v>
      </c>
      <c r="T38" s="77">
        <f t="shared" si="11"/>
        <v>0</v>
      </c>
      <c r="U38" s="77">
        <f t="shared" si="11"/>
        <v>0</v>
      </c>
      <c r="AB38" s="59"/>
      <c r="AC38" s="59"/>
      <c r="AD38" s="59"/>
      <c r="AE38" s="59"/>
      <c r="AF38" s="59"/>
      <c r="AG38" s="59"/>
      <c r="AH38" s="59"/>
      <c r="AI38" s="59"/>
    </row>
    <row r="39" spans="1:35" s="72" customFormat="1" ht="13" x14ac:dyDescent="0.35">
      <c r="A39" s="13">
        <f>K8</f>
        <v>21</v>
      </c>
      <c r="B39" s="15">
        <v>50</v>
      </c>
      <c r="C39" s="77">
        <f t="shared" si="6"/>
        <v>62.842500000000015</v>
      </c>
      <c r="D39" s="77">
        <f t="shared" si="7"/>
        <v>39.279195000000009</v>
      </c>
      <c r="E39" s="77">
        <f t="shared" si="8"/>
        <v>8.215087500000001</v>
      </c>
      <c r="F39" s="77">
        <f t="shared" si="9"/>
        <v>40.848975000000003</v>
      </c>
      <c r="G39" s="77">
        <f t="shared" si="5"/>
        <v>0.26932499999999998</v>
      </c>
      <c r="H39" s="77">
        <f t="shared" si="5"/>
        <v>2.4772500000000002</v>
      </c>
      <c r="I39" s="77">
        <f t="shared" si="5"/>
        <v>0.21194999999999997</v>
      </c>
      <c r="J39" s="77">
        <f t="shared" si="5"/>
        <v>9.3825000000000002E-3</v>
      </c>
      <c r="K39" s="77">
        <f t="shared" si="5"/>
        <v>1.4175000000000001E-3</v>
      </c>
      <c r="L39" s="77">
        <f t="shared" si="5"/>
        <v>0.38205000000000006</v>
      </c>
      <c r="M39" s="77">
        <f t="shared" si="5"/>
        <v>0.17415000000000003</v>
      </c>
      <c r="N39" s="77">
        <f t="shared" si="5"/>
        <v>124.20000000000002</v>
      </c>
      <c r="O39" s="77">
        <f t="shared" si="5"/>
        <v>328.72500000000002</v>
      </c>
      <c r="P39" s="77">
        <f t="shared" si="5"/>
        <v>0</v>
      </c>
      <c r="Q39" s="77">
        <f t="shared" si="10"/>
        <v>26.662500000000001</v>
      </c>
      <c r="R39" s="77">
        <f t="shared" si="11"/>
        <v>0</v>
      </c>
      <c r="S39" s="77">
        <f t="shared" si="11"/>
        <v>8.7075000000000014E-2</v>
      </c>
      <c r="T39" s="77">
        <f t="shared" si="11"/>
        <v>0</v>
      </c>
      <c r="U39" s="77">
        <f t="shared" si="11"/>
        <v>0</v>
      </c>
      <c r="AB39" s="59"/>
      <c r="AC39" s="59"/>
      <c r="AD39" s="59"/>
      <c r="AE39" s="59"/>
      <c r="AF39" s="59"/>
      <c r="AG39" s="59"/>
      <c r="AH39" s="59"/>
      <c r="AI39" s="59"/>
    </row>
    <row r="40" spans="1:35" s="72" customFormat="1" ht="13" x14ac:dyDescent="0.35">
      <c r="A40" s="13">
        <f>L8</f>
        <v>24</v>
      </c>
      <c r="B40" s="15">
        <v>50</v>
      </c>
      <c r="C40" s="77">
        <f t="shared" si="6"/>
        <v>62.842500000000015</v>
      </c>
      <c r="D40" s="77">
        <f t="shared" si="7"/>
        <v>39.279195000000009</v>
      </c>
      <c r="E40" s="77">
        <f t="shared" si="8"/>
        <v>8.215087500000001</v>
      </c>
      <c r="F40" s="77">
        <f t="shared" si="9"/>
        <v>40.848975000000003</v>
      </c>
      <c r="G40" s="77">
        <f t="shared" si="5"/>
        <v>0.26932499999999998</v>
      </c>
      <c r="H40" s="77">
        <f t="shared" si="5"/>
        <v>2.4772500000000002</v>
      </c>
      <c r="I40" s="77">
        <f t="shared" si="5"/>
        <v>0.21194999999999997</v>
      </c>
      <c r="J40" s="77">
        <f t="shared" si="5"/>
        <v>9.3825000000000002E-3</v>
      </c>
      <c r="K40" s="77">
        <f t="shared" si="5"/>
        <v>1.4175000000000001E-3</v>
      </c>
      <c r="L40" s="77">
        <f t="shared" si="5"/>
        <v>0.38205000000000006</v>
      </c>
      <c r="M40" s="77">
        <f t="shared" si="5"/>
        <v>0.17415000000000003</v>
      </c>
      <c r="N40" s="77">
        <f t="shared" si="5"/>
        <v>124.20000000000002</v>
      </c>
      <c r="O40" s="77">
        <f t="shared" si="5"/>
        <v>328.72500000000002</v>
      </c>
      <c r="P40" s="77">
        <f t="shared" si="5"/>
        <v>0</v>
      </c>
      <c r="Q40" s="77">
        <f t="shared" si="10"/>
        <v>26.662500000000001</v>
      </c>
      <c r="R40" s="77">
        <f t="shared" si="11"/>
        <v>0</v>
      </c>
      <c r="S40" s="77">
        <f t="shared" si="11"/>
        <v>8.7075000000000014E-2</v>
      </c>
      <c r="T40" s="77">
        <f t="shared" si="11"/>
        <v>0</v>
      </c>
      <c r="U40" s="77">
        <f t="shared" si="11"/>
        <v>0</v>
      </c>
      <c r="AB40" s="59"/>
      <c r="AC40" s="59"/>
      <c r="AD40" s="59"/>
      <c r="AE40" s="59"/>
      <c r="AF40" s="59"/>
      <c r="AG40" s="59"/>
      <c r="AH40" s="59"/>
      <c r="AI40" s="59"/>
    </row>
    <row r="41" spans="1:35" s="72" customFormat="1" ht="13" x14ac:dyDescent="0.35">
      <c r="A41" s="13" t="str">
        <f>M8</f>
        <v>F29</v>
      </c>
      <c r="B41" s="15">
        <v>50</v>
      </c>
      <c r="C41" s="77">
        <f t="shared" si="6"/>
        <v>62.842500000000015</v>
      </c>
      <c r="D41" s="77">
        <f t="shared" si="7"/>
        <v>39.279195000000009</v>
      </c>
      <c r="E41" s="77">
        <f t="shared" si="8"/>
        <v>8.215087500000001</v>
      </c>
      <c r="F41" s="77">
        <f t="shared" si="9"/>
        <v>40.848975000000003</v>
      </c>
      <c r="G41" s="77">
        <f t="shared" si="5"/>
        <v>0.26932499999999998</v>
      </c>
      <c r="H41" s="77">
        <f t="shared" si="5"/>
        <v>2.4772500000000002</v>
      </c>
      <c r="I41" s="77">
        <f t="shared" si="5"/>
        <v>0.21194999999999997</v>
      </c>
      <c r="J41" s="77">
        <f t="shared" si="5"/>
        <v>9.3825000000000002E-3</v>
      </c>
      <c r="K41" s="77">
        <f t="shared" si="5"/>
        <v>1.4175000000000001E-3</v>
      </c>
      <c r="L41" s="77">
        <f t="shared" si="5"/>
        <v>0.38205000000000006</v>
      </c>
      <c r="M41" s="77">
        <f t="shared" si="5"/>
        <v>0.17415000000000003</v>
      </c>
      <c r="N41" s="77">
        <f t="shared" si="5"/>
        <v>124.20000000000002</v>
      </c>
      <c r="O41" s="77">
        <f t="shared" si="5"/>
        <v>328.72500000000002</v>
      </c>
      <c r="P41" s="77">
        <f t="shared" si="5"/>
        <v>0</v>
      </c>
      <c r="Q41" s="77">
        <f t="shared" si="10"/>
        <v>26.662500000000001</v>
      </c>
      <c r="R41" s="77">
        <f t="shared" si="11"/>
        <v>0</v>
      </c>
      <c r="S41" s="77">
        <f t="shared" si="11"/>
        <v>8.7075000000000014E-2</v>
      </c>
      <c r="T41" s="77">
        <f t="shared" si="11"/>
        <v>0</v>
      </c>
      <c r="U41" s="77">
        <f t="shared" si="11"/>
        <v>0</v>
      </c>
      <c r="AB41" s="59"/>
      <c r="AC41" s="59"/>
      <c r="AD41" s="59"/>
      <c r="AE41" s="59"/>
      <c r="AF41" s="59"/>
      <c r="AG41" s="59"/>
      <c r="AH41" s="59"/>
      <c r="AI41" s="59"/>
    </row>
    <row r="42" spans="1:35" s="72" customFormat="1" ht="13" x14ac:dyDescent="0.35">
      <c r="A42" s="13" t="str">
        <f>N8</f>
        <v>F30</v>
      </c>
      <c r="B42" s="15">
        <v>50</v>
      </c>
      <c r="C42" s="77">
        <f t="shared" si="6"/>
        <v>62.842500000000015</v>
      </c>
      <c r="D42" s="77">
        <f t="shared" si="7"/>
        <v>39.279195000000009</v>
      </c>
      <c r="E42" s="77">
        <f t="shared" si="8"/>
        <v>8.215087500000001</v>
      </c>
      <c r="F42" s="77">
        <f t="shared" si="9"/>
        <v>40.848975000000003</v>
      </c>
      <c r="G42" s="77">
        <f t="shared" si="5"/>
        <v>0.26932499999999998</v>
      </c>
      <c r="H42" s="77">
        <f t="shared" si="5"/>
        <v>2.4772500000000002</v>
      </c>
      <c r="I42" s="77">
        <f t="shared" si="5"/>
        <v>0.21194999999999997</v>
      </c>
      <c r="J42" s="77">
        <f t="shared" si="5"/>
        <v>9.3825000000000002E-3</v>
      </c>
      <c r="K42" s="77">
        <f t="shared" si="5"/>
        <v>1.4175000000000001E-3</v>
      </c>
      <c r="L42" s="77">
        <f t="shared" si="5"/>
        <v>0.38205000000000006</v>
      </c>
      <c r="M42" s="77">
        <f t="shared" si="5"/>
        <v>0.17415000000000003</v>
      </c>
      <c r="N42" s="77">
        <f t="shared" si="5"/>
        <v>124.20000000000002</v>
      </c>
      <c r="O42" s="77">
        <f t="shared" si="5"/>
        <v>328.72500000000002</v>
      </c>
      <c r="P42" s="77">
        <f t="shared" si="5"/>
        <v>0</v>
      </c>
      <c r="Q42" s="77">
        <f t="shared" si="10"/>
        <v>26.662500000000001</v>
      </c>
      <c r="R42" s="77">
        <f t="shared" si="11"/>
        <v>0</v>
      </c>
      <c r="S42" s="77">
        <f t="shared" si="11"/>
        <v>8.7075000000000014E-2</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f>VLOOKUP(I$14,Table245811[],5,FALSE)</f>
        <v>6.7</v>
      </c>
      <c r="I59" s="76">
        <f>VLOOKUP(J$14,Table245811[],5,FALSE)</f>
        <v>6.7</v>
      </c>
      <c r="J59" s="76">
        <f>VLOOKUP(K$14,Table245811[],5,FALSE)</f>
        <v>6.2</v>
      </c>
      <c r="K59" s="76">
        <f>VLOOKUP(L$14,Table245811[],5,FALSE)</f>
        <v>6.2</v>
      </c>
      <c r="L59" s="76">
        <f>VLOOKUP(M$14,Table245811[],5,FALSE)</f>
        <v>6.2</v>
      </c>
      <c r="M59" s="76">
        <f>VLOOKUP(N$14,Table245811[],5,FALSE)</f>
        <v>6.2</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50</v>
      </c>
      <c r="C62" s="77">
        <f>B32</f>
        <v>50</v>
      </c>
      <c r="D62" s="77">
        <f>B33</f>
        <v>50</v>
      </c>
      <c r="E62" s="77">
        <f>B34</f>
        <v>50</v>
      </c>
      <c r="F62" s="77">
        <f>B35</f>
        <v>50</v>
      </c>
      <c r="G62" s="77">
        <f>B36</f>
        <v>50</v>
      </c>
      <c r="H62" s="77">
        <f>B37</f>
        <v>50</v>
      </c>
      <c r="I62" s="77">
        <f>B38</f>
        <v>50</v>
      </c>
      <c r="J62" s="77">
        <f>B39</f>
        <v>50</v>
      </c>
      <c r="K62" s="77">
        <f>B40</f>
        <v>50</v>
      </c>
      <c r="L62" s="77">
        <f>B41</f>
        <v>50</v>
      </c>
      <c r="M62" s="77">
        <f>B42</f>
        <v>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f>VLOOKUP(I$14,Table24581112[],5,FALSE)</f>
        <v>6.7</v>
      </c>
      <c r="I59" s="76">
        <f>VLOOKUP(J$14,Table24581112[],5,FALSE)</f>
        <v>6.7</v>
      </c>
      <c r="J59" s="76">
        <f>VLOOKUP(K$14,Table24581112[],5,FALSE)</f>
        <v>6.2</v>
      </c>
      <c r="K59" s="76">
        <f>VLOOKUP(L$14,Table24581112[],5,FALSE)</f>
        <v>6.2</v>
      </c>
      <c r="L59" s="76">
        <f>VLOOKUP(M$14,Table24581112[],5,FALSE)</f>
        <v>6.2</v>
      </c>
      <c r="M59" s="76">
        <f>VLOOKUP(N$14,Table24581112[],5,FALSE)</f>
        <v>6.2</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f>VLOOKUP(I$14,Table24581114[],5,FALSE)</f>
        <v>6.7</v>
      </c>
      <c r="I59" s="76">
        <f>VLOOKUP(J$14,Table24581114[],5,FALSE)</f>
        <v>6.7</v>
      </c>
      <c r="J59" s="76">
        <f>VLOOKUP(K$14,Table24581114[],5,FALSE)</f>
        <v>6.2</v>
      </c>
      <c r="K59" s="76">
        <f>VLOOKUP(L$14,Table24581114[],5,FALSE)</f>
        <v>6.2</v>
      </c>
      <c r="L59" s="76">
        <f>VLOOKUP(M$14,Table24581114[],5,FALSE)</f>
        <v>6.2</v>
      </c>
      <c r="M59" s="76">
        <f>VLOOKUP(N$14,Table24581114[],5,FALSE)</f>
        <v>6.2</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f>VLOOKUP(I$14,Table245810[],5,FALSE)</f>
        <v>6.7</v>
      </c>
      <c r="I59" s="76">
        <f>VLOOKUP(J$14,Table245810[],5,FALSE)</f>
        <v>6.7</v>
      </c>
      <c r="J59" s="76">
        <f>VLOOKUP(K$14,Table245810[],5,FALSE)</f>
        <v>6.2</v>
      </c>
      <c r="K59" s="76">
        <f>VLOOKUP(L$14,Table245810[],5,FALSE)</f>
        <v>6.2</v>
      </c>
      <c r="L59" s="76">
        <f>VLOOKUP(M$14,Table245810[],5,FALSE)</f>
        <v>6.2</v>
      </c>
      <c r="M59" s="76">
        <f>VLOOKUP(N$14,Table245810[],5,FALSE)</f>
        <v>6.2</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f>VLOOKUP(I$14,Table2458[],5,FALSE)</f>
        <v>6.7</v>
      </c>
      <c r="I59" s="76">
        <f>VLOOKUP(J$14,Table2458[],5,FALSE)</f>
        <v>6.7</v>
      </c>
      <c r="J59" s="76">
        <f>VLOOKUP(K$14,Table2458[],5,FALSE)</f>
        <v>6.2</v>
      </c>
      <c r="K59" s="76">
        <f>VLOOKUP(L$14,Table2458[],5,FALSE)</f>
        <v>6.2</v>
      </c>
      <c r="L59" s="76">
        <f>VLOOKUP(M$14,Table2458[],5,FALSE)</f>
        <v>6.2</v>
      </c>
      <c r="M59" s="76">
        <f>VLOOKUP(N$14,Table2458[],5,FALSE)</f>
        <v>6.2</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Arable</v>
      </c>
      <c r="I58" s="13" t="str">
        <f>J16&amp;" I "&amp;(VLOOKUP(J14,Table24581113[],6,FALSE))</f>
        <v>Medium/Clay I Arable</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f>VLOOKUP(I$14,Table24581113[],5,FALSE)</f>
        <v>6.7</v>
      </c>
      <c r="I59" s="76">
        <f>VLOOKUP(J$14,Table24581113[],5,FALSE)</f>
        <v>6.7</v>
      </c>
      <c r="J59" s="76">
        <f>VLOOKUP(K$14,Table24581113[],5,FALSE)</f>
        <v>6.2</v>
      </c>
      <c r="K59" s="76">
        <f>VLOOKUP(L$14,Table24581113[],5,FALSE)</f>
        <v>6.2</v>
      </c>
      <c r="L59" s="76">
        <f>VLOOKUP(M$14,Table24581113[],5,FALSE)</f>
        <v>6.2</v>
      </c>
      <c r="M59" s="76">
        <f>VLOOKUP(N$14,Table24581113[],5,FALSE)</f>
        <v>6.2</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Arable</v>
      </c>
      <c r="I58" s="13" t="str">
        <f>J16&amp;" I "&amp;(VLOOKUP(J14,Table24567[],6,FALSE))</f>
        <v>Medium/Clay I Arable</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f>VLOOKUP(I$14,Table24567[],5,FALSE)</f>
        <v>6.7</v>
      </c>
      <c r="I59" s="76">
        <f>VLOOKUP(J$14,Table24567[],5,FALSE)</f>
        <v>6.7</v>
      </c>
      <c r="J59" s="76">
        <f>VLOOKUP(K$14,Table24567[],5,FALSE)</f>
        <v>6.2</v>
      </c>
      <c r="K59" s="76">
        <f>VLOOKUP(L$14,Table24567[],5,FALSE)</f>
        <v>6.2</v>
      </c>
      <c r="L59" s="76">
        <f>VLOOKUP(M$14,Table24567[],5,FALSE)</f>
        <v>6.2</v>
      </c>
      <c r="M59" s="76">
        <f>VLOOKUP(N$14,Table24567[],5,FALSE)</f>
        <v>6.2</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Waste 1'!C1:D1</f>
        <v xml:space="preserve">PAN-020931 </v>
      </c>
      <c r="D1" s="142"/>
      <c r="E1" s="93" t="s">
        <v>45</v>
      </c>
      <c r="F1" s="39">
        <f>'Field data and Waste 1'!F1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Waste 1'!C2:D2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Waste 1'!C3:D3</f>
        <v>Stepside Agri</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Waste 1'!C4:D4</f>
        <v>Ffynnoncyff farm, Ferwig, Cardigan, Ceredigion, SA43 1QD</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Waste 1'!C5:D5</f>
        <v>Ethan Banfield</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2/0278</v>
      </c>
      <c r="D8" s="60" t="str">
        <f>'Field data and Waste 1'!D8</f>
        <v>F7</v>
      </c>
      <c r="E8" s="60">
        <f>'Field data and Waste 1'!E8</f>
        <v>8</v>
      </c>
      <c r="F8" s="60">
        <f>'Field data and Waste 1'!F8</f>
        <v>9</v>
      </c>
      <c r="G8" s="60">
        <f>'Field data and Waste 1'!G8</f>
        <v>11</v>
      </c>
      <c r="H8" s="60">
        <f>'Field data and Waste 1'!H8</f>
        <v>12</v>
      </c>
      <c r="I8" s="60">
        <f>'Field data and Waste 1'!I8</f>
        <v>13</v>
      </c>
      <c r="J8" s="60">
        <f>'Field data and Waste 1'!J8</f>
        <v>20</v>
      </c>
      <c r="K8" s="60">
        <f>'Field data and Waste 1'!K8</f>
        <v>21</v>
      </c>
      <c r="L8" s="60">
        <f>'Field data and Waste 1'!L8</f>
        <v>24</v>
      </c>
      <c r="M8" s="60" t="str">
        <f>'Field data and Waste 1'!M8</f>
        <v>F29</v>
      </c>
      <c r="N8" s="60" t="str">
        <f>'Field data and Waste 1'!N8</f>
        <v>F30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f>'Field data and Waste 1'!H9</f>
        <v>1</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6.4</v>
      </c>
      <c r="D10" s="60">
        <f>'Field data and Waste 1'!D10</f>
        <v>6.7</v>
      </c>
      <c r="E10" s="60">
        <f>'Field data and Waste 1'!E10</f>
        <v>6.4</v>
      </c>
      <c r="F10" s="60">
        <f>'Field data and Waste 1'!F10</f>
        <v>6.3</v>
      </c>
      <c r="G10" s="60">
        <f>'Field data and Waste 1'!G10</f>
        <v>6.3</v>
      </c>
      <c r="H10" s="60">
        <f>'Field data and Waste 1'!H10</f>
        <v>6.9</v>
      </c>
      <c r="I10" s="60">
        <f>'Field data and Waste 1'!I10</f>
        <v>7</v>
      </c>
      <c r="J10" s="60">
        <f>'Field data and Waste 1'!J10</f>
        <v>6.9</v>
      </c>
      <c r="K10" s="60">
        <f>'Field data and Waste 1'!K10</f>
        <v>7</v>
      </c>
      <c r="L10" s="60">
        <f>'Field data and Waste 1'!L10</f>
        <v>6.2</v>
      </c>
      <c r="M10" s="60">
        <f>'Field data and Waste 1'!M10</f>
        <v>6.4</v>
      </c>
      <c r="N10" s="60">
        <f>'Field data and Waste 1'!N10</f>
        <v>6.6</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2</v>
      </c>
      <c r="G11" s="60">
        <f>'Field data and Waste 1'!G11</f>
        <v>2</v>
      </c>
      <c r="H11" s="60">
        <f>'Field data and Waste 1'!H11</f>
        <v>3</v>
      </c>
      <c r="I11" s="60">
        <f>'Field data and Waste 1'!I11</f>
        <v>3</v>
      </c>
      <c r="J11" s="60">
        <f>'Field data and Waste 1'!J11</f>
        <v>3</v>
      </c>
      <c r="K11" s="60">
        <f>'Field data and Waste 1'!K11</f>
        <v>3</v>
      </c>
      <c r="L11" s="60">
        <f>'Field data and Waste 1'!L11</f>
        <v>3</v>
      </c>
      <c r="M11" s="60">
        <f>'Field data and Waste 1'!M11</f>
        <v>3</v>
      </c>
      <c r="N11" s="60">
        <f>'Field data and Waste 1'!N11</f>
        <v>3</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2</v>
      </c>
      <c r="I12" s="60">
        <f>'Field data and Waste 1'!I12</f>
        <v>2</v>
      </c>
      <c r="J12" s="60">
        <f>'Field data and Waste 1'!J12</f>
        <v>3</v>
      </c>
      <c r="K12" s="60">
        <f>'Field data and Waste 1'!K12</f>
        <v>2</v>
      </c>
      <c r="L12" s="60">
        <f>'Field data and Waste 1'!L12</f>
        <v>3</v>
      </c>
      <c r="M12" s="60">
        <f>'Field data and Waste 1'!M12</f>
        <v>2</v>
      </c>
      <c r="N12" s="60">
        <f>'Field data and Waste 1'!N12</f>
        <v>1</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2</v>
      </c>
      <c r="E13" s="60">
        <f>'Field data and Waste 1'!E13</f>
        <v>4</v>
      </c>
      <c r="F13" s="60">
        <f>'Field data and Waste 1'!F13</f>
        <v>4</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Waste 1'!C14</f>
        <v>Spring wheat/barley</v>
      </c>
      <c r="D14" s="102" t="str">
        <f>'Field data and Waste 1'!D14</f>
        <v>Spring wheat/barley</v>
      </c>
      <c r="E14" s="102" t="str">
        <f>'Field data and Waste 1'!E14</f>
        <v>Maize- Silage (30% DM)</v>
      </c>
      <c r="F14" s="102" t="str">
        <f>'Field data and Waste 1'!F14</f>
        <v>Maize- Silage (30% DM)</v>
      </c>
      <c r="G14" s="102" t="str">
        <f>'Field data and Waste 1'!G14</f>
        <v>Spring wheat/barley</v>
      </c>
      <c r="H14" s="102" t="str">
        <f>'Field data and Waste 1'!H14</f>
        <v>Maize- Silage (30% DM)</v>
      </c>
      <c r="I14" s="102" t="str">
        <f>'Field data and Waste 1'!I14</f>
        <v>Maize- Silage (30% DM)</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6" t="s">
        <v>9</v>
      </c>
      <c r="B15" s="136"/>
      <c r="C15" s="60">
        <f>'Field data and Waste 1'!C15</f>
        <v>6.5</v>
      </c>
      <c r="D15" s="60">
        <f>'Field data and Waste 1'!D15</f>
        <v>6.5</v>
      </c>
      <c r="E15" s="60">
        <f>'Field data and Waste 1'!E15</f>
        <v>45</v>
      </c>
      <c r="F15" s="60">
        <f>'Field data and Waste 1'!F15</f>
        <v>45</v>
      </c>
      <c r="G15" s="60">
        <f>'Field data and Waste 1'!G15</f>
        <v>6.5</v>
      </c>
      <c r="H15" s="60">
        <f>'Field data and Waste 1'!H15</f>
        <v>45</v>
      </c>
      <c r="I15" s="60">
        <f>'Field data and Waste 1'!I15</f>
        <v>45</v>
      </c>
      <c r="J15" s="60">
        <f>'Field data and Waste 1'!J15</f>
        <v>6.5</v>
      </c>
      <c r="K15" s="60">
        <f>'Field data and Waste 1'!K15</f>
        <v>47</v>
      </c>
      <c r="L15" s="60">
        <f>'Field data and Waste 1'!L15</f>
        <v>47</v>
      </c>
      <c r="M15" s="60">
        <f>'Field data and Waste 1'!M15</f>
        <v>47</v>
      </c>
      <c r="N15" s="60">
        <f>'Field data and Waste 1'!N15</f>
        <v>47</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55.25</v>
      </c>
      <c r="D17" s="28">
        <f t="shared" ref="D17:V17" si="0">(VLOOKUP(D$14,$AI2:$AK26,2,FALSE))*D$15</f>
        <v>55.25</v>
      </c>
      <c r="E17" s="28">
        <f t="shared" si="0"/>
        <v>62.999999999999993</v>
      </c>
      <c r="F17" s="28">
        <f t="shared" si="0"/>
        <v>62.999999999999993</v>
      </c>
      <c r="G17" s="28">
        <f t="shared" si="0"/>
        <v>55.25</v>
      </c>
      <c r="H17" s="28">
        <f t="shared" si="0"/>
        <v>62.999999999999993</v>
      </c>
      <c r="I17" s="28">
        <f t="shared" si="0"/>
        <v>62.999999999999993</v>
      </c>
      <c r="J17" s="28">
        <f t="shared" si="0"/>
        <v>55.25</v>
      </c>
      <c r="K17" s="28">
        <f t="shared" si="0"/>
        <v>79.899999999999991</v>
      </c>
      <c r="L17" s="28">
        <f t="shared" si="0"/>
        <v>79.899999999999991</v>
      </c>
      <c r="M17" s="28">
        <f t="shared" si="0"/>
        <v>79.899999999999991</v>
      </c>
      <c r="N17" s="28">
        <f t="shared" si="0"/>
        <v>79.899999999999991</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-55.25</v>
      </c>
      <c r="D19" s="16">
        <f t="shared" ref="D19:V19" si="1">D18-D17</f>
        <v>-55.25</v>
      </c>
      <c r="E19" s="16">
        <f t="shared" si="1"/>
        <v>-62.999999999999993</v>
      </c>
      <c r="F19" s="16">
        <f t="shared" si="1"/>
        <v>-62.999999999999993</v>
      </c>
      <c r="G19" s="16">
        <f t="shared" si="1"/>
        <v>-55.25</v>
      </c>
      <c r="H19" s="16">
        <f t="shared" si="1"/>
        <v>-62.999999999999993</v>
      </c>
      <c r="I19" s="16">
        <f t="shared" si="1"/>
        <v>-62.999999999999993</v>
      </c>
      <c r="J19" s="16">
        <f t="shared" si="1"/>
        <v>-55.25</v>
      </c>
      <c r="K19" s="16">
        <f t="shared" si="1"/>
        <v>-79.899999999999991</v>
      </c>
      <c r="L19" s="16">
        <f t="shared" si="1"/>
        <v>-79.899999999999991</v>
      </c>
      <c r="M19" s="16">
        <f t="shared" si="1"/>
        <v>-79.899999999999991</v>
      </c>
      <c r="N19" s="16">
        <f t="shared" si="1"/>
        <v>-79.899999999999991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78</v>
      </c>
      <c r="D21" s="28">
        <f t="shared" ref="D21:V21" si="2">(VLOOKUP(D$14,$AI2:$AK26,3,FALSE))*D$15</f>
        <v>78</v>
      </c>
      <c r="E21" s="28">
        <f t="shared" si="2"/>
        <v>198.00000000000003</v>
      </c>
      <c r="F21" s="28">
        <f t="shared" si="2"/>
        <v>198.00000000000003</v>
      </c>
      <c r="G21" s="28">
        <f t="shared" si="2"/>
        <v>78</v>
      </c>
      <c r="H21" s="28">
        <f t="shared" si="2"/>
        <v>198.00000000000003</v>
      </c>
      <c r="I21" s="28">
        <f t="shared" si="2"/>
        <v>198.00000000000003</v>
      </c>
      <c r="J21" s="28">
        <f t="shared" si="2"/>
        <v>78</v>
      </c>
      <c r="K21" s="28">
        <f t="shared" si="2"/>
        <v>282</v>
      </c>
      <c r="L21" s="28">
        <f t="shared" si="2"/>
        <v>282</v>
      </c>
      <c r="M21" s="28">
        <f t="shared" si="2"/>
        <v>282</v>
      </c>
      <c r="N21" s="28">
        <f t="shared" si="2"/>
        <v>282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-78</v>
      </c>
      <c r="D23" s="16">
        <f t="shared" ref="D23:V23" si="3">D22-D21</f>
        <v>-78</v>
      </c>
      <c r="E23" s="16">
        <f t="shared" si="3"/>
        <v>-198.00000000000003</v>
      </c>
      <c r="F23" s="16">
        <f t="shared" si="3"/>
        <v>-198.00000000000003</v>
      </c>
      <c r="G23" s="16">
        <f t="shared" si="3"/>
        <v>-78</v>
      </c>
      <c r="H23" s="16">
        <f t="shared" si="3"/>
        <v>-198.00000000000003</v>
      </c>
      <c r="I23" s="16">
        <f t="shared" si="3"/>
        <v>-198.00000000000003</v>
      </c>
      <c r="J23" s="16">
        <f t="shared" si="3"/>
        <v>-78</v>
      </c>
      <c r="K23" s="16">
        <f t="shared" si="3"/>
        <v>-282</v>
      </c>
      <c r="L23" s="16">
        <f t="shared" si="3"/>
        <v>-282</v>
      </c>
      <c r="M23" s="16">
        <f t="shared" si="3"/>
        <v>-282</v>
      </c>
      <c r="N23" s="16">
        <f t="shared" si="3"/>
        <v>-282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2/0278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F7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8</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9</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20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21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24</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F29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F30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2/0278</v>
      </c>
      <c r="C57" s="8" t="str">
        <f t="shared" ref="C57:U57" si="13">D8</f>
        <v>F7</v>
      </c>
      <c r="D57" s="8">
        <f t="shared" si="13"/>
        <v>8</v>
      </c>
      <c r="E57" s="8">
        <f t="shared" si="13"/>
        <v>9</v>
      </c>
      <c r="F57" s="8">
        <f t="shared" si="13"/>
        <v>11</v>
      </c>
      <c r="G57" s="8">
        <f t="shared" si="13"/>
        <v>12</v>
      </c>
      <c r="H57" s="8">
        <f t="shared" si="13"/>
        <v>13</v>
      </c>
      <c r="I57" s="8">
        <f t="shared" si="13"/>
        <v>20</v>
      </c>
      <c r="J57" s="8">
        <f t="shared" si="13"/>
        <v>21</v>
      </c>
      <c r="K57" s="8">
        <f t="shared" si="13"/>
        <v>24</v>
      </c>
      <c r="L57" s="8" t="str">
        <f t="shared" si="13"/>
        <v>F29</v>
      </c>
      <c r="M57" s="8" t="str">
        <f t="shared" si="13"/>
        <v>F30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Arable</v>
      </c>
      <c r="I58" s="13" t="str">
        <f>J16&amp;" I "&amp;(VLOOKUP(J14,Table2456[],6,FALSE))</f>
        <v>Medium/Clay I Arable</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f>VLOOKUP(I$14,Table2456[],5,FALSE)</f>
        <v>6.7</v>
      </c>
      <c r="I59" s="76">
        <f>VLOOKUP(J$14,Table2456[],5,FALSE)</f>
        <v>6.7</v>
      </c>
      <c r="J59" s="76">
        <f>VLOOKUP(K$14,Table2456[],5,FALSE)</f>
        <v>6.2</v>
      </c>
      <c r="K59" s="76">
        <f>VLOOKUP(L$14,Table2456[],5,FALSE)</f>
        <v>6.2</v>
      </c>
      <c r="L59" s="76">
        <f>VLOOKUP(M$14,Table2456[],5,FALSE)</f>
        <v>6.2</v>
      </c>
      <c r="M59" s="76">
        <f>VLOOKUP(N$14,Table2456[],5,FALSE)</f>
        <v>6.2</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6.4</v>
      </c>
      <c r="C60" s="76">
        <f t="shared" ref="C60:U60" si="14">D10</f>
        <v>6.7</v>
      </c>
      <c r="D60" s="76">
        <f t="shared" si="14"/>
        <v>6.4</v>
      </c>
      <c r="E60" s="76">
        <f t="shared" si="14"/>
        <v>6.3</v>
      </c>
      <c r="F60" s="76">
        <f t="shared" si="14"/>
        <v>6.3</v>
      </c>
      <c r="G60" s="76">
        <f t="shared" si="14"/>
        <v>6.9</v>
      </c>
      <c r="H60" s="76">
        <f t="shared" si="14"/>
        <v>7</v>
      </c>
      <c r="I60" s="76">
        <f t="shared" si="14"/>
        <v>6.9</v>
      </c>
      <c r="J60" s="76">
        <f t="shared" si="14"/>
        <v>7</v>
      </c>
      <c r="K60" s="76">
        <f t="shared" si="14"/>
        <v>6.2</v>
      </c>
      <c r="L60" s="76">
        <f t="shared" si="14"/>
        <v>6.4</v>
      </c>
      <c r="M60" s="76">
        <f t="shared" si="14"/>
        <v>6.6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f t="shared" si="15"/>
        <v>8</v>
      </c>
      <c r="I61" s="76">
        <f t="shared" si="15"/>
        <v>8</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0</v>
      </c>
      <c r="D64" s="77">
        <f t="shared" si="17"/>
        <v>2.3999999999999986</v>
      </c>
      <c r="E64" s="77">
        <f t="shared" si="17"/>
        <v>3.2000000000000028</v>
      </c>
      <c r="F64" s="77">
        <f t="shared" si="17"/>
        <v>3.2000000000000028</v>
      </c>
      <c r="G64" s="77">
        <f t="shared" si="17"/>
        <v>-1.6000000000000014</v>
      </c>
      <c r="H64" s="77">
        <f t="shared" si="17"/>
        <v>-2.3999999999999986</v>
      </c>
      <c r="I64" s="77">
        <f t="shared" si="17"/>
        <v>-1.6000000000000014</v>
      </c>
      <c r="J64" s="77">
        <f t="shared" si="17"/>
        <v>-4.7999999999999989</v>
      </c>
      <c r="K64" s="77">
        <f t="shared" si="17"/>
        <v>0</v>
      </c>
      <c r="L64" s="77">
        <f t="shared" si="17"/>
        <v>-1.2000000000000011</v>
      </c>
      <c r="M64" s="77">
        <f t="shared" si="17"/>
        <v>-2.3999999999999968</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-2.3999999999999986</v>
      </c>
      <c r="C65" s="77">
        <f t="shared" ref="C65:U65" si="18">C63-C64</f>
        <v>0</v>
      </c>
      <c r="D65" s="77">
        <f t="shared" si="18"/>
        <v>-2.3999999999999986</v>
      </c>
      <c r="E65" s="77">
        <f t="shared" si="18"/>
        <v>-3.2000000000000028</v>
      </c>
      <c r="F65" s="77">
        <f t="shared" si="18"/>
        <v>-3.2000000000000028</v>
      </c>
      <c r="G65" s="77">
        <f t="shared" si="18"/>
        <v>1.6000000000000014</v>
      </c>
      <c r="H65" s="77">
        <f t="shared" si="18"/>
        <v>2.3999999999999986</v>
      </c>
      <c r="I65" s="77">
        <f t="shared" si="18"/>
        <v>1.6000000000000014</v>
      </c>
      <c r="J65" s="77">
        <f t="shared" si="18"/>
        <v>4.7999999999999989</v>
      </c>
      <c r="K65" s="77">
        <f t="shared" si="18"/>
        <v>0</v>
      </c>
      <c r="L65" s="77">
        <f t="shared" si="18"/>
        <v>1.2000000000000011</v>
      </c>
      <c r="M65" s="77">
        <f t="shared" si="18"/>
        <v>2.3999999999999968</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5"/>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34</v>
      </c>
      <c r="C3" s="33">
        <f>'Field data and Waste 1'!C31</f>
        <v>23.8</v>
      </c>
      <c r="D3" s="33">
        <f>'Field data and Waste 1'!D31</f>
        <v>54.681588000000005</v>
      </c>
      <c r="E3" s="33">
        <f>'Field data and Waste 1'!E31</f>
        <v>33.718310000000002</v>
      </c>
      <c r="F3" s="33">
        <f>'Field data and Waste 1'!F31</f>
        <v>8.9067759999999989</v>
      </c>
      <c r="G3" s="33">
        <f>'Field data and Waste 1'!G31</f>
        <v>2.5159999999999998E-2</v>
      </c>
      <c r="H3" s="33">
        <f>'Field data and Waste 1'!H31</f>
        <v>4.8959999999999997E-2</v>
      </c>
      <c r="I3" s="33">
        <f>'Field data and Waste 1'!I31</f>
        <v>1.7000000000000001E-2</v>
      </c>
      <c r="J3" s="33">
        <f>'Field data and Waste 1'!J31</f>
        <v>3.4000000000000002E-4</v>
      </c>
      <c r="K3" s="33">
        <f>'Field data and Waste 1'!K31</f>
        <v>1.7000000000000001E-3</v>
      </c>
      <c r="L3" s="33">
        <f>'Field data and Waste 1'!L31</f>
        <v>8.1600000000000006E-3</v>
      </c>
      <c r="M3" s="33">
        <f>'Field data and Waste 1'!M31</f>
        <v>6.8000000000000005E-3</v>
      </c>
      <c r="N3" s="33">
        <f>'Field data and Waste 1'!N31</f>
        <v>0</v>
      </c>
      <c r="O3" s="33">
        <f>'Field data and Waste 1'!O31</f>
        <v>0</v>
      </c>
      <c r="P3" s="33">
        <f>'Field data and Waste 1'!P31</f>
        <v>16.489999999999998</v>
      </c>
      <c r="Q3" s="33">
        <f>'Field data and Waste 1'!Q31</f>
        <v>13.345000000000001</v>
      </c>
      <c r="R3" s="33">
        <f>'Field data and Waste 1'!R31</f>
        <v>0</v>
      </c>
      <c r="S3" s="33">
        <f>'Field data and Waste 1'!S31</f>
        <v>0</v>
      </c>
      <c r="T3" s="33">
        <f>'Field data and Waste 1'!T31</f>
        <v>0</v>
      </c>
      <c r="U3" s="33">
        <f>'Field data and Waste 1'!U31</f>
        <v>0</v>
      </c>
    </row>
    <row r="4" spans="1:21" x14ac:dyDescent="0.25">
      <c r="A4" s="36">
        <v>2</v>
      </c>
      <c r="B4" s="33">
        <f>'Waste 2'!B31</f>
        <v>50</v>
      </c>
      <c r="C4" s="33">
        <f>'Waste 2'!C31</f>
        <v>50</v>
      </c>
      <c r="D4" s="33">
        <f>'Waste 2'!D31</f>
        <v>50.058350000000004</v>
      </c>
      <c r="E4" s="33">
        <f>'Waste 2'!E31</f>
        <v>48.260250000000006</v>
      </c>
      <c r="F4" s="33">
        <f>'Waste 2'!F31</f>
        <v>10.694100000000001</v>
      </c>
      <c r="G4" s="33">
        <f>'Waste 2'!G31</f>
        <v>0.186</v>
      </c>
      <c r="H4" s="33">
        <f>'Waste 2'!H31</f>
        <v>4.5999999999999999E-2</v>
      </c>
      <c r="I4" s="33">
        <f>'Waste 2'!I31</f>
        <v>2.5000000000000001E-2</v>
      </c>
      <c r="J4" s="33">
        <f>'Waste 2'!J31</f>
        <v>5.0000000000000001E-4</v>
      </c>
      <c r="K4" s="33">
        <f>'Waste 2'!K31</f>
        <v>2.5000000000000001E-3</v>
      </c>
      <c r="L4" s="33">
        <f>'Waste 2'!L31</f>
        <v>0.01</v>
      </c>
      <c r="M4" s="33">
        <f>'Waste 2'!M31</f>
        <v>1.3000000000000001E-2</v>
      </c>
      <c r="N4" s="33">
        <f>'Waste 2'!N31</f>
        <v>0</v>
      </c>
      <c r="O4" s="33">
        <f>'Waste 2'!O31</f>
        <v>0</v>
      </c>
      <c r="P4" s="33">
        <f>'Waste 2'!P31</f>
        <v>45.6</v>
      </c>
      <c r="Q4" s="33">
        <f>'Waste 2'!Q31</f>
        <v>12.750000000000002</v>
      </c>
      <c r="R4" s="33">
        <f>'Waste 2'!R31</f>
        <v>0</v>
      </c>
      <c r="S4" s="33">
        <f>'Waste 2'!S31</f>
        <v>0</v>
      </c>
      <c r="T4" s="33">
        <f>'Waste 2'!T31</f>
        <v>0</v>
      </c>
      <c r="U4" s="33">
        <f>'Waste 2'!U31</f>
        <v>0</v>
      </c>
    </row>
    <row r="5" spans="1:21" x14ac:dyDescent="0.25">
      <c r="A5" s="36">
        <v>3</v>
      </c>
      <c r="B5" s="33">
        <f>'Waste 3'!B31</f>
        <v>50</v>
      </c>
      <c r="C5" s="33">
        <f>'Waste 3'!C31</f>
        <v>62.842500000000015</v>
      </c>
      <c r="D5" s="33">
        <f>'Waste 3'!D31</f>
        <v>39.279195000000009</v>
      </c>
      <c r="E5" s="33">
        <f>'Waste 3'!E31</f>
        <v>8.215087500000001</v>
      </c>
      <c r="F5" s="33">
        <f>'Waste 3'!F31</f>
        <v>40.848975000000003</v>
      </c>
      <c r="G5" s="33">
        <f>'Waste 3'!G31</f>
        <v>0.26932499999999998</v>
      </c>
      <c r="H5" s="33">
        <f>'Waste 3'!H31</f>
        <v>2.4772500000000002</v>
      </c>
      <c r="I5" s="33">
        <f>'Waste 3'!I31</f>
        <v>0.21194999999999997</v>
      </c>
      <c r="J5" s="33">
        <f>'Waste 3'!J31</f>
        <v>9.3825000000000002E-3</v>
      </c>
      <c r="K5" s="33">
        <f>'Waste 3'!K31</f>
        <v>1.4175000000000001E-3</v>
      </c>
      <c r="L5" s="33">
        <f>'Waste 3'!L31</f>
        <v>0.38205000000000006</v>
      </c>
      <c r="M5" s="33">
        <f>'Waste 3'!M31</f>
        <v>0.17415000000000003</v>
      </c>
      <c r="N5" s="33">
        <f>'Waste 3'!N31</f>
        <v>124.20000000000002</v>
      </c>
      <c r="O5" s="33">
        <f>'Waste 3'!O31</f>
        <v>328.72500000000002</v>
      </c>
      <c r="P5" s="33">
        <f>'Waste 3'!P31</f>
        <v>0</v>
      </c>
      <c r="Q5" s="33">
        <f>'Waste 3'!Q31</f>
        <v>26.662500000000001</v>
      </c>
      <c r="R5" s="33">
        <f>'Waste 3'!R31</f>
        <v>0</v>
      </c>
      <c r="S5" s="33">
        <f>'Waste 3'!S31</f>
        <v>8.7075000000000014E-2</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134</v>
      </c>
      <c r="C13" s="81">
        <f t="shared" ref="C13:U13" si="0">SUM(C3:C12)</f>
        <v>136.64250000000001</v>
      </c>
      <c r="D13" s="81">
        <f t="shared" si="0"/>
        <v>144.01913300000001</v>
      </c>
      <c r="E13" s="81">
        <f t="shared" si="0"/>
        <v>90.193647500000012</v>
      </c>
      <c r="F13" s="81">
        <f t="shared" si="0"/>
        <v>60.449851000000002</v>
      </c>
      <c r="G13" s="81">
        <f t="shared" si="0"/>
        <v>0.48048499999999994</v>
      </c>
      <c r="H13" s="81">
        <f t="shared" si="0"/>
        <v>2.5722100000000001</v>
      </c>
      <c r="I13" s="81">
        <f t="shared" si="0"/>
        <v>0.25394999999999995</v>
      </c>
      <c r="J13" s="81">
        <f t="shared" si="0"/>
        <v>1.0222500000000001E-2</v>
      </c>
      <c r="K13" s="81">
        <f t="shared" si="0"/>
        <v>5.617500000000001E-3</v>
      </c>
      <c r="L13" s="81">
        <f t="shared" si="0"/>
        <v>0.40021000000000007</v>
      </c>
      <c r="M13" s="81">
        <f t="shared" si="0"/>
        <v>0.19395000000000004</v>
      </c>
      <c r="N13" s="81">
        <f t="shared" si="0"/>
        <v>124.20000000000002</v>
      </c>
      <c r="O13" s="81">
        <f t="shared" si="0"/>
        <v>328.72500000000002</v>
      </c>
      <c r="P13" s="81">
        <f t="shared" si="0"/>
        <v>62.09</v>
      </c>
      <c r="Q13" s="81">
        <f t="shared" si="0"/>
        <v>52.757500000000007</v>
      </c>
      <c r="R13" s="81">
        <f t="shared" si="0"/>
        <v>0</v>
      </c>
      <c r="S13" s="81">
        <f t="shared" si="0"/>
        <v>8.7075000000000014E-2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6"/>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34</v>
      </c>
      <c r="D3" s="33">
        <f>'Field data and Waste 1'!C31</f>
        <v>23.8</v>
      </c>
      <c r="E3" s="33">
        <f>'Field data and Waste 1'!D31</f>
        <v>54.681588000000005</v>
      </c>
      <c r="F3" s="33">
        <f>'Field data and Waste 1'!E31</f>
        <v>33.718310000000002</v>
      </c>
      <c r="G3" s="33">
        <f>'Field data and Waste 1'!F31</f>
        <v>8.9067759999999989</v>
      </c>
      <c r="H3" s="33">
        <f>'Field data and Waste 1'!G31</f>
        <v>2.5159999999999998E-2</v>
      </c>
      <c r="I3" s="33">
        <f>'Field data and Waste 1'!H31</f>
        <v>4.8959999999999997E-2</v>
      </c>
      <c r="J3" s="33">
        <f>'Field data and Waste 1'!I31</f>
        <v>1.7000000000000001E-2</v>
      </c>
      <c r="K3" s="33">
        <f>'Field data and Waste 1'!J31</f>
        <v>3.4000000000000002E-4</v>
      </c>
      <c r="L3" s="33">
        <f>'Field data and Waste 1'!K31</f>
        <v>1.7000000000000001E-3</v>
      </c>
      <c r="M3" s="33">
        <f>'Field data and Waste 1'!L31</f>
        <v>8.1600000000000006E-3</v>
      </c>
      <c r="N3" s="33">
        <f>'Field data and Waste 1'!M31</f>
        <v>6.8000000000000005E-3</v>
      </c>
      <c r="O3" s="33">
        <f>'Field data and Waste 1'!N31</f>
        <v>0</v>
      </c>
      <c r="P3" s="33">
        <f>'Field data and Waste 1'!O31</f>
        <v>0</v>
      </c>
      <c r="Q3" s="33">
        <f>'Field data and Waste 1'!P31</f>
        <v>16.489999999999998</v>
      </c>
      <c r="R3" s="33">
        <f>'Field data and Waste 1'!Q31</f>
        <v>13.345000000000001</v>
      </c>
      <c r="S3" s="33">
        <f>'Field data and Waste 1'!R31</f>
        <v>0</v>
      </c>
      <c r="T3" s="33">
        <f>'Field data and Waste 1'!S31</f>
        <v>0</v>
      </c>
      <c r="U3" s="33">
        <f>'Field data and Waste 1'!T31</f>
        <v>0</v>
      </c>
      <c r="V3" s="33">
        <f>'Field data and Waste 1'!U31</f>
        <v>0</v>
      </c>
    </row>
    <row r="4" spans="1:22" x14ac:dyDescent="0.25">
      <c r="A4" s="36">
        <v>2</v>
      </c>
      <c r="B4" s="91"/>
      <c r="C4" s="33">
        <f>'Waste 2'!B31</f>
        <v>50</v>
      </c>
      <c r="D4" s="33">
        <f>'Waste 2'!C31</f>
        <v>50</v>
      </c>
      <c r="E4" s="33">
        <f>'Waste 2'!D31</f>
        <v>50.058350000000004</v>
      </c>
      <c r="F4" s="33">
        <f>'Waste 2'!E31</f>
        <v>48.260250000000006</v>
      </c>
      <c r="G4" s="33">
        <f>'Waste 2'!F31</f>
        <v>10.694100000000001</v>
      </c>
      <c r="H4" s="33">
        <f>'Waste 2'!G31</f>
        <v>0.186</v>
      </c>
      <c r="I4" s="33">
        <f>'Waste 2'!H31</f>
        <v>4.5999999999999999E-2</v>
      </c>
      <c r="J4" s="33">
        <f>'Waste 2'!I31</f>
        <v>2.5000000000000001E-2</v>
      </c>
      <c r="K4" s="33">
        <f>'Waste 2'!J31</f>
        <v>5.0000000000000001E-4</v>
      </c>
      <c r="L4" s="33">
        <f>'Waste 2'!K31</f>
        <v>2.5000000000000001E-3</v>
      </c>
      <c r="M4" s="33">
        <f>'Waste 2'!L31</f>
        <v>0.01</v>
      </c>
      <c r="N4" s="33">
        <f>'Waste 2'!M31</f>
        <v>1.3000000000000001E-2</v>
      </c>
      <c r="O4" s="33">
        <f>'Waste 2'!N31</f>
        <v>0</v>
      </c>
      <c r="P4" s="33">
        <f>'Waste 2'!O31</f>
        <v>0</v>
      </c>
      <c r="Q4" s="33">
        <f>'Waste 2'!P31</f>
        <v>45.6</v>
      </c>
      <c r="R4" s="33">
        <f>'Waste 2'!Q31</f>
        <v>12.750000000000002</v>
      </c>
      <c r="S4" s="33">
        <f>'Waste 2'!R31</f>
        <v>0</v>
      </c>
      <c r="T4" s="33">
        <f>'Waste 2'!S31</f>
        <v>0</v>
      </c>
      <c r="U4" s="33">
        <f>'Waste 2'!T31</f>
        <v>0</v>
      </c>
      <c r="V4" s="33">
        <f>'Waste 2'!U31</f>
        <v>0</v>
      </c>
    </row>
    <row r="5" spans="1:22" x14ac:dyDescent="0.25">
      <c r="A5" s="36">
        <v>3</v>
      </c>
      <c r="B5" s="91"/>
      <c r="C5" s="33">
        <f>'Waste 3'!B31</f>
        <v>50</v>
      </c>
      <c r="D5" s="33">
        <f>'Waste 3'!C31</f>
        <v>62.842500000000015</v>
      </c>
      <c r="E5" s="33">
        <f>'Waste 3'!D31</f>
        <v>39.279195000000009</v>
      </c>
      <c r="F5" s="33">
        <f>'Waste 3'!E31</f>
        <v>8.215087500000001</v>
      </c>
      <c r="G5" s="33">
        <f>'Waste 3'!F31</f>
        <v>40.848975000000003</v>
      </c>
      <c r="H5" s="33">
        <f>'Waste 3'!G31</f>
        <v>0.26932499999999998</v>
      </c>
      <c r="I5" s="33">
        <f>'Waste 3'!H31</f>
        <v>2.4772500000000002</v>
      </c>
      <c r="J5" s="33">
        <f>'Waste 3'!I31</f>
        <v>0.21194999999999997</v>
      </c>
      <c r="K5" s="33">
        <f>'Waste 3'!J31</f>
        <v>9.3825000000000002E-3</v>
      </c>
      <c r="L5" s="33">
        <f>'Waste 3'!K31</f>
        <v>1.4175000000000001E-3</v>
      </c>
      <c r="M5" s="33">
        <f>'Waste 3'!L31</f>
        <v>0.38205000000000006</v>
      </c>
      <c r="N5" s="33">
        <f>'Waste 3'!M31</f>
        <v>0.17415000000000003</v>
      </c>
      <c r="O5" s="33">
        <f>'Waste 3'!N31</f>
        <v>124.20000000000002</v>
      </c>
      <c r="P5" s="33">
        <f>'Waste 3'!O31</f>
        <v>328.72500000000002</v>
      </c>
      <c r="Q5" s="33">
        <f>'Waste 3'!P31</f>
        <v>0</v>
      </c>
      <c r="R5" s="33">
        <f>'Waste 3'!Q31</f>
        <v>26.662500000000001</v>
      </c>
      <c r="S5" s="33">
        <f>'Waste 3'!R31</f>
        <v>0</v>
      </c>
      <c r="T5" s="33">
        <f>'Waste 3'!S31</f>
        <v>8.7075000000000014E-2</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34</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9" ma:contentTypeDescription="Permitting &amp; Compliance Word Document" ma:contentTypeScope="" ma:versionID="ce9da4516b4d021f569dccb451b26933">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75ef7f260e435d3dd78575f14e2f17fc"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REGU-195-6513340</_dlc_DocId>
    <_dlc_DocIdUrl xmlns="9be56660-2c31-41ef-bc00-23e72f632f2a">
      <Url>https://cyfoethnaturiolcymru.sharepoint.com/teams/Regulatory/Permitting/_layouts/15/DocIdRedir.aspx?ID=REGU-195-6513340</Url>
      <Description>REGU-195-6513340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2023-04-04T23:00:00+00:00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&amp;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1C3811A-8933-4BCE-96A5-636CB25BD081}"/>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1F746F1A-1999-44CD-BF6C-C71145B7A0B4}"/>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Ethan Banfield</cp:lastModifiedBy>
  <dcterms:created xsi:type="dcterms:W3CDTF">2016-09-26T10:07:59Z</dcterms:created>
  <dcterms:modified xsi:type="dcterms:W3CDTF">2023-03-20T09:09:15Z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4a8e1143-3686-47a9-afe8-a551cbc85b8b</vt:lpwstr>
  </property>
  <property fmtid="{D5CDD505-2E9C-101B-9397-08002B2CF9AE}" pid="4" name="Order">
    <vt:r8>651334000</vt:r8>
  </property>
  <property fmtid="{D5CDD505-2E9C-101B-9397-08002B2CF9AE}" pid="5" name="MediaServiceImageTags">
    <vt:lpwstr/>
  </property>
</Properties>
</file>