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1055/"/>
    </mc:Choice>
  </mc:AlternateContent>
  <xr:revisionPtr revIDLastSave="0" documentId="13_ncr:1_{A9A84C20-950E-4C06-964F-7AFA3C109A7A}" xr6:coauthVersionLast="47" xr6:coauthVersionMax="47" xr10:uidLastSave="{00000000-0000-0000-0000-000000000000}"/>
  <bookViews>
    <workbookView xWindow="19090" yWindow="-110" windowWidth="19420" windowHeight="10420" tabRatio="870" activeTab="11"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G65" i="1" l="1"/>
  <c r="H65" i="1"/>
  <c r="I65" i="1"/>
  <c r="J65" i="1"/>
  <c r="K65" i="1"/>
  <c r="L65" i="1"/>
  <c r="M65" i="1"/>
  <c r="N65" i="1"/>
  <c r="O65" i="1"/>
  <c r="P65" i="1"/>
  <c r="Q65" i="1"/>
  <c r="R65" i="1"/>
  <c r="S65" i="1"/>
  <c r="T65" i="1"/>
  <c r="U65" i="1"/>
  <c r="G65" i="21"/>
  <c r="H65" i="21"/>
  <c r="I65" i="21"/>
  <c r="J65" i="21"/>
  <c r="K65" i="21"/>
  <c r="L65" i="21"/>
  <c r="M65" i="21"/>
  <c r="N65" i="21"/>
  <c r="O65" i="21"/>
  <c r="P65" i="21"/>
  <c r="Q65" i="21"/>
  <c r="R65" i="21"/>
  <c r="S65" i="21"/>
  <c r="T65" i="21"/>
  <c r="U65" i="21"/>
  <c r="G65" i="27"/>
  <c r="H65" i="27"/>
  <c r="I65" i="27"/>
  <c r="J65" i="27"/>
  <c r="K65" i="27"/>
  <c r="L65" i="27"/>
  <c r="M65" i="27"/>
  <c r="N65" i="27"/>
  <c r="O65" i="27"/>
  <c r="P65" i="27"/>
  <c r="Q65" i="27"/>
  <c r="R65" i="27"/>
  <c r="S65" i="27"/>
  <c r="T65" i="27"/>
  <c r="U65" i="27"/>
  <c r="G65" i="28"/>
  <c r="H65" i="28"/>
  <c r="I65" i="28"/>
  <c r="J65" i="28"/>
  <c r="K65" i="28"/>
  <c r="L65" i="28"/>
  <c r="M65" i="28"/>
  <c r="N65" i="28"/>
  <c r="O65" i="28"/>
  <c r="P65" i="28"/>
  <c r="Q65" i="28"/>
  <c r="R65" i="28"/>
  <c r="S65" i="28"/>
  <c r="T65" i="28"/>
  <c r="U65" i="28"/>
  <c r="G65" i="30"/>
  <c r="H65" i="30"/>
  <c r="I65" i="30"/>
  <c r="J65" i="30"/>
  <c r="K65" i="30"/>
  <c r="L65" i="30"/>
  <c r="M65" i="30"/>
  <c r="N65" i="30"/>
  <c r="O65" i="30"/>
  <c r="P65" i="30"/>
  <c r="Q65" i="30"/>
  <c r="R65" i="30"/>
  <c r="S65" i="30"/>
  <c r="T65" i="30"/>
  <c r="U65" i="30"/>
  <c r="G65" i="26"/>
  <c r="H65" i="26"/>
  <c r="I65" i="26"/>
  <c r="J65" i="26"/>
  <c r="K65" i="26"/>
  <c r="L65" i="26"/>
  <c r="M65" i="26"/>
  <c r="N65" i="26"/>
  <c r="O65" i="26"/>
  <c r="P65" i="26"/>
  <c r="Q65" i="26"/>
  <c r="R65" i="26"/>
  <c r="S65" i="26"/>
  <c r="T65" i="26"/>
  <c r="U65" i="26"/>
  <c r="G65" i="24"/>
  <c r="H65" i="24"/>
  <c r="I65" i="24"/>
  <c r="J65" i="24"/>
  <c r="K65" i="24"/>
  <c r="L65" i="24"/>
  <c r="M65" i="24"/>
  <c r="N65" i="24"/>
  <c r="O65" i="24"/>
  <c r="P65" i="24"/>
  <c r="Q65" i="24"/>
  <c r="R65" i="24"/>
  <c r="S65" i="24"/>
  <c r="T65" i="24"/>
  <c r="U65" i="24"/>
  <c r="G65" i="29"/>
  <c r="H65" i="29"/>
  <c r="I65" i="29"/>
  <c r="J65" i="29"/>
  <c r="K65" i="29"/>
  <c r="L65" i="29"/>
  <c r="M65" i="29"/>
  <c r="N65" i="29"/>
  <c r="O65" i="29"/>
  <c r="P65" i="29"/>
  <c r="Q65" i="29"/>
  <c r="R65" i="29"/>
  <c r="S65" i="29"/>
  <c r="T65" i="29"/>
  <c r="U65" i="29"/>
  <c r="G65" i="23"/>
  <c r="H65" i="23"/>
  <c r="I65" i="23"/>
  <c r="J65" i="23"/>
  <c r="K65" i="23"/>
  <c r="L65" i="23"/>
  <c r="M65" i="23"/>
  <c r="N65" i="23"/>
  <c r="O65" i="23"/>
  <c r="P65" i="23"/>
  <c r="Q65" i="23"/>
  <c r="R65" i="23"/>
  <c r="S65" i="23"/>
  <c r="T65" i="23"/>
  <c r="U65" i="23"/>
  <c r="G65" i="22"/>
  <c r="H65" i="22"/>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S22" i="30"/>
  <c r="Q22" i="30"/>
  <c r="K22" i="30"/>
  <c r="I22" i="30"/>
  <c r="V20" i="30"/>
  <c r="U20" i="30"/>
  <c r="T20" i="30"/>
  <c r="S20" i="30"/>
  <c r="R20" i="30"/>
  <c r="Q20" i="30"/>
  <c r="P20" i="30"/>
  <c r="O20" i="30"/>
  <c r="N20" i="30"/>
  <c r="M20" i="30"/>
  <c r="L20" i="30"/>
  <c r="K20" i="30"/>
  <c r="J20" i="30"/>
  <c r="I20" i="30"/>
  <c r="H20" i="30"/>
  <c r="V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R22" i="29"/>
  <c r="Q22" i="29"/>
  <c r="J22" i="29"/>
  <c r="V20" i="29"/>
  <c r="U20" i="29"/>
  <c r="T20" i="29"/>
  <c r="S20" i="29"/>
  <c r="R20" i="29"/>
  <c r="Q20" i="29"/>
  <c r="P20" i="29"/>
  <c r="O20" i="29"/>
  <c r="N20" i="29"/>
  <c r="M20" i="29"/>
  <c r="L20" i="29"/>
  <c r="K20" i="29"/>
  <c r="J20" i="29"/>
  <c r="I20" i="29"/>
  <c r="H20" i="29"/>
  <c r="G20" i="29"/>
  <c r="V18" i="29"/>
  <c r="U18" i="29"/>
  <c r="T18" i="29"/>
  <c r="R18" i="29"/>
  <c r="P18" i="29"/>
  <c r="N18" i="29"/>
  <c r="M18" i="29"/>
  <c r="L18" i="29"/>
  <c r="H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M22" i="28"/>
  <c r="V20" i="28"/>
  <c r="U20" i="28"/>
  <c r="T20" i="28"/>
  <c r="S20" i="28"/>
  <c r="R20" i="28"/>
  <c r="Q20" i="28"/>
  <c r="P20" i="28"/>
  <c r="O20" i="28"/>
  <c r="N20" i="28"/>
  <c r="M20" i="28"/>
  <c r="L20" i="28"/>
  <c r="K20" i="28"/>
  <c r="J20" i="28"/>
  <c r="I20" i="28"/>
  <c r="H20" i="28"/>
  <c r="V18" i="28"/>
  <c r="R18" i="28"/>
  <c r="P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N20" i="27"/>
  <c r="M20" i="27"/>
  <c r="L20" i="27"/>
  <c r="K20" i="27"/>
  <c r="J20" i="27"/>
  <c r="I20" i="27"/>
  <c r="H20" i="27"/>
  <c r="U18" i="27"/>
  <c r="T18" i="27"/>
  <c r="R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K22" i="26"/>
  <c r="I22" i="26"/>
  <c r="V20" i="26"/>
  <c r="U20" i="26"/>
  <c r="T20" i="26"/>
  <c r="S20" i="26"/>
  <c r="R20" i="26"/>
  <c r="Q20" i="26"/>
  <c r="P20" i="26"/>
  <c r="O20" i="26"/>
  <c r="N20" i="26"/>
  <c r="M20" i="26"/>
  <c r="L20" i="26"/>
  <c r="K20" i="26"/>
  <c r="J20" i="26"/>
  <c r="I20" i="26"/>
  <c r="H20" i="26"/>
  <c r="V18" i="26"/>
  <c r="T18" i="26"/>
  <c r="S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O20" i="24"/>
  <c r="N20" i="24"/>
  <c r="M20" i="24"/>
  <c r="L20" i="24"/>
  <c r="K20" i="24"/>
  <c r="J20" i="24"/>
  <c r="I20" i="24"/>
  <c r="H20" i="24"/>
  <c r="V18" i="24"/>
  <c r="U18" i="24"/>
  <c r="P18" i="24"/>
  <c r="M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S22" i="23"/>
  <c r="M22" i="23"/>
  <c r="V20" i="23"/>
  <c r="U20" i="23"/>
  <c r="T20" i="23"/>
  <c r="S20" i="23"/>
  <c r="R20" i="23"/>
  <c r="Q20" i="23"/>
  <c r="P20" i="23"/>
  <c r="O20" i="23"/>
  <c r="N20" i="23"/>
  <c r="M20" i="23"/>
  <c r="L20" i="23"/>
  <c r="K20" i="23"/>
  <c r="J20" i="23"/>
  <c r="I20" i="23"/>
  <c r="H20"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P20" i="22"/>
  <c r="O20" i="22"/>
  <c r="N20" i="22"/>
  <c r="M20" i="22"/>
  <c r="L20" i="22"/>
  <c r="K20" i="22"/>
  <c r="J20" i="22"/>
  <c r="I20" i="22"/>
  <c r="H20" i="22"/>
  <c r="V18" i="22"/>
  <c r="U18" i="22"/>
  <c r="S18" i="22"/>
  <c r="R18" i="22"/>
  <c r="O18" i="22"/>
  <c r="M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H21" i="24"/>
  <c r="H17" i="24"/>
  <c r="H19"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24"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17" i="23"/>
  <c r="I17" i="24"/>
  <c r="I19"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E59" i="22"/>
  <c r="F21" i="22"/>
  <c r="F23" i="22" s="1"/>
  <c r="F24" i="22" s="1"/>
  <c r="F17" i="22"/>
  <c r="F19" i="22" s="1"/>
  <c r="F20" i="22" s="1"/>
  <c r="M59" i="22"/>
  <c r="N21" i="22"/>
  <c r="N23" i="22" s="1"/>
  <c r="N24" i="22" s="1"/>
  <c r="N17" i="22"/>
  <c r="U59" i="22"/>
  <c r="V17" i="22"/>
  <c r="V21" i="22"/>
  <c r="C18" i="22"/>
  <c r="H21" i="23"/>
  <c r="H23" i="23" s="1"/>
  <c r="H17" i="23"/>
  <c r="P17" i="23"/>
  <c r="P19" i="23" s="1"/>
  <c r="P21" i="23"/>
  <c r="J59" i="24"/>
  <c r="K21" i="24"/>
  <c r="K17" i="24"/>
  <c r="R59" i="24"/>
  <c r="S21" i="24"/>
  <c r="S23" i="24" s="1"/>
  <c r="S24" i="24" s="1"/>
  <c r="S17" i="24"/>
  <c r="G21" i="26"/>
  <c r="G23" i="26" s="1"/>
  <c r="G24" i="26" s="1"/>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G24" i="22" s="1"/>
  <c r="O17" i="22"/>
  <c r="O19" i="22" s="1"/>
  <c r="O21" i="22"/>
  <c r="O23" i="22" s="1"/>
  <c r="O24" i="22" s="1"/>
  <c r="H59" i="23"/>
  <c r="I21" i="23"/>
  <c r="I23"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21" i="29"/>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0" i="24" s="1"/>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19"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I24" i="22" s="1"/>
  <c r="P59" i="22"/>
  <c r="Q17" i="22"/>
  <c r="Q19" i="22" s="1"/>
  <c r="Q21" i="22"/>
  <c r="J59" i="23"/>
  <c r="K17" i="23"/>
  <c r="K21" i="23"/>
  <c r="K23"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C64" i="22" s="1"/>
  <c r="K58" i="22"/>
  <c r="K61" i="22" s="1"/>
  <c r="K64" i="22" s="1"/>
  <c r="S58" i="22"/>
  <c r="S61" i="22" s="1"/>
  <c r="S64" i="22" s="1"/>
  <c r="F57" i="23"/>
  <c r="L23" i="24"/>
  <c r="L24" i="24" s="1"/>
  <c r="T23" i="24"/>
  <c r="T24" i="24" s="1"/>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O59" i="30"/>
  <c r="G63" i="30"/>
  <c r="O63" i="30"/>
  <c r="P63" i="30"/>
  <c r="I63" i="30"/>
  <c r="Q63" i="30"/>
  <c r="T19" i="30"/>
  <c r="E19" i="30"/>
  <c r="E20" i="30" s="1"/>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N19" i="29"/>
  <c r="V19" i="29"/>
  <c r="F23" i="29"/>
  <c r="F24" i="29" s="1"/>
  <c r="N23" i="29"/>
  <c r="N24" i="29" s="1"/>
  <c r="B63" i="29"/>
  <c r="J63" i="29"/>
  <c r="R63" i="29"/>
  <c r="L19" i="29"/>
  <c r="O19" i="29"/>
  <c r="A32" i="29"/>
  <c r="A34" i="29"/>
  <c r="A40" i="29"/>
  <c r="A42" i="29"/>
  <c r="A48" i="29"/>
  <c r="A50" i="29"/>
  <c r="C63" i="29"/>
  <c r="K63" i="29"/>
  <c r="S63" i="29"/>
  <c r="H19" i="29"/>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D63" i="27"/>
  <c r="L63" i="27"/>
  <c r="T63" i="27"/>
  <c r="H63" i="27"/>
  <c r="Q19" i="27"/>
  <c r="E63" i="27"/>
  <c r="M63" i="27"/>
  <c r="U64" i="26"/>
  <c r="U66" i="26" s="1"/>
  <c r="O23" i="26"/>
  <c r="O24" i="26" s="1"/>
  <c r="J23" i="26"/>
  <c r="J24" i="26" s="1"/>
  <c r="H64" i="26"/>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P19" i="26"/>
  <c r="D63" i="26"/>
  <c r="L63" i="26"/>
  <c r="I19"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E20" i="23" s="1"/>
  <c r="M19" i="23"/>
  <c r="E23" i="23"/>
  <c r="E24" i="23" s="1"/>
  <c r="M23" i="23"/>
  <c r="I57" i="23"/>
  <c r="Q57" i="23"/>
  <c r="F23" i="23"/>
  <c r="F24" i="23" s="1"/>
  <c r="N23" i="23"/>
  <c r="G19" i="23"/>
  <c r="G20" i="23" s="1"/>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2" l="1"/>
  <c r="E65" i="23"/>
  <c r="D65" i="30"/>
  <c r="D65" i="28"/>
  <c r="D65" i="27"/>
  <c r="C23" i="21"/>
  <c r="C24" i="21" s="1"/>
  <c r="C65" i="21"/>
  <c r="D65" i="21"/>
  <c r="F64" i="26"/>
  <c r="E64" i="30"/>
  <c r="E65" i="30" s="1"/>
  <c r="E64" i="22"/>
  <c r="E65" i="22" s="1"/>
  <c r="E64" i="27"/>
  <c r="E65" i="27" s="1"/>
  <c r="C64" i="27"/>
  <c r="C65" i="27" s="1"/>
  <c r="C64" i="26"/>
  <c r="C65" i="26" s="1"/>
  <c r="C64" i="30"/>
  <c r="C65" i="30" s="1"/>
  <c r="C64" i="23"/>
  <c r="C65" i="23" s="1"/>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G66" i="21" s="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G66" i="28" s="1"/>
  <c r="P64" i="26"/>
  <c r="E64" i="28"/>
  <c r="N64" i="23"/>
  <c r="J64" i="26"/>
  <c r="B64" i="23"/>
  <c r="M64" i="27"/>
  <c r="M66" i="27" s="1"/>
  <c r="H64" i="27"/>
  <c r="H66" i="27" s="1"/>
  <c r="G64" i="22"/>
  <c r="G66" i="22" s="1"/>
  <c r="L64" i="29"/>
  <c r="G64" i="24"/>
  <c r="G66" i="24" s="1"/>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6" i="26" s="1"/>
  <c r="G64" i="29"/>
  <c r="G66" i="29" s="1"/>
  <c r="F64" i="22"/>
  <c r="O64" i="26"/>
  <c r="O66" i="26" s="1"/>
  <c r="R66" i="22"/>
  <c r="L66" i="22"/>
  <c r="T66" i="24"/>
  <c r="U66" i="23"/>
  <c r="P64" i="30"/>
  <c r="P66" i="30" s="1"/>
  <c r="P66" i="23"/>
  <c r="E66" i="22"/>
  <c r="T66" i="23"/>
  <c r="Q66" i="21"/>
  <c r="P66" i="21"/>
  <c r="K66" i="27"/>
  <c r="G64" i="23"/>
  <c r="G66" i="23" s="1"/>
  <c r="Q66" i="24"/>
  <c r="R66" i="27"/>
  <c r="C66" i="27"/>
  <c r="H66" i="23"/>
  <c r="J66" i="27"/>
  <c r="G64" i="27"/>
  <c r="G66" i="27" s="1"/>
  <c r="G66" i="30"/>
  <c r="J66" i="30"/>
  <c r="F64" i="27"/>
  <c r="T66" i="27"/>
  <c r="L66" i="29"/>
  <c r="Q66" i="22"/>
  <c r="J66" i="26"/>
  <c r="C66" i="22"/>
  <c r="T66" i="21"/>
  <c r="S66" i="23"/>
  <c r="H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F65" i="1" l="1"/>
  <c r="E65" i="1"/>
  <c r="C65" i="1"/>
  <c r="D65" i="1"/>
  <c r="B65" i="1"/>
  <c r="E66" i="30"/>
  <c r="C66" i="23"/>
  <c r="F66" i="21"/>
  <c r="F65" i="21"/>
  <c r="F66" i="23"/>
  <c r="F65" i="23"/>
  <c r="F66" i="22"/>
  <c r="F65" i="22"/>
  <c r="F66" i="29"/>
  <c r="F65" i="29"/>
  <c r="F66" i="27"/>
  <c r="F65" i="27"/>
  <c r="F66" i="30"/>
  <c r="F65" i="30"/>
  <c r="F66" i="28"/>
  <c r="F65" i="28"/>
  <c r="F66" i="24"/>
  <c r="F65" i="24"/>
  <c r="D66" i="26"/>
  <c r="D66" i="23"/>
  <c r="D66" i="22"/>
  <c r="D66" i="29"/>
  <c r="E66" i="28"/>
  <c r="E65" i="28"/>
  <c r="E66" i="29"/>
  <c r="E65" i="29"/>
  <c r="E66" i="26"/>
  <c r="E65" i="26"/>
  <c r="E66" i="21"/>
  <c r="E65" i="21"/>
  <c r="C66" i="24"/>
  <c r="C65" i="24"/>
  <c r="E66" i="24"/>
  <c r="E65" i="24"/>
  <c r="C66" i="28"/>
  <c r="C65" i="28"/>
  <c r="B66" i="22"/>
  <c r="B65" i="22"/>
  <c r="B66" i="23"/>
  <c r="B65" i="23"/>
  <c r="B66" i="26"/>
  <c r="B65" i="26"/>
  <c r="B66" i="28"/>
  <c r="B65" i="28"/>
  <c r="B66" i="27"/>
  <c r="B65" i="27"/>
  <c r="B66" i="29"/>
  <c r="B65" i="29"/>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<sst xmlns="http://schemas.openxmlformats.org/spreadsheetml/2006/main" count="2254" uniqueCount="188">
  <si>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</si>
  <si>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</si>
  <si>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</si>
  <si>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</si>
  <si>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</si>
  <si>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</si>
  <si>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</si>
  <si>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</si>
  <si>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</si>
  <si>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</si>
  <si>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</si>
  <si>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</si>
  <si>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</si>
  <si>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</si>
  <si>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</si>
  <si>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</si>
  <si>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</si>
  <si>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</si>
  <si>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</si>
  <si>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</si>
  <si>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</si>
  <si>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</si>
  <si>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</si>
  <si>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</si>
  <si>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</si>
  <si>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</si>
  <si>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</si>
  <si>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</si>
  <si>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</si>
  <si>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</si>
  <si>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</si>
  <si>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</si>
  <si>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</si>
  <si>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</si>
  <si>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</si>
  <si>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</si>
  <si>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</si>
  <si>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</si>
  <si>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</si>
  <si>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</si>
  <si>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</si>
  <si>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</si>
  <si>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</si>
  <si>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</si>
  <si>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</si>
  <si>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</si>
  <si>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</si>
  <si>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</si>
  <si>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</si>
  <si>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</si>
  <si>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</si>
  <si>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</si>
  <si>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</si>
  <si>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</si>
  <si>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</si>
  <si>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</si>
  <si>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</si>
  <si>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</si>
  <si>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</si>
  <si>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</si>
  <si>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</si>
  <si>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</si>
  <si>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</si>
  <si>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</si>
  <si>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</si>
  <si>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</si>
  <si>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</si>
  <si>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</si>
  <si>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</si>
  <si>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</si>
  <si>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</si>
  <si>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</si>
  <si>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</si>
  <si>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</si>
  <si>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</si>
  <si>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</si>
  <si>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</si>
  <si>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</si>
  <si>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</si>
  <si>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</si>
  <si>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</si>
  <si>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</si>
  <si>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</si>
  <si>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</si>
  <si>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</si>
  <si>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</si>
  <si>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</si>
  <si>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</si>
  <si>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</si>
  <si>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</si>
  <si>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</si>
  <si>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</si>
  <si>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</si>
  <si>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</si>
  <si>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</si>
  <si>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</si>
  <si>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</si>
  <si>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</si>
  <si>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</si>
  <si>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</si>
  <si>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</si>
  <si>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</si>
  <si>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</si>
  <si>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</si>
  <si>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</si>
  <si>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</si>
  <si>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</si>
  <si>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</si>
  <si>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</si>
  <si>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</si>
  <si>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</si>
  <si>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</si>
  <si>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</si>
  <si>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</si>
  <si>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</si>
  <si>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</si>
  <si>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</si>
  <si>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</si>
  <si>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</si>
  <si>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</si>
  <si>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</si>
  <si>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</si>
  <si>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</si>
  <si>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</si>
  <si>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</si>
  <si>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</si>
  <si>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</si>
  <si>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</si>
  <si>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</si>
  <si>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</si>
  <si>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</si>
  <si>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</si>
  <si>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</si>
  <si>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</si>
  <si>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</si>
  <si>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</si>
  <si>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</si>
  <si>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</si>
  <si>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</si>
  <si>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</si>
  <si>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</si>
  <si>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</si>
  <si>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</si>
  <si>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</si>
  <si>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</si>
  <si>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</si>
  <si>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</si>
  <si>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</si>
  <si>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</si>
  <si>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</si>
  <si>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</si>
  <si>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</si>
  <si>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</si>
  <si>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</si>
  <si>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</si>
  <si>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</si>
  <si>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</si>
  <si>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</si>
  <si>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</si>
  <si>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</si>
  <si>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PAN-021055</t>
  </si>
  <si>
    <t>EPR-JP3094EF</t>
  </si>
  <si>
    <t>John Willis</t>
  </si>
  <si>
    <t>Ethan Banfield</t>
  </si>
  <si>
    <t>Wood Farm [Block I], Deesside Lane, CH1 6BX</t>
  </si>
  <si>
    <t>Bank 1</t>
  </si>
  <si>
    <t>02 07 04</t>
  </si>
  <si>
    <t>Bank 2</t>
  </si>
  <si>
    <t>Bank 3</t>
  </si>
  <si>
    <t>Bank 4</t>
  </si>
  <si>
    <t>WF 32</t>
  </si>
  <si>
    <t>AB InBev</t>
  </si>
  <si>
    <t>04 02 20</t>
  </si>
  <si>
    <t>Afonwen</t>
  </si>
  <si>
    <t>Cargils</t>
  </si>
  <si>
    <t>02 06 01</t>
  </si>
  <si>
    <t>Cherry tree bakery</t>
  </si>
  <si>
    <t>02 03 04</t>
  </si>
  <si>
    <t>02 02 04</t>
  </si>
  <si>
    <t>Dunbia</t>
  </si>
  <si>
    <t>Encirc</t>
  </si>
  <si>
    <t>19 09 02</t>
  </si>
  <si>
    <t>New Britain Oils</t>
  </si>
  <si>
    <t>Nicepak</t>
  </si>
  <si>
    <t>02 01 03</t>
  </si>
  <si>
    <t>Valero</t>
  </si>
  <si>
    <t>02 03 05</t>
  </si>
  <si>
    <t>Westland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</si>
</sst>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6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center" vertical="top"/>
      <protection locked="0"/>
    </xf>
    <xf numFmtId="0" fontId="2" fillId="3"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F4" sqref="F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36" t="s">
        <v>41</v>
      </c>
      <c r="B1" s="136"/>
      <c r="C1" s="152" t="s">
        <v>160</v>
      </c>
      <c r="D1" s="153"/>
      <c r="E1" s="93" t="s">
        <v>45</v>
      </c>
      <c r="F1" s="96">
        <v>50</v>
      </c>
      <c r="G1" s="137" t="s">
        <v>43</v>
      </c>
      <c r="H1" s="138"/>
      <c r="I1" s="96">
        <v>4.18</v>
      </c>
      <c r="J1" s="136" t="s">
        <v>153</v>
      </c>
      <c r="K1" s="136"/>
      <c r="L1" s="96">
        <v>25</v>
      </c>
      <c r="AB1" s="18"/>
      <c r="AC1" s="18"/>
      <c r="AD1" s="30" t="s">
        <v>126</v>
      </c>
      <c r="AE1" s="17"/>
      <c r="AF1" s="17"/>
      <c r="AG1" s="18"/>
      <c r="AH1" s="18"/>
      <c r="AI1" s="40" t="s">
        <v>79</v>
      </c>
      <c r="AJ1" s="41" t="s">
        <v>94</v>
      </c>
      <c r="AK1" s="42" t="s">
        <v>95</v>
      </c>
      <c r="AL1" s="43" t="s">
        <v>125</v>
      </c>
      <c r="AM1" s="43" t="s">
        <v>131</v>
      </c>
      <c r="AN1" s="43" t="s">
        <v>111</v>
      </c>
    </row>
    <row r="2" spans="1:40" x14ac:dyDescent="0.2">
      <c r="A2" s="136" t="s">
        <v>87</v>
      </c>
      <c r="B2" s="136"/>
      <c r="C2" s="150" t="s">
        <v>161</v>
      </c>
      <c r="D2" s="151"/>
      <c r="E2" s="93" t="s">
        <v>109</v>
      </c>
      <c r="F2" s="96" t="s">
        <v>166</v>
      </c>
      <c r="G2" s="155" t="s">
        <v>110</v>
      </c>
      <c r="H2" s="156"/>
      <c r="I2" s="96">
        <v>184</v>
      </c>
      <c r="J2" s="136" t="s">
        <v>158</v>
      </c>
      <c r="K2" s="136"/>
      <c r="L2" s="96">
        <v>0.03</v>
      </c>
      <c r="AB2" s="30" t="s">
        <v>56</v>
      </c>
      <c r="AC2" s="17"/>
      <c r="AD2" s="30" t="s">
        <v>70</v>
      </c>
      <c r="AE2" s="17"/>
      <c r="AF2" s="17"/>
      <c r="AG2" s="44" t="s">
        <v>76</v>
      </c>
      <c r="AH2" s="18"/>
      <c r="AI2" s="45" t="s">
        <v>126</v>
      </c>
      <c r="AJ2" s="46">
        <v>0</v>
      </c>
      <c r="AK2" s="47">
        <v>0</v>
      </c>
      <c r="AL2" s="10">
        <v>0</v>
      </c>
      <c r="AM2" s="11">
        <v>0</v>
      </c>
      <c r="AN2" s="11">
        <v>0</v>
      </c>
    </row>
    <row r="3" spans="1:40" x14ac:dyDescent="0.2">
      <c r="A3" s="137" t="s">
        <v>42</v>
      </c>
      <c r="B3" s="138"/>
      <c r="C3" s="150" t="s">
        <v>162</v>
      </c>
      <c r="D3" s="151"/>
      <c r="E3" s="93" t="s">
        <v>108</v>
      </c>
      <c r="F3" s="31" t="s">
        <v>78</v>
      </c>
      <c r="G3" s="136" t="s">
        <v>159</v>
      </c>
      <c r="H3" s="136"/>
      <c r="I3" s="96">
        <v>200</v>
      </c>
      <c r="J3" s="137" t="s">
        <v>154</v>
      </c>
      <c r="K3" s="138"/>
      <c r="L3" s="96">
        <f>(L1/(L2*10000))*100</f>
        <v>8.3333333333333321</v>
      </c>
      <c r="AB3" s="30" t="s">
        <v>57</v>
      </c>
      <c r="AC3" s="17"/>
      <c r="AD3" s="30" t="s">
        <v>71</v>
      </c>
      <c r="AE3" s="17"/>
      <c r="AF3" s="17"/>
      <c r="AG3" s="44" t="s">
        <v>77</v>
      </c>
      <c r="AH3" s="18"/>
      <c r="AI3" s="48" t="s">
        <v>113</v>
      </c>
      <c r="AJ3" s="49">
        <v>1.7</v>
      </c>
      <c r="AK3" s="50">
        <v>6</v>
      </c>
      <c r="AL3" s="51">
        <v>1</v>
      </c>
      <c r="AM3" s="11">
        <v>6.2</v>
      </c>
      <c r="AN3" s="11" t="s">
        <v>112</v>
      </c>
    </row>
    <row r="4" spans="1:40" x14ac:dyDescent="0.2">
      <c r="A4" s="136" t="s">
        <v>0</v>
      </c>
      <c r="B4" s="136"/>
      <c r="C4" s="152" t="s">
        <v>164</v>
      </c>
      <c r="D4" s="153"/>
      <c r="E4" s="94" t="s">
        <v>1</v>
      </c>
      <c r="F4" s="95" t="s">
        <v>171</v>
      </c>
      <c r="G4" s="136"/>
      <c r="H4" s="136"/>
      <c r="I4" s="96"/>
      <c r="J4" s="137"/>
      <c r="K4" s="138"/>
      <c r="L4" s="96"/>
      <c r="AB4" s="30" t="s">
        <v>52</v>
      </c>
      <c r="AC4" s="17"/>
      <c r="AD4" s="52" t="s">
        <v>72</v>
      </c>
      <c r="AE4" s="17"/>
      <c r="AF4" s="17"/>
      <c r="AG4" s="44" t="s">
        <v>78</v>
      </c>
      <c r="AH4" s="18"/>
      <c r="AI4" s="53" t="s">
        <v>124</v>
      </c>
      <c r="AJ4" s="54">
        <v>7</v>
      </c>
      <c r="AK4" s="55">
        <v>10.5</v>
      </c>
      <c r="AL4" s="11">
        <v>2</v>
      </c>
      <c r="AM4" s="11">
        <v>6.7</v>
      </c>
      <c r="AN4" s="11" t="s">
        <v>135</v>
      </c>
    </row>
    <row r="5" spans="1:40" x14ac:dyDescent="0.2">
      <c r="A5" s="136" t="s">
        <v>47</v>
      </c>
      <c r="B5" s="136"/>
      <c r="C5" s="154" t="s">
        <v>163</v>
      </c>
      <c r="D5" s="154"/>
      <c r="E5" s="94"/>
      <c r="F5" s="95"/>
      <c r="G5" s="136"/>
      <c r="H5" s="136"/>
      <c r="I5" s="96"/>
      <c r="J5" s="137"/>
      <c r="K5" s="138"/>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36" t="s">
        <v>2</v>
      </c>
      <c r="B8" s="136"/>
      <c r="C8" s="15" t="s">
        <v>165</v>
      </c>
      <c r="D8" s="15" t="s">
        <v>167</v>
      </c>
      <c r="E8" s="15" t="s">
        <v>168</v>
      </c>
      <c r="F8" s="15" t="s">
        <v>169</v>
      </c>
      <c r="G8" s="15" t="s">
        <v>170</v>
      </c>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36" t="s">
        <v>3</v>
      </c>
      <c r="B9" s="136"/>
      <c r="C9" s="15">
        <v>1</v>
      </c>
      <c r="D9" s="15">
        <v>1</v>
      </c>
      <c r="E9" s="15">
        <v>1</v>
      </c>
      <c r="F9" s="15">
        <v>1</v>
      </c>
      <c r="G9" s="15">
        <v>1</v>
      </c>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36" t="s">
        <v>4</v>
      </c>
      <c r="B10" s="136"/>
      <c r="C10" s="15">
        <v>7.2</v>
      </c>
      <c r="D10" s="15">
        <v>7.2</v>
      </c>
      <c r="E10" s="15">
        <v>7.2</v>
      </c>
      <c r="F10" s="15">
        <v>7.2</v>
      </c>
      <c r="G10" s="15">
        <v>7.2</v>
      </c>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36" t="s">
        <v>5</v>
      </c>
      <c r="B11" s="136"/>
      <c r="C11" s="15">
        <v>1</v>
      </c>
      <c r="D11" s="15">
        <v>1</v>
      </c>
      <c r="E11" s="15">
        <v>1</v>
      </c>
      <c r="F11" s="15">
        <v>1</v>
      </c>
      <c r="G11" s="15">
        <v>1</v>
      </c>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36" t="s">
        <v>6</v>
      </c>
      <c r="B12" s="136"/>
      <c r="C12" s="15">
        <v>1</v>
      </c>
      <c r="D12" s="15">
        <v>2</v>
      </c>
      <c r="E12" s="15">
        <v>2</v>
      </c>
      <c r="F12" s="15">
        <v>2</v>
      </c>
      <c r="G12" s="15">
        <v>2</v>
      </c>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36" t="s">
        <v>7</v>
      </c>
      <c r="B13" s="136"/>
      <c r="C13" s="15">
        <v>3</v>
      </c>
      <c r="D13" s="15">
        <v>3</v>
      </c>
      <c r="E13" s="15">
        <v>3</v>
      </c>
      <c r="F13" s="15">
        <v>3</v>
      </c>
      <c r="G13" s="15">
        <v>3</v>
      </c>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48" t="s">
        <v>8</v>
      </c>
      <c r="B14" s="148"/>
      <c r="C14" s="100" t="s">
        <v>68</v>
      </c>
      <c r="D14" s="100" t="s">
        <v>105</v>
      </c>
      <c r="E14" s="100" t="s">
        <v>105</v>
      </c>
      <c r="F14" s="100" t="s">
        <v>105</v>
      </c>
      <c r="G14" s="100" t="s">
        <v>68</v>
      </c>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47" t="s">
        <v>9</v>
      </c>
      <c r="B15" s="147"/>
      <c r="C15" s="15">
        <v>6</v>
      </c>
      <c r="D15" s="15">
        <v>40</v>
      </c>
      <c r="E15" s="15">
        <v>40</v>
      </c>
      <c r="F15" s="15">
        <v>40</v>
      </c>
      <c r="G15" s="15">
        <v>6</v>
      </c>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49" t="s">
        <v>44</v>
      </c>
      <c r="B16" s="149"/>
      <c r="C16" s="101" t="s">
        <v>72</v>
      </c>
      <c r="D16" s="101" t="s">
        <v>72</v>
      </c>
      <c r="E16" s="101" t="s">
        <v>72</v>
      </c>
      <c r="F16" s="101" t="s">
        <v>72</v>
      </c>
      <c r="G16" s="101" t="s">
        <v>72</v>
      </c>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37.973324999999996</v>
      </c>
      <c r="D18" s="16">
        <f>$D32</f>
        <v>37.973324999999996</v>
      </c>
      <c r="E18" s="16">
        <f>$D33</f>
        <v>37.973324999999996</v>
      </c>
      <c r="F18" s="16">
        <f>$D34</f>
        <v>37.973324999999996</v>
      </c>
      <c r="G18" s="16">
        <f>$D35</f>
        <v>37.973324999999996</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-13.026675000000004</v>
      </c>
      <c r="D19" s="16">
        <f t="shared" ref="D19:V19" si="1">D18-D17</f>
        <v>-18.026675000000004</v>
      </c>
      <c r="E19" s="16">
        <f t="shared" si="1"/>
        <v>-18.026675000000004</v>
      </c>
      <c r="F19" s="16">
        <f t="shared" si="1"/>
        <v>-18.026675000000004</v>
      </c>
      <c r="G19" s="16">
        <f t="shared" si="1"/>
        <v>-13.026675000000004</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38.258749999999999</v>
      </c>
      <c r="D22" s="16">
        <f>$E32</f>
        <v>38.258749999999999</v>
      </c>
      <c r="E22" s="16">
        <f>$E33</f>
        <v>38.258749999999999</v>
      </c>
      <c r="F22" s="16">
        <f>$E34</f>
        <v>38.258749999999999</v>
      </c>
      <c r="G22" s="16">
        <f>$E35</f>
        <v>38.258749999999999</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-33.741250000000001</v>
      </c>
      <c r="D23" s="16">
        <f t="shared" ref="D23:V23" si="3">D22-D21</f>
        <v>-137.74125000000001</v>
      </c>
      <c r="E23" s="16">
        <f t="shared" si="3"/>
        <v>-137.74125000000001</v>
      </c>
      <c r="F23" s="16">
        <f t="shared" si="3"/>
        <v>-137.74125000000001</v>
      </c>
      <c r="G23" s="16">
        <f t="shared" si="3"/>
        <v>-33.741250000000001</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1.47</v>
      </c>
      <c r="C28" s="15">
        <v>0.03</v>
      </c>
      <c r="D28" s="15">
        <v>66.3</v>
      </c>
      <c r="E28" s="15">
        <v>127</v>
      </c>
      <c r="F28" s="15">
        <v>42.5</v>
      </c>
      <c r="G28" s="15">
        <v>0.2</v>
      </c>
      <c r="H28" s="15">
        <v>0.5</v>
      </c>
      <c r="I28" s="15">
        <v>0.5</v>
      </c>
      <c r="J28" s="15">
        <v>0.01</v>
      </c>
      <c r="K28" s="23">
        <v>0.05</v>
      </c>
      <c r="L28" s="15">
        <v>0.2</v>
      </c>
      <c r="M28" s="15">
        <v>0.2</v>
      </c>
      <c r="N28" s="15">
        <v>2</v>
      </c>
      <c r="O28" s="15">
        <v>20</v>
      </c>
      <c r="P28" s="15">
        <v>42.3</v>
      </c>
      <c r="Q28" s="15">
        <v>60.5</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37.973324999999996</v>
      </c>
      <c r="E31" s="77">
        <f>(IF(E$27="%w/w SAR",((E$28*10)*$B31),IF(E$27="%w/w DM",(((E$28*10)*($B$28/100))*$B31),IF(E$27="kg/t SAR",(E$28*$B31),IF(E$27="kg/t DM",((E$28*($B$28/100))*$B31),IF(E$27="mg/kg SAR",((E$28*0.001)*$B31),IF(E$27="mg/kg DM",(((E$28*0.001)*($B$28/100))*$B31),"0")))))))*1.205</f>
        <v>38.258749999999999</v>
      </c>
      <c r="F31" s="77">
        <f>(IF(F$27="%w/w SAR",((F$28*10)*$B31),IF(F$27="%w/w DM",(((F$28*10)*($B$28/100))*$B31),IF(F$27="kg/t SAR",(F$28*$B31),IF(F$27="kg/t DM",((F$28*($B$28/100))*$B31),IF(F$27="mg/kg SAR",((F$28*0.001)*$B31),IF(F$27="mg/kg DM",(((F$28*0.001)*($B$28/100))*$B31),"0")))))))*1.658</f>
        <v>17.616250000000001</v>
      </c>
      <c r="G31" s="77">
        <f t="shared" ref="G31:P31"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0.5</v>
      </c>
      <c r="O31" s="77">
        <f t="shared" si="5"/>
        <v>5</v>
      </c>
      <c r="P31" s="77">
        <f t="shared" si="5"/>
        <v>10.574999999999999</v>
      </c>
      <c r="Q31" s="77">
        <f>(IF(Q$27="%w/w SAR",((Q$28*10)*$B31),IF(Q$27="%w/w DM",(((Q$28*10)*($B$28/100))*$B31),IF(Q$27="kg/t SAR",(Q$28*$B31),IF(Q$27="kg/t DM",((Q$28*($B$28/100))*$B31),IF(Q$27="mg/kg SAR",((Q$28*0.001)*$B31),IF(Q$27="mg/kg DM",(((Q$28*0.001)*($B$28/100))*$B31),0)))))))*2.5</f>
        <v>37.8125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37.973324999999996</v>
      </c>
      <c r="E32" s="77">
        <f t="shared" ref="E32:E50" si="8">(IF(E$27="%w/w SAR",((E$28*10)*$B32),IF(E$27="%w/w DM",(((E$28*10)*($B$28/100))*$B32),IF(E$27="kg/t SAR",(E$28*$B32),IF(E$27="kg/t DM",((E$28*($B$28/100))*$B32),IF(E$27="mg/kg SAR",((E$28*0.001)*$B32),IF(E$27="mg/kg DM",(((E$28*0.001)*($B$28/100))*$B32),"0")))))))*1.205</f>
        <v>38.258749999999999</v>
      </c>
      <c r="F32" s="77">
        <f t="shared" ref="F32:F50" si="9">(IF(F$27="%w/w SAR",((F$28*10)*$B32),IF(F$27="%w/w DM",(((F$28*10)*($B$28/100))*$B32),IF(F$27="kg/t SAR",(F$28*$B32),IF(F$27="kg/t DM",((F$28*($B$28/100))*$B32),IF(F$27="mg/kg SAR",((F$28*0.001)*$B32),IF(F$27="mg/kg DM",(((F$28*0.001)*($B$28/100))*$B32),"0")))))))*1.658</f>
        <v>17.616250000000001</v>
      </c>
      <c r="G32" s="77">
        <f t="shared" ref="G32:P50" si="10">IF(G$27="%w/w SAR",((G$28*10)*$B32),IF(G$27="%w/w DM",(((G$28*10)*($B$28/100))*$B32),IF(G$27="kg/t SAR",(G$28*$B32),IF(G$27="kg/t DM",((G$28*($B$28/100))*$B32),IF(G$27="mg/kg SAR",((G$28*0.001)*$B32),IF(G$27="mg/kg DM",(((G$28*0.001)*($B$28/100))*$B32),0))))))</f>
        <v>0.05</v>
      </c>
      <c r="H32" s="77">
        <f t="shared" si="10"/>
        <v>0.125</v>
      </c>
      <c r="I32" s="77">
        <f t="shared" si="10"/>
        <v>0.125</v>
      </c>
      <c r="J32" s="77">
        <f t="shared" si="10"/>
        <v>2.5000000000000001E-3</v>
      </c>
      <c r="K32" s="77">
        <f t="shared" si="10"/>
        <v>1.2500000000000001E-2</v>
      </c>
      <c r="L32" s="77">
        <f t="shared" si="10"/>
        <v>0.05</v>
      </c>
      <c r="M32" s="77">
        <f t="shared" si="10"/>
        <v>0.05</v>
      </c>
      <c r="N32" s="77">
        <f t="shared" si="10"/>
        <v>0.5</v>
      </c>
      <c r="O32" s="77">
        <f t="shared" si="10"/>
        <v>5</v>
      </c>
      <c r="P32" s="77">
        <f t="shared" si="10"/>
        <v>10.574999999999999</v>
      </c>
      <c r="Q32" s="77">
        <f t="shared" ref="Q32:Q50" si="11">(IF(Q$27="%w/w SAR",((Q$28*10)*$B32),IF(Q$27="%w/w DM",(((Q$28*10)*($B$28/100))*$B32),IF(Q$27="kg/t SAR",(Q$28*$B32),IF(Q$27="kg/t DM",((Q$28*($B$28/100))*$B32),IF(Q$27="mg/kg SAR",((Q$28*0.001)*$B32),IF(Q$27="mg/kg DM",(((Q$28*0.001)*($B$28/100))*$B32),0)))))))*2.5</f>
        <v>37.8125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Bank 3</v>
      </c>
      <c r="B33" s="15">
        <v>250</v>
      </c>
      <c r="C33" s="77">
        <f t="shared" si="6"/>
        <v>75</v>
      </c>
      <c r="D33" s="77">
        <f t="shared" si="7"/>
        <v>37.973324999999996</v>
      </c>
      <c r="E33" s="77">
        <f t="shared" si="8"/>
        <v>38.258749999999999</v>
      </c>
      <c r="F33" s="77">
        <f t="shared" si="9"/>
        <v>17.616250000000001</v>
      </c>
      <c r="G33" s="77">
        <f t="shared" si="10"/>
        <v>0.05</v>
      </c>
      <c r="H33" s="77">
        <f t="shared" si="10"/>
        <v>0.125</v>
      </c>
      <c r="I33" s="77">
        <f t="shared" si="10"/>
        <v>0.125</v>
      </c>
      <c r="J33" s="77">
        <f t="shared" si="10"/>
        <v>2.5000000000000001E-3</v>
      </c>
      <c r="K33" s="77">
        <f t="shared" si="10"/>
        <v>1.2500000000000001E-2</v>
      </c>
      <c r="L33" s="77">
        <f t="shared" si="10"/>
        <v>0.05</v>
      </c>
      <c r="M33" s="77">
        <f t="shared" si="10"/>
        <v>0.05</v>
      </c>
      <c r="N33" s="77">
        <f t="shared" si="10"/>
        <v>0.5</v>
      </c>
      <c r="O33" s="77">
        <f t="shared" si="10"/>
        <v>5</v>
      </c>
      <c r="P33" s="77">
        <f t="shared" si="10"/>
        <v>10.574999999999999</v>
      </c>
      <c r="Q33" s="77">
        <f t="shared" si="11"/>
        <v>37.8125</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Bank 4</v>
      </c>
      <c r="B34" s="15">
        <v>250</v>
      </c>
      <c r="C34" s="77">
        <f t="shared" si="6"/>
        <v>75</v>
      </c>
      <c r="D34" s="77">
        <f t="shared" si="7"/>
        <v>37.973324999999996</v>
      </c>
      <c r="E34" s="77">
        <f t="shared" si="8"/>
        <v>38.258749999999999</v>
      </c>
      <c r="F34" s="77">
        <f t="shared" si="9"/>
        <v>17.616250000000001</v>
      </c>
      <c r="G34" s="77">
        <f t="shared" si="10"/>
        <v>0.05</v>
      </c>
      <c r="H34" s="77">
        <f t="shared" si="10"/>
        <v>0.125</v>
      </c>
      <c r="I34" s="77">
        <f t="shared" si="10"/>
        <v>0.125</v>
      </c>
      <c r="J34" s="77">
        <f t="shared" si="10"/>
        <v>2.5000000000000001E-3</v>
      </c>
      <c r="K34" s="77">
        <f t="shared" si="10"/>
        <v>1.2500000000000001E-2</v>
      </c>
      <c r="L34" s="77">
        <f t="shared" si="10"/>
        <v>0.05</v>
      </c>
      <c r="M34" s="77">
        <f t="shared" si="10"/>
        <v>0.05</v>
      </c>
      <c r="N34" s="77">
        <f t="shared" si="10"/>
        <v>0.5</v>
      </c>
      <c r="O34" s="77">
        <f t="shared" si="10"/>
        <v>5</v>
      </c>
      <c r="P34" s="77">
        <f t="shared" si="10"/>
        <v>10.574999999999999</v>
      </c>
      <c r="Q34" s="77">
        <f t="shared" si="11"/>
        <v>37.8125</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WF 32</v>
      </c>
      <c r="B35" s="15">
        <v>250</v>
      </c>
      <c r="C35" s="77">
        <f t="shared" si="6"/>
        <v>75</v>
      </c>
      <c r="D35" s="77">
        <f t="shared" si="7"/>
        <v>37.973324999999996</v>
      </c>
      <c r="E35" s="77">
        <f t="shared" si="8"/>
        <v>38.258749999999999</v>
      </c>
      <c r="F35" s="77">
        <f t="shared" si="9"/>
        <v>17.616250000000001</v>
      </c>
      <c r="G35" s="77">
        <f t="shared" si="10"/>
        <v>0.05</v>
      </c>
      <c r="H35" s="77">
        <f t="shared" si="10"/>
        <v>0.125</v>
      </c>
      <c r="I35" s="77">
        <f t="shared" si="10"/>
        <v>0.125</v>
      </c>
      <c r="J35" s="77">
        <f t="shared" si="10"/>
        <v>2.5000000000000001E-3</v>
      </c>
      <c r="K35" s="77">
        <f t="shared" si="10"/>
        <v>1.2500000000000001E-2</v>
      </c>
      <c r="L35" s="77">
        <f t="shared" si="10"/>
        <v>0.05</v>
      </c>
      <c r="M35" s="77">
        <f t="shared" si="10"/>
        <v>0.05</v>
      </c>
      <c r="N35" s="77">
        <f t="shared" si="10"/>
        <v>0.5</v>
      </c>
      <c r="O35" s="77">
        <f t="shared" si="10"/>
        <v>5</v>
      </c>
      <c r="P35" s="77">
        <f t="shared" si="10"/>
        <v>10.574999999999999</v>
      </c>
      <c r="Q35" s="77">
        <f t="shared" si="11"/>
        <v>37.8125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6.7</v>
      </c>
      <c r="C59" s="76">
        <f>VLOOKUP(D$14,Table24[],5,FALSE)</f>
        <v>6.7</v>
      </c>
      <c r="D59" s="76">
        <f>VLOOKUP(E$14,Table24[],5,FALSE)</f>
        <v>6.7</v>
      </c>
      <c r="E59" s="76">
        <f>VLOOKUP(F$14,Table24[],5,FALSE)</f>
        <v>6.7</v>
      </c>
      <c r="F59" s="76">
        <f>VLOOKUP(G$14,Table24[],5,FALSE)</f>
        <v>6.7</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R28" sqref="R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5.65</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172</v>
      </c>
      <c r="G2" s="155" t="s">
        <v>110</v>
      </c>
      <c r="H2" s="156"/>
      <c r="I2" s="118">
        <v>123</v>
      </c>
      <c r="J2" s="136" t="s">
        <v>158</v>
      </c>
      <c r="K2" s="136"/>
      <c r="L2" s="97">
        <v>0.03</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c r="G3" s="136" t="s">
        <v>159</v>
      </c>
      <c r="H3" s="136"/>
      <c r="I3" s="118">
        <v>780</v>
      </c>
      <c r="J3" s="137" t="s">
        <v>154</v>
      </c>
      <c r="K3" s="138"/>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173</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63.002499999999991</v>
      </c>
      <c r="D18" s="16">
        <f>$D32</f>
        <v>63.002499999999991</v>
      </c>
      <c r="E18" s="16">
        <f>$D33</f>
        <v>63.002499999999991</v>
      </c>
      <c r="F18" s="16">
        <f>$D34</f>
        <v>63.002499999999991</v>
      </c>
      <c r="G18" s="16">
        <f>$D35</f>
        <v>63.002499999999991</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12.002499999999991</v>
      </c>
      <c r="D19" s="16">
        <f t="shared" ref="D19:V19" si="1">D18-D17</f>
        <v>7.0024999999999906</v>
      </c>
      <c r="E19" s="16">
        <f t="shared" si="1"/>
        <v>7.0024999999999906</v>
      </c>
      <c r="F19" s="16">
        <f t="shared" si="1"/>
        <v>7.0024999999999906</v>
      </c>
      <c r="G19" s="16">
        <f t="shared" si="1"/>
        <v>12.002499999999991</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3.0125000000000002</v>
      </c>
      <c r="D22" s="16">
        <f>$E32</f>
        <v>3.0125000000000002</v>
      </c>
      <c r="E22" s="16">
        <f>$E33</f>
        <v>3.0125000000000002</v>
      </c>
      <c r="F22" s="16">
        <f>$E34</f>
        <v>3.0125000000000002</v>
      </c>
      <c r="G22" s="16">
        <f>$E35</f>
        <v>3.0125000000000002</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-68.987499999999997</v>
      </c>
      <c r="D23" s="16">
        <f t="shared" ref="D23:V23" si="3">D22-D21</f>
        <v>-172.98750000000001</v>
      </c>
      <c r="E23" s="16">
        <f t="shared" si="3"/>
        <v>-172.98750000000001</v>
      </c>
      <c r="F23" s="16">
        <f t="shared" si="3"/>
        <v>-172.98750000000001</v>
      </c>
      <c r="G23" s="16">
        <f t="shared" si="3"/>
        <v>-68.987499999999997</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t="s">
        <v>54</v>
      </c>
      <c r="O27" s="107" t="s">
        <v>54</v>
      </c>
      <c r="P27" s="107" t="s">
        <v>56</v>
      </c>
      <c r="Q27" s="107" t="s">
        <v>56</v>
      </c>
      <c r="R27" s="107" t="s">
        <v>54</v>
      </c>
      <c r="S27" s="107" t="s">
        <v>54</v>
      </c>
      <c r="T27" s="107" t="s">
        <v>54</v>
      </c>
      <c r="U27" s="107" t="s">
        <v>54</v>
      </c>
    </row>
    <row r="28" spans="1:40" s="57" customFormat="1" x14ac:dyDescent="0.25">
      <c r="A28" s="108"/>
      <c r="B28" s="24">
        <v>1.1000000000000001</v>
      </c>
      <c r="C28" s="15">
        <v>0.03</v>
      </c>
      <c r="D28" s="15">
        <v>1.0999999999999999E-2</v>
      </c>
      <c r="E28" s="15">
        <v>1E-3</v>
      </c>
      <c r="F28" s="15">
        <v>1E-3</v>
      </c>
      <c r="G28" s="15">
        <v>0.35</v>
      </c>
      <c r="H28" s="15">
        <v>1.54</v>
      </c>
      <c r="I28" s="15">
        <v>0.5</v>
      </c>
      <c r="J28" s="15">
        <v>0.01</v>
      </c>
      <c r="K28" s="23">
        <v>0.05</v>
      </c>
      <c r="L28" s="15">
        <v>0.2</v>
      </c>
      <c r="M28" s="15">
        <v>0.28999999999999998</v>
      </c>
      <c r="N28" s="15">
        <v>880</v>
      </c>
      <c r="O28" s="15">
        <v>22.1</v>
      </c>
      <c r="P28" s="15">
        <v>1.0999999999999999E-2</v>
      </c>
      <c r="Q28" s="15">
        <v>1.1000000000000001E-3</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63.002499999999991</v>
      </c>
      <c r="E31" s="77">
        <f>(IF(E$27="%w/w SAR",((E$28*10)*$B31),IF(E$27="%w/w DM",(((E$28*10)*($B$28/100))*$B31),IF(E$27="kg/t SAR",(E$28*$B31),IF(E$27="kg/t DM",((E$28*($B$28/100))*$B31),IF(E$27="mg/kg SAR",((E$28*0.001)*$B31),IF(E$27="mg/kg DM",(((E$28*0.001)*($B$28/100))*$B31),"0")))))))*1.205</f>
        <v>3.0125000000000002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8.7499999999999994E-2</v>
      </c>
      <c r="H31" s="77">
        <f t="shared" si="5"/>
        <v>0.38500000000000001</v>
      </c>
      <c r="I31" s="77">
        <f t="shared" si="5"/>
        <v>0.125</v>
      </c>
      <c r="J31" s="77">
        <f t="shared" si="5"/>
        <v>2.5000000000000001E-3</v>
      </c>
      <c r="K31" s="77">
        <f t="shared" si="5"/>
        <v>1.2500000000000001E-2</v>
      </c>
      <c r="L31" s="77">
        <f t="shared" si="5"/>
        <v>0.05</v>
      </c>
      <c r="M31" s="77">
        <f t="shared" si="5"/>
        <v>7.2499999999999995E-2</v>
      </c>
      <c r="N31" s="77">
        <f t="shared" si="5"/>
        <v>220</v>
      </c>
      <c r="O31" s="77">
        <f t="shared" si="5"/>
        <v>5.5250000000000004</v>
      </c>
      <c r="P31" s="77">
        <f t="shared" si="5"/>
        <v>27.499999999999996</v>
      </c>
      <c r="Q31" s="77">
        <f>(IF(Q$27="%w/w SAR",((Q$28*10)*$B31),IF(Q$27="%w/w DM",(((Q$28*10)*($B$28/100))*$B31),IF(Q$27="kg/t SAR",(Q$28*$B31),IF(Q$27="kg/t DM",((Q$28*($B$28/100))*$B31),IF(Q$27="mg/kg SAR",((Q$28*0.001)*$B31),IF(Q$27="mg/kg DM",(((Q$28*0.001)*($B$28/100))*$B31),0)))))))*2.5</f>
        <v>6.8750000000000009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63.002499999999991</v>
      </c>
      <c r="E32" s="77">
        <f t="shared" ref="E32:E50" si="8">(IF(E$27="%w/w SAR",((E$28*10)*$B32),IF(E$27="%w/w DM",(((E$28*10)*($B$28/100))*$B32),IF(E$27="kg/t SAR",(E$28*$B32),IF(E$27="kg/t DM",((E$28*($B$28/100))*$B32),IF(E$27="mg/kg SAR",((E$28*0.001)*$B32),IF(E$27="mg/kg DM",(((E$28*0.001)*($B$28/100))*$B32),"0")))))))*1.205</f>
        <v>3.0125000000000002</v>
      </c>
      <c r="F32" s="77">
        <f t="shared" ref="F32:F50" si="9">(IF(F$27="%w/w SAR",((F$28*10)*$B32),IF(F$27="%w/w DM",(((F$28*10)*($B$28/100))*$B32),IF(F$27="kg/t SAR",(F$28*$B32),IF(F$27="kg/t DM",((F$28*($B$28/100))*$B32),IF(F$27="mg/kg SAR",((F$28*0.001)*$B32),IF(F$27="mg/kg DM",(((F$28*0.001)*($B$28/100))*$B32),"0")))))))*1.658</f>
        <v>4.1449999999999996</v>
      </c>
      <c r="G32" s="77">
        <f t="shared" si="5"/>
        <v>8.7499999999999994E-2</v>
      </c>
      <c r="H32" s="77">
        <f t="shared" si="5"/>
        <v>0.38500000000000001</v>
      </c>
      <c r="I32" s="77">
        <f t="shared" si="5"/>
        <v>0.125</v>
      </c>
      <c r="J32" s="77">
        <f t="shared" si="5"/>
        <v>2.5000000000000001E-3</v>
      </c>
      <c r="K32" s="77">
        <f t="shared" si="5"/>
        <v>1.2500000000000001E-2</v>
      </c>
      <c r="L32" s="77">
        <f t="shared" si="5"/>
        <v>0.05</v>
      </c>
      <c r="M32" s="77">
        <f t="shared" si="5"/>
        <v>7.2499999999999995E-2</v>
      </c>
      <c r="N32" s="77">
        <f t="shared" si="5"/>
        <v>220</v>
      </c>
      <c r="O32" s="77">
        <f t="shared" si="5"/>
        <v>5.5250000000000004</v>
      </c>
      <c r="P32" s="77">
        <f t="shared" si="5"/>
        <v>27.499999999999996</v>
      </c>
      <c r="Q32" s="77">
        <f t="shared" ref="Q32:Q50" si="10">(IF(Q$27="%w/w SAR",((Q$28*10)*$B32),IF(Q$27="%w/w DM",(((Q$28*10)*($B$28/100))*$B32),IF(Q$27="kg/t SAR",(Q$28*$B32),IF(Q$27="kg/t DM",((Q$28*($B$28/100))*$B32),IF(Q$27="mg/kg SAR",((Q$28*0.001)*$B32),IF(Q$27="mg/kg DM",(((Q$28*0.001)*($B$28/100))*$B32),0)))))))*2.5</f>
        <v>6.8750000000000009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5">
        <v>250</v>
      </c>
      <c r="C33" s="77">
        <f t="shared" si="6"/>
        <v>75</v>
      </c>
      <c r="D33" s="77">
        <f t="shared" si="7"/>
        <v>63.002499999999991</v>
      </c>
      <c r="E33" s="77">
        <f t="shared" si="8"/>
        <v>3.0125000000000002</v>
      </c>
      <c r="F33" s="77">
        <f t="shared" si="9"/>
        <v>4.1449999999999996</v>
      </c>
      <c r="G33" s="77">
        <f t="shared" si="5"/>
        <v>8.7499999999999994E-2</v>
      </c>
      <c r="H33" s="77">
        <f t="shared" si="5"/>
        <v>0.38500000000000001</v>
      </c>
      <c r="I33" s="77">
        <f t="shared" si="5"/>
        <v>0.125</v>
      </c>
      <c r="J33" s="77">
        <f t="shared" si="5"/>
        <v>2.5000000000000001E-3</v>
      </c>
      <c r="K33" s="77">
        <f t="shared" si="5"/>
        <v>1.2500000000000001E-2</v>
      </c>
      <c r="L33" s="77">
        <f t="shared" si="5"/>
        <v>0.05</v>
      </c>
      <c r="M33" s="77">
        <f t="shared" si="5"/>
        <v>7.2499999999999995E-2</v>
      </c>
      <c r="N33" s="77">
        <f t="shared" si="5"/>
        <v>220</v>
      </c>
      <c r="O33" s="77">
        <f t="shared" si="5"/>
        <v>5.5250000000000004</v>
      </c>
      <c r="P33" s="77">
        <f t="shared" si="5"/>
        <v>27.499999999999996</v>
      </c>
      <c r="Q33" s="77">
        <f t="shared" si="10"/>
        <v>6.8750000000000009</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5">
        <v>250</v>
      </c>
      <c r="C34" s="77">
        <f t="shared" si="6"/>
        <v>75</v>
      </c>
      <c r="D34" s="77">
        <f t="shared" si="7"/>
        <v>63.002499999999991</v>
      </c>
      <c r="E34" s="77">
        <f t="shared" si="8"/>
        <v>3.0125000000000002</v>
      </c>
      <c r="F34" s="77">
        <f t="shared" si="9"/>
        <v>4.1449999999999996</v>
      </c>
      <c r="G34" s="77">
        <f t="shared" si="5"/>
        <v>8.7499999999999994E-2</v>
      </c>
      <c r="H34" s="77">
        <f t="shared" si="5"/>
        <v>0.38500000000000001</v>
      </c>
      <c r="I34" s="77">
        <f t="shared" si="5"/>
        <v>0.125</v>
      </c>
      <c r="J34" s="77">
        <f t="shared" si="5"/>
        <v>2.5000000000000001E-3</v>
      </c>
      <c r="K34" s="77">
        <f t="shared" si="5"/>
        <v>1.2500000000000001E-2</v>
      </c>
      <c r="L34" s="77">
        <f t="shared" si="5"/>
        <v>0.05</v>
      </c>
      <c r="M34" s="77">
        <f t="shared" si="5"/>
        <v>7.2499999999999995E-2</v>
      </c>
      <c r="N34" s="77">
        <f t="shared" si="5"/>
        <v>220</v>
      </c>
      <c r="O34" s="77">
        <f t="shared" si="5"/>
        <v>5.5250000000000004</v>
      </c>
      <c r="P34" s="77">
        <f t="shared" si="5"/>
        <v>27.499999999999996</v>
      </c>
      <c r="Q34" s="77">
        <f t="shared" si="10"/>
        <v>6.8750000000000009</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5">
        <v>250</v>
      </c>
      <c r="C35" s="77">
        <f t="shared" si="6"/>
        <v>75</v>
      </c>
      <c r="D35" s="77">
        <f t="shared" si="7"/>
        <v>63.002499999999991</v>
      </c>
      <c r="E35" s="77">
        <f t="shared" si="8"/>
        <v>3.0125000000000002</v>
      </c>
      <c r="F35" s="77">
        <f t="shared" si="9"/>
        <v>4.1449999999999996</v>
      </c>
      <c r="G35" s="77">
        <f t="shared" si="5"/>
        <v>8.7499999999999994E-2</v>
      </c>
      <c r="H35" s="77">
        <f t="shared" si="5"/>
        <v>0.38500000000000001</v>
      </c>
      <c r="I35" s="77">
        <f t="shared" si="5"/>
        <v>0.125</v>
      </c>
      <c r="J35" s="77">
        <f t="shared" si="5"/>
        <v>2.5000000000000001E-3</v>
      </c>
      <c r="K35" s="77">
        <f t="shared" si="5"/>
        <v>1.2500000000000001E-2</v>
      </c>
      <c r="L35" s="77">
        <f t="shared" si="5"/>
        <v>0.05</v>
      </c>
      <c r="M35" s="77">
        <f t="shared" si="5"/>
        <v>7.2499999999999995E-2</v>
      </c>
      <c r="N35" s="77">
        <f t="shared" si="5"/>
        <v>220</v>
      </c>
      <c r="O35" s="77">
        <f t="shared" si="5"/>
        <v>5.5250000000000004</v>
      </c>
      <c r="P35" s="77">
        <f t="shared" si="5"/>
        <v>27.499999999999996</v>
      </c>
      <c r="Q35" s="77">
        <f t="shared" si="10"/>
        <v>6.8750000000000009</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6.7</v>
      </c>
      <c r="C59" s="76">
        <f>VLOOKUP(D$14,Table245[],5,FALSE)</f>
        <v>6.7</v>
      </c>
      <c r="D59" s="76">
        <f>VLOOKUP(E$14,Table245[],5,FALSE)</f>
        <v>6.7</v>
      </c>
      <c r="E59" s="76">
        <f>VLOOKUP(F$14,Table245[],5,FALSE)</f>
        <v>6.7</v>
      </c>
      <c r="F59" s="76">
        <f>VLOOKUP(G$14,Table245[],5,FALSE)</f>
        <v>6.7</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5.79</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175</v>
      </c>
      <c r="G2" s="155" t="s">
        <v>110</v>
      </c>
      <c r="H2" s="156"/>
      <c r="I2" s="118">
        <v>586</v>
      </c>
      <c r="J2" s="136" t="s">
        <v>158</v>
      </c>
      <c r="K2" s="136"/>
      <c r="L2" s="97">
        <v>0.01</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c r="G3" s="136" t="s">
        <v>159</v>
      </c>
      <c r="H3" s="136"/>
      <c r="I3" s="118">
        <v>200</v>
      </c>
      <c r="J3" s="137" t="s">
        <v>154</v>
      </c>
      <c r="K3" s="138"/>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174</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12.142299999999999</v>
      </c>
      <c r="D18" s="16">
        <f>$D32</f>
        <v>12.142299999999999</v>
      </c>
      <c r="E18" s="16">
        <f>$D33</f>
        <v>12.142299999999999</v>
      </c>
      <c r="F18" s="16">
        <f>$D34</f>
        <v>12.142299999999999</v>
      </c>
      <c r="G18" s="16">
        <f>$D35</f>
        <v>12.142299999999999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-38.857700000000001</v>
      </c>
      <c r="D19" s="16">
        <f t="shared" ref="D19:V19" si="1">D18-D17</f>
        <v>-43.857700000000001</v>
      </c>
      <c r="E19" s="16">
        <f t="shared" si="1"/>
        <v>-43.857700000000001</v>
      </c>
      <c r="F19" s="16">
        <f t="shared" si="1"/>
        <v>-43.857700000000001</v>
      </c>
      <c r="G19" s="16">
        <f t="shared" si="1"/>
        <v>-38.857700000000001</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(VLOOKUP(D$14,$AI2:$AK24,3,FALSE))*D$15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8.7965</v>
      </c>
      <c r="D22" s="16">
        <f>$E32</f>
        <v>8.7965</v>
      </c>
      <c r="E22" s="16">
        <f>$E33</f>
        <v>8.7965</v>
      </c>
      <c r="F22" s="16">
        <f>$E34</f>
        <v>8.7965</v>
      </c>
      <c r="G22" s="16">
        <f>$E35</f>
        <v>8.7965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-63.203499999999998</v>
      </c>
      <c r="D23" s="16">
        <f t="shared" ref="D23:V23" si="3">D22-D21</f>
        <v>-167.20349999999999</v>
      </c>
      <c r="E23" s="16">
        <f t="shared" si="3"/>
        <v>-167.20349999999999</v>
      </c>
      <c r="F23" s="16">
        <f t="shared" si="3"/>
        <v>-167.20349999999999</v>
      </c>
      <c r="G23" s="16">
        <f t="shared" si="3"/>
        <v>-63.203499999999998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2.16</v>
      </c>
      <c r="C28" s="15">
        <v>0.01</v>
      </c>
      <c r="D28" s="15">
        <v>21.2</v>
      </c>
      <c r="E28" s="15">
        <v>29.2</v>
      </c>
      <c r="F28" s="15">
        <v>29.5</v>
      </c>
      <c r="G28" s="15">
        <v>0.47</v>
      </c>
      <c r="H28" s="15">
        <v>2.66</v>
      </c>
      <c r="I28" s="15">
        <v>0.5</v>
      </c>
      <c r="J28" s="15">
        <v>0.01</v>
      </c>
      <c r="K28" s="23">
        <v>0.05</v>
      </c>
      <c r="L28" s="15">
        <v>0.2</v>
      </c>
      <c r="M28" s="15">
        <v>0.2</v>
      </c>
      <c r="N28" s="15">
        <v>52.6</v>
      </c>
      <c r="O28" s="15">
        <v>134</v>
      </c>
      <c r="P28" s="15">
        <v>430</v>
      </c>
      <c r="Q28" s="15">
        <v>579</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12.142299999999999</v>
      </c>
      <c r="E31" s="77">
        <f>(IF(E$27="%w/w SAR",((E$28*10)*$B31),IF(E$27="%w/w DM",(((E$28*10)*($B$28/100))*$B31),IF(E$27="kg/t SAR",(E$28*$B31),IF(E$27="kg/t DM",((E$28*($B$28/100))*$B31),IF(E$27="mg/kg SAR",((E$28*0.001)*$B31),IF(E$27="mg/kg DM",(((E$28*0.001)*($B$28/100))*$B31),"0")))))))*1.205</f>
        <v>8.7965</v>
      </c>
      <c r="F31" s="77">
        <f>(IF(F$27="%w/w SAR",((F$28*10)*$B31),IF(F$27="%w/w DM",(((F$28*10)*($B$28/100))*$B31),IF(F$27="kg/t SAR",(F$28*$B31),IF(F$27="kg/t DM",((F$28*($B$28/100))*$B31),IF(F$27="mg/kg SAR",((F$28*0.001)*$B31),IF(F$27="mg/kg DM",(((F$28*0.001)*($B$28/100))*$B31),"0")))))))*1.658</f>
        <v>12.22775</v>
      </c>
      <c r="G31" s="77">
        <f t="shared" ref="G31:P46" si="5">IF(G$27="%w/w SAR",((G$28*10)*$B31),IF(G$27="%w/w DM",(((G$28*10)*($B$28/100))*$B31),IF(G$27="kg/t SAR",(G$28*$B31),IF(G$27="kg/t DM",((G$28*($B$28/100))*$B31),IF(G$27="mg/kg SAR",((G$28*0.001)*$B31),IF(G$27="mg/kg DM",(((G$28*0.001)*($B$28/100))*$B31),0))))))</f>
        <v>0.11749999999999999</v>
      </c>
      <c r="H31" s="77">
        <f t="shared" si="5"/>
        <v>0.66500000000000004</v>
      </c>
      <c r="I31" s="77">
        <f t="shared" si="5"/>
        <v>0.125</v>
      </c>
      <c r="J31" s="77">
        <f t="shared" si="5"/>
        <v>2.5000000000000001E-3</v>
      </c>
      <c r="K31" s="77">
        <f t="shared" si="5"/>
        <v>1.2500000000000001E-2</v>
      </c>
      <c r="L31" s="77">
        <f t="shared" si="5"/>
        <v>0.05</v>
      </c>
      <c r="M31" s="77">
        <f t="shared" si="5"/>
        <v>0.05</v>
      </c>
      <c r="N31" s="77">
        <f t="shared" si="5"/>
        <v>13.15</v>
      </c>
      <c r="O31" s="77">
        <f t="shared" si="5"/>
        <v>33.5</v>
      </c>
      <c r="P31" s="77">
        <f t="shared" si="5"/>
        <v>107.5</v>
      </c>
      <c r="Q31" s="77">
        <f>(IF(Q$27="%w/w SAR",((Q$28*10)*$B31),IF(Q$27="%w/w DM",(((Q$28*10)*($B$28/100))*$B31),IF(Q$27="kg/t SAR",(Q$28*$B31),IF(Q$27="kg/t DM",((Q$28*($B$28/100))*$B31),IF(Q$27="mg/kg SAR",((Q$28*0.001)*$B31),IF(Q$27="mg/kg DM",(((Q$28*0.001)*($B$28/100))*$B31),0)))))))*2.5</f>
        <v>361.875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12.142299999999999</v>
      </c>
      <c r="E32" s="77">
        <f t="shared" ref="E32:E50" si="8">(IF(E$27="%w/w SAR",((E$28*10)*$B32),IF(E$27="%w/w DM",(((E$28*10)*($B$28/100))*$B32),IF(E$27="kg/t SAR",(E$28*$B32),IF(E$27="kg/t DM",((E$28*($B$28/100))*$B32),IF(E$27="mg/kg SAR",((E$28*0.001)*$B32),IF(E$27="mg/kg DM",(((E$28*0.001)*($B$28/100))*$B32),"0")))))))*1.205</f>
        <v>8.7965</v>
      </c>
      <c r="F32" s="77">
        <f t="shared" ref="F32:F50" si="9">(IF(F$27="%w/w SAR",((F$28*10)*$B32),IF(F$27="%w/w DM",(((F$28*10)*($B$28/100))*$B32),IF(F$27="kg/t SAR",(F$28*$B32),IF(F$27="kg/t DM",((F$28*($B$28/100))*$B32),IF(F$27="mg/kg SAR",((F$28*0.001)*$B32),IF(F$27="mg/kg DM",(((F$28*0.001)*($B$28/100))*$B32),"0")))))))*1.658</f>
        <v>12.22775</v>
      </c>
      <c r="G32" s="77">
        <f t="shared" si="5"/>
        <v>0.11749999999999999</v>
      </c>
      <c r="H32" s="77">
        <f t="shared" si="5"/>
        <v>0.66500000000000004</v>
      </c>
      <c r="I32" s="77">
        <f t="shared" si="5"/>
        <v>0.125</v>
      </c>
      <c r="J32" s="77">
        <f t="shared" si="5"/>
        <v>2.5000000000000001E-3</v>
      </c>
      <c r="K32" s="77">
        <f t="shared" si="5"/>
        <v>1.2500000000000001E-2</v>
      </c>
      <c r="L32" s="77">
        <f t="shared" si="5"/>
        <v>0.05</v>
      </c>
      <c r="M32" s="77">
        <f t="shared" si="5"/>
        <v>0.05</v>
      </c>
      <c r="N32" s="77">
        <f t="shared" si="5"/>
        <v>13.15</v>
      </c>
      <c r="O32" s="77">
        <f t="shared" si="5"/>
        <v>33.5</v>
      </c>
      <c r="P32" s="77">
        <f t="shared" si="5"/>
        <v>107.5</v>
      </c>
      <c r="Q32" s="77">
        <f t="shared" ref="Q32:Q50" si="10">(IF(Q$27="%w/w SAR",((Q$28*10)*$B32),IF(Q$27="%w/w DM",(((Q$28*10)*($B$28/100))*$B32),IF(Q$27="kg/t SAR",(Q$28*$B32),IF(Q$27="kg/t DM",((Q$28*($B$28/100))*$B32),IF(Q$27="mg/kg SAR",((Q$28*0.001)*$B32),IF(Q$27="mg/kg DM",(((Q$28*0.001)*($B$28/100))*$B32),0)))))))*2.5</f>
        <v>361.875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5">
        <v>250</v>
      </c>
      <c r="C33" s="77">
        <f t="shared" si="6"/>
        <v>25</v>
      </c>
      <c r="D33" s="77">
        <f t="shared" si="7"/>
        <v>12.142299999999999</v>
      </c>
      <c r="E33" s="77">
        <f t="shared" si="8"/>
        <v>8.7965</v>
      </c>
      <c r="F33" s="77">
        <f t="shared" si="9"/>
        <v>12.22775</v>
      </c>
      <c r="G33" s="77">
        <f t="shared" si="5"/>
        <v>0.11749999999999999</v>
      </c>
      <c r="H33" s="77">
        <f t="shared" si="5"/>
        <v>0.66500000000000004</v>
      </c>
      <c r="I33" s="77">
        <f t="shared" si="5"/>
        <v>0.125</v>
      </c>
      <c r="J33" s="77">
        <f t="shared" si="5"/>
        <v>2.5000000000000001E-3</v>
      </c>
      <c r="K33" s="77">
        <f t="shared" si="5"/>
        <v>1.2500000000000001E-2</v>
      </c>
      <c r="L33" s="77">
        <f t="shared" si="5"/>
        <v>0.05</v>
      </c>
      <c r="M33" s="77">
        <f t="shared" si="5"/>
        <v>0.05</v>
      </c>
      <c r="N33" s="77">
        <f t="shared" si="5"/>
        <v>13.15</v>
      </c>
      <c r="O33" s="77">
        <f t="shared" si="5"/>
        <v>33.5</v>
      </c>
      <c r="P33" s="77">
        <f t="shared" si="5"/>
        <v>107.5</v>
      </c>
      <c r="Q33" s="77">
        <f t="shared" si="10"/>
        <v>361.875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5">
        <v>250</v>
      </c>
      <c r="C34" s="77">
        <f t="shared" si="6"/>
        <v>25</v>
      </c>
      <c r="D34" s="77">
        <f t="shared" si="7"/>
        <v>12.142299999999999</v>
      </c>
      <c r="E34" s="77">
        <f t="shared" si="8"/>
        <v>8.7965</v>
      </c>
      <c r="F34" s="77">
        <f t="shared" si="9"/>
        <v>12.22775</v>
      </c>
      <c r="G34" s="77">
        <f t="shared" si="5"/>
        <v>0.11749999999999999</v>
      </c>
      <c r="H34" s="77">
        <f t="shared" si="5"/>
        <v>0.66500000000000004</v>
      </c>
      <c r="I34" s="77">
        <f t="shared" si="5"/>
        <v>0.125</v>
      </c>
      <c r="J34" s="77">
        <f t="shared" si="5"/>
        <v>2.5000000000000001E-3</v>
      </c>
      <c r="K34" s="77">
        <f t="shared" si="5"/>
        <v>1.2500000000000001E-2</v>
      </c>
      <c r="L34" s="77">
        <f t="shared" si="5"/>
        <v>0.05</v>
      </c>
      <c r="M34" s="77">
        <f t="shared" si="5"/>
        <v>0.05</v>
      </c>
      <c r="N34" s="77">
        <f t="shared" si="5"/>
        <v>13.15</v>
      </c>
      <c r="O34" s="77">
        <f t="shared" si="5"/>
        <v>33.5</v>
      </c>
      <c r="P34" s="77">
        <f t="shared" si="5"/>
        <v>107.5</v>
      </c>
      <c r="Q34" s="77">
        <f t="shared" si="10"/>
        <v>361.875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5">
        <v>250</v>
      </c>
      <c r="C35" s="77">
        <f t="shared" si="6"/>
        <v>25</v>
      </c>
      <c r="D35" s="77">
        <f t="shared" si="7"/>
        <v>12.142299999999999</v>
      </c>
      <c r="E35" s="77">
        <f t="shared" si="8"/>
        <v>8.7965</v>
      </c>
      <c r="F35" s="77">
        <f t="shared" si="9"/>
        <v>12.22775</v>
      </c>
      <c r="G35" s="77">
        <f t="shared" si="5"/>
        <v>0.11749999999999999</v>
      </c>
      <c r="H35" s="77">
        <f t="shared" si="5"/>
        <v>0.66500000000000004</v>
      </c>
      <c r="I35" s="77">
        <f t="shared" si="5"/>
        <v>0.125</v>
      </c>
      <c r="J35" s="77">
        <f t="shared" si="5"/>
        <v>2.5000000000000001E-3</v>
      </c>
      <c r="K35" s="77">
        <f t="shared" si="5"/>
        <v>1.2500000000000001E-2</v>
      </c>
      <c r="L35" s="77">
        <f t="shared" si="5"/>
        <v>0.05</v>
      </c>
      <c r="M35" s="77">
        <f t="shared" si="5"/>
        <v>0.05</v>
      </c>
      <c r="N35" s="77">
        <f t="shared" si="5"/>
        <v>13.15</v>
      </c>
      <c r="O35" s="77">
        <f t="shared" si="5"/>
        <v>33.5</v>
      </c>
      <c r="P35" s="77">
        <f t="shared" si="5"/>
        <v>107.5</v>
      </c>
      <c r="Q35" s="77">
        <f t="shared" si="10"/>
        <v>361.875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6.7</v>
      </c>
      <c r="C59" s="76">
        <f>VLOOKUP(D$14,Table245811[],5,FALSE)</f>
        <v>6.7</v>
      </c>
      <c r="D59" s="76">
        <f>VLOOKUP(E$14,Table245811[],5,FALSE)</f>
        <v>6.7</v>
      </c>
      <c r="E59" s="76">
        <f>VLOOKUP(F$14,Table245811[],5,FALSE)</f>
        <v>6.7</v>
      </c>
      <c r="F59" s="76">
        <f>VLOOKUP(G$14,Table245811[],5,FALSE)</f>
        <v>6.7</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5.0199999999999996</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177</v>
      </c>
      <c r="G2" s="155" t="s">
        <v>110</v>
      </c>
      <c r="H2" s="156"/>
      <c r="I2" s="118">
        <v>208</v>
      </c>
      <c r="J2" s="136" t="s">
        <v>158</v>
      </c>
      <c r="K2" s="136"/>
      <c r="L2" s="97">
        <v>0.02</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c r="G3" s="136" t="s">
        <v>159</v>
      </c>
      <c r="H3" s="136"/>
      <c r="I3" s="118">
        <v>4500</v>
      </c>
      <c r="J3" s="137" t="s">
        <v>154</v>
      </c>
      <c r="K3" s="138"/>
      <c r="L3" s="97">
        <f>(L1/(L2*10000))*100</f>
        <v>12.5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176</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40.951625000000007</v>
      </c>
      <c r="D18" s="16">
        <f>$D32</f>
        <v>40.951625000000007</v>
      </c>
      <c r="E18" s="16">
        <f>$D33</f>
        <v>40.951625000000007</v>
      </c>
      <c r="F18" s="16">
        <f>$D34</f>
        <v>40.951625000000007</v>
      </c>
      <c r="G18" s="16">
        <f>$D35</f>
        <v>40.951625000000007</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-10.048374999999993</v>
      </c>
      <c r="D19" s="16">
        <f t="shared" ref="D19:V19" si="1">D18-D17</f>
        <v>-15.048374999999993</v>
      </c>
      <c r="E19" s="16">
        <f t="shared" si="1"/>
        <v>-15.048374999999993</v>
      </c>
      <c r="F19" s="16">
        <f t="shared" si="1"/>
        <v>-15.048374999999993</v>
      </c>
      <c r="G19" s="16">
        <f t="shared" si="1"/>
        <v>-10.048374999999993</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4.8802500000000002</v>
      </c>
      <c r="D22" s="16">
        <f>$E32</f>
        <v>4.8802500000000002</v>
      </c>
      <c r="E22" s="16">
        <f>$E33</f>
        <v>4.8802500000000002</v>
      </c>
      <c r="F22" s="16">
        <f>$E34</f>
        <v>4.8802500000000002</v>
      </c>
      <c r="G22" s="16">
        <f>$E35</f>
        <v>4.8802500000000002</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-67.119749999999996</v>
      </c>
      <c r="D23" s="16">
        <f t="shared" ref="D23:V23" si="3">D22-D21</f>
        <v>-171.11975000000001</v>
      </c>
      <c r="E23" s="16">
        <f t="shared" si="3"/>
        <v>-171.11975000000001</v>
      </c>
      <c r="F23" s="16">
        <f t="shared" si="3"/>
        <v>-171.11975000000001</v>
      </c>
      <c r="G23" s="16">
        <f t="shared" si="3"/>
        <v>-67.119749999999996</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1.97</v>
      </c>
      <c r="C28" s="15">
        <v>0.02</v>
      </c>
      <c r="D28" s="15">
        <v>71.5</v>
      </c>
      <c r="E28" s="15">
        <v>16.2</v>
      </c>
      <c r="F28" s="15">
        <v>10</v>
      </c>
      <c r="G28" s="15">
        <v>0.2</v>
      </c>
      <c r="H28" s="15">
        <v>1.24</v>
      </c>
      <c r="I28" s="15">
        <v>0.5</v>
      </c>
      <c r="J28" s="15">
        <v>0.01</v>
      </c>
      <c r="K28" s="23">
        <v>0.05</v>
      </c>
      <c r="L28" s="15">
        <v>0.2</v>
      </c>
      <c r="M28" s="15">
        <v>0.21</v>
      </c>
      <c r="N28" s="15">
        <v>1187</v>
      </c>
      <c r="O28" s="15">
        <v>66.400000000000006</v>
      </c>
      <c r="P28" s="15">
        <v>176</v>
      </c>
      <c r="Q28" s="15">
        <v>70.2</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40.951625000000007</v>
      </c>
      <c r="E31" s="77">
        <f>(IF(E$27="%w/w SAR",((E$28*10)*$B31),IF(E$27="%w/w DM",(((E$28*10)*($B$28/100))*$B31),IF(E$27="kg/t SAR",(E$28*$B31),IF(E$27="kg/t DM",((E$28*($B$28/100))*$B31),IF(E$27="mg/kg SAR",((E$28*0.001)*$B31),IF(E$27="mg/kg DM",(((E$28*0.001)*($B$28/100))*$B31),"0")))))))*1.205</f>
        <v>4.8802500000000002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0.31</v>
      </c>
      <c r="I31" s="77">
        <f t="shared" si="5"/>
        <v>0.125</v>
      </c>
      <c r="J31" s="77">
        <f t="shared" si="5"/>
        <v>2.5000000000000001E-3</v>
      </c>
      <c r="K31" s="77">
        <f t="shared" si="5"/>
        <v>1.2500000000000001E-2</v>
      </c>
      <c r="L31" s="77">
        <f t="shared" si="5"/>
        <v>0.05</v>
      </c>
      <c r="M31" s="77">
        <f t="shared" si="5"/>
        <v>5.2500000000000005E-2</v>
      </c>
      <c r="N31" s="77">
        <f t="shared" si="5"/>
        <v>296.75</v>
      </c>
      <c r="O31" s="77">
        <f t="shared" si="5"/>
        <v>16.600000000000001</v>
      </c>
      <c r="P31" s="77">
        <f t="shared" si="5"/>
        <v>44</v>
      </c>
      <c r="Q31" s="77">
        <f>(IF(Q$27="%w/w SAR",((Q$28*10)*$B31),IF(Q$27="%w/w DM",(((Q$28*10)*($B$28/100))*$B31),IF(Q$27="kg/t SAR",(Q$28*$B31),IF(Q$27="kg/t DM",((Q$28*($B$28/100))*$B31),IF(Q$27="mg/kg SAR",((Q$28*0.001)*$B31),IF(Q$27="mg/kg DM",(((Q$28*0.001)*($B$28/100))*$B31),0)))))))*2.5</f>
        <v>43.875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40.951625000000007</v>
      </c>
      <c r="E32" s="77">
        <f t="shared" ref="E32:E50" si="8">(IF(E$27="%w/w SAR",((E$28*10)*$B32),IF(E$27="%w/w DM",(((E$28*10)*($B$28/100))*$B32),IF(E$27="kg/t SAR",(E$28*$B32),IF(E$27="kg/t DM",((E$28*($B$28/100))*$B32),IF(E$27="mg/kg SAR",((E$28*0.001)*$B32),IF(E$27="mg/kg DM",(((E$28*0.001)*($B$28/100))*$B32),"0")))))))*1.205</f>
        <v>4.8802500000000002</v>
      </c>
      <c r="F32" s="77">
        <f t="shared" ref="F32:F50" si="9">(IF(F$27="%w/w SAR",((F$28*10)*$B32),IF(F$27="%w/w DM",(((F$28*10)*($B$28/100))*$B32),IF(F$27="kg/t SAR",(F$28*$B32),IF(F$27="kg/t DM",((F$28*($B$28/100))*$B32),IF(F$27="mg/kg SAR",((F$28*0.001)*$B32),IF(F$27="mg/kg DM",(((F$28*0.001)*($B$28/100))*$B32),"0")))))))*1.658</f>
        <v>4.1449999999999996</v>
      </c>
      <c r="G32" s="77">
        <f t="shared" si="5"/>
        <v>0.05</v>
      </c>
      <c r="H32" s="77">
        <f t="shared" si="5"/>
        <v>0.31</v>
      </c>
      <c r="I32" s="77">
        <f t="shared" si="5"/>
        <v>0.125</v>
      </c>
      <c r="J32" s="77">
        <f t="shared" si="5"/>
        <v>2.5000000000000001E-3</v>
      </c>
      <c r="K32" s="77">
        <f t="shared" si="5"/>
        <v>1.2500000000000001E-2</v>
      </c>
      <c r="L32" s="77">
        <f t="shared" si="5"/>
        <v>0.05</v>
      </c>
      <c r="M32" s="77">
        <f t="shared" si="5"/>
        <v>5.2500000000000005E-2</v>
      </c>
      <c r="N32" s="77">
        <f t="shared" si="5"/>
        <v>296.75</v>
      </c>
      <c r="O32" s="77">
        <f t="shared" si="5"/>
        <v>16.600000000000001</v>
      </c>
      <c r="P32" s="77">
        <f t="shared" si="5"/>
        <v>44</v>
      </c>
      <c r="Q32" s="77">
        <f t="shared" ref="Q32:Q50" si="10">(IF(Q$27="%w/w SAR",((Q$28*10)*$B32),IF(Q$27="%w/w DM",(((Q$28*10)*($B$28/100))*$B32),IF(Q$27="kg/t SAR",(Q$28*$B32),IF(Q$27="kg/t DM",((Q$28*($B$28/100))*$B32),IF(Q$27="mg/kg SAR",((Q$28*0.001)*$B32),IF(Q$27="mg/kg DM",(((Q$28*0.001)*($B$28/100))*$B32),0)))))))*2.5</f>
        <v>43.875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5">
        <v>250</v>
      </c>
      <c r="C33" s="77">
        <f t="shared" si="6"/>
        <v>50</v>
      </c>
      <c r="D33" s="77">
        <f t="shared" si="7"/>
        <v>40.951625000000007</v>
      </c>
      <c r="E33" s="77">
        <f t="shared" si="8"/>
        <v>4.8802500000000002</v>
      </c>
      <c r="F33" s="77">
        <f t="shared" si="9"/>
        <v>4.1449999999999996</v>
      </c>
      <c r="G33" s="77">
        <f t="shared" si="5"/>
        <v>0.05</v>
      </c>
      <c r="H33" s="77">
        <f t="shared" si="5"/>
        <v>0.31</v>
      </c>
      <c r="I33" s="77">
        <f t="shared" si="5"/>
        <v>0.125</v>
      </c>
      <c r="J33" s="77">
        <f t="shared" si="5"/>
        <v>2.5000000000000001E-3</v>
      </c>
      <c r="K33" s="77">
        <f t="shared" si="5"/>
        <v>1.2500000000000001E-2</v>
      </c>
      <c r="L33" s="77">
        <f t="shared" si="5"/>
        <v>0.05</v>
      </c>
      <c r="M33" s="77">
        <f t="shared" si="5"/>
        <v>5.2500000000000005E-2</v>
      </c>
      <c r="N33" s="77">
        <f t="shared" si="5"/>
        <v>296.75</v>
      </c>
      <c r="O33" s="77">
        <f t="shared" si="5"/>
        <v>16.600000000000001</v>
      </c>
      <c r="P33" s="77">
        <f t="shared" si="5"/>
        <v>44</v>
      </c>
      <c r="Q33" s="77">
        <f t="shared" si="10"/>
        <v>43.875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5">
        <v>250</v>
      </c>
      <c r="C34" s="77">
        <f t="shared" si="6"/>
        <v>50</v>
      </c>
      <c r="D34" s="77">
        <f t="shared" si="7"/>
        <v>40.951625000000007</v>
      </c>
      <c r="E34" s="77">
        <f t="shared" si="8"/>
        <v>4.8802500000000002</v>
      </c>
      <c r="F34" s="77">
        <f t="shared" si="9"/>
        <v>4.1449999999999996</v>
      </c>
      <c r="G34" s="77">
        <f t="shared" si="5"/>
        <v>0.05</v>
      </c>
      <c r="H34" s="77">
        <f t="shared" si="5"/>
        <v>0.31</v>
      </c>
      <c r="I34" s="77">
        <f t="shared" si="5"/>
        <v>0.125</v>
      </c>
      <c r="J34" s="77">
        <f t="shared" si="5"/>
        <v>2.5000000000000001E-3</v>
      </c>
      <c r="K34" s="77">
        <f t="shared" si="5"/>
        <v>1.2500000000000001E-2</v>
      </c>
      <c r="L34" s="77">
        <f t="shared" si="5"/>
        <v>0.05</v>
      </c>
      <c r="M34" s="77">
        <f t="shared" si="5"/>
        <v>5.2500000000000005E-2</v>
      </c>
      <c r="N34" s="77">
        <f t="shared" si="5"/>
        <v>296.75</v>
      </c>
      <c r="O34" s="77">
        <f t="shared" si="5"/>
        <v>16.600000000000001</v>
      </c>
      <c r="P34" s="77">
        <f t="shared" si="5"/>
        <v>44</v>
      </c>
      <c r="Q34" s="77">
        <f t="shared" si="10"/>
        <v>43.875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5">
        <v>250</v>
      </c>
      <c r="C35" s="77">
        <f t="shared" si="6"/>
        <v>50</v>
      </c>
      <c r="D35" s="77">
        <f t="shared" si="7"/>
        <v>40.951625000000007</v>
      </c>
      <c r="E35" s="77">
        <f t="shared" si="8"/>
        <v>4.8802500000000002</v>
      </c>
      <c r="F35" s="77">
        <f t="shared" si="9"/>
        <v>4.1449999999999996</v>
      </c>
      <c r="G35" s="77">
        <f t="shared" si="5"/>
        <v>0.05</v>
      </c>
      <c r="H35" s="77">
        <f t="shared" si="5"/>
        <v>0.31</v>
      </c>
      <c r="I35" s="77">
        <f t="shared" si="5"/>
        <v>0.125</v>
      </c>
      <c r="J35" s="77">
        <f t="shared" si="5"/>
        <v>2.5000000000000001E-3</v>
      </c>
      <c r="K35" s="77">
        <f t="shared" si="5"/>
        <v>1.2500000000000001E-2</v>
      </c>
      <c r="L35" s="77">
        <f t="shared" si="5"/>
        <v>0.05</v>
      </c>
      <c r="M35" s="77">
        <f t="shared" si="5"/>
        <v>5.2500000000000005E-2</v>
      </c>
      <c r="N35" s="77">
        <f t="shared" si="5"/>
        <v>296.75</v>
      </c>
      <c r="O35" s="77">
        <f t="shared" si="5"/>
        <v>16.600000000000001</v>
      </c>
      <c r="P35" s="77">
        <f t="shared" si="5"/>
        <v>44</v>
      </c>
      <c r="Q35" s="77">
        <f t="shared" si="10"/>
        <v>43.875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6.7</v>
      </c>
      <c r="C59" s="76">
        <f>VLOOKUP(D$14,Table24581112[],5,FALSE)</f>
        <v>6.7</v>
      </c>
      <c r="D59" s="76">
        <f>VLOOKUP(E$14,Table24581112[],5,FALSE)</f>
        <v>6.7</v>
      </c>
      <c r="E59" s="76">
        <f>VLOOKUP(F$14,Table24581112[],5,FALSE)</f>
        <v>6.7</v>
      </c>
      <c r="F59" s="76">
        <f>VLOOKUP(G$14,Table24581112[],5,FALSE)</f>
        <v>6.7</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6.42</v>
      </c>
      <c r="J1" s="136" t="s">
        <v>153</v>
      </c>
      <c r="K1" s="136"/>
      <c r="L1" s="97">
        <v>129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178</v>
      </c>
      <c r="G2" s="155" t="s">
        <v>110</v>
      </c>
      <c r="H2" s="156"/>
      <c r="I2" s="118">
        <v>1277</v>
      </c>
      <c r="J2" s="136" t="s">
        <v>158</v>
      </c>
      <c r="K2" s="136"/>
      <c r="L2" s="97">
        <v>0.05</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c r="G3" s="136" t="s">
        <v>159</v>
      </c>
      <c r="H3" s="136"/>
      <c r="I3" s="118">
        <v>1880</v>
      </c>
      <c r="J3" s="137" t="s">
        <v>154</v>
      </c>
      <c r="K3" s="138"/>
      <c r="L3" s="97">
        <f>(L1/(L2*10000))*100</f>
        <v>25.8</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179</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47.732984999999999</v>
      </c>
      <c r="D18" s="16">
        <f>$D32</f>
        <v>53.036650000000002</v>
      </c>
      <c r="E18" s="16">
        <f>$D33</f>
        <v>53.036650000000002</v>
      </c>
      <c r="F18" s="16">
        <f>$D34</f>
        <v>53.036650000000002</v>
      </c>
      <c r="G18" s="16">
        <f>$D35</f>
        <v>47.732984999999999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-3.2670150000000007</v>
      </c>
      <c r="D19" s="16">
        <f t="shared" ref="D19:V19" si="1">D18-D17</f>
        <v>-2.9633499999999984</v>
      </c>
      <c r="E19" s="16">
        <f t="shared" si="1"/>
        <v>-2.9633499999999984</v>
      </c>
      <c r="F19" s="16">
        <f t="shared" si="1"/>
        <v>-2.9633499999999984</v>
      </c>
      <c r="G19" s="16">
        <f t="shared" si="1"/>
        <v>-3.2670150000000007</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15.481237500000002</v>
      </c>
      <c r="D22" s="16">
        <f>$E32</f>
        <v>17.201375000000002</v>
      </c>
      <c r="E22" s="16">
        <f>$E33</f>
        <v>17.201375000000002</v>
      </c>
      <c r="F22" s="16">
        <f>$E34</f>
        <v>17.201375000000002</v>
      </c>
      <c r="G22" s="16">
        <f>$E35</f>
        <v>15.481237500000002</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-56.518762499999994</v>
      </c>
      <c r="D23" s="16">
        <f t="shared" ref="D23:V23" si="3">D22-D21</f>
        <v>-158.79862499999999</v>
      </c>
      <c r="E23" s="16">
        <f t="shared" si="3"/>
        <v>-158.79862499999999</v>
      </c>
      <c r="F23" s="16">
        <f t="shared" si="3"/>
        <v>-158.79862499999999</v>
      </c>
      <c r="G23" s="16">
        <f t="shared" si="3"/>
        <v>-56.518762499999994</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1.63</v>
      </c>
      <c r="C28" s="15">
        <v>0.05</v>
      </c>
      <c r="D28" s="15">
        <v>92.6</v>
      </c>
      <c r="E28" s="15">
        <v>57.1</v>
      </c>
      <c r="F28" s="15">
        <v>57.1</v>
      </c>
      <c r="G28" s="15">
        <v>1.08</v>
      </c>
      <c r="H28" s="15">
        <v>3.68</v>
      </c>
      <c r="I28" s="15">
        <v>0.5</v>
      </c>
      <c r="J28" s="15">
        <v>0.01</v>
      </c>
      <c r="K28" s="23">
        <v>0.05</v>
      </c>
      <c r="L28" s="15">
        <v>0.2</v>
      </c>
      <c r="M28" s="15">
        <v>0.25</v>
      </c>
      <c r="N28" s="15">
        <v>4.3499999999999996</v>
      </c>
      <c r="O28" s="15">
        <v>47.7</v>
      </c>
      <c r="P28" s="15">
        <v>1134</v>
      </c>
      <c r="Q28" s="15">
        <v>53.8</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225</v>
      </c>
      <c r="C31" s="77">
        <f>IF(C$27="%w/w SAR",((C$28*10)*$B31),IF(C$27="%w/w DM",(((C$28*10)*($B$28/100))*$B31),IF(C$27="kg/t SAR",(C$28*$B31),IF(C$27="kg/t DM",((C$28*($B$28/100))*$B31),IF(C$27="mg/kg SAR",((C$28*0.001)*$B31),IF(C$27="mg/kg DM",(((C$28*0.001)*($B$28/100))*$B31),0))))))</f>
        <v>112.5</v>
      </c>
      <c r="D31" s="77">
        <f>(IF(D$27="%w/w SAR",((D$28*10)*$B31),IF(D$27="%w/w DM",(((D$28*10)*($B$28/100))*$B31),IF(D$27="kg/t SAR",(D$28*$B31),IF(D$27="kg/t DM",((D$28*($B$28/100))*$B31),IF(D$27="mg/kg SAR",((D$28*0.001)*$B31),IF(D$27="mg/kg DM",(((D$28*0.001)*($B$28/100))*$B31),"0")))))))*2.291</f>
        <v>47.732984999999999</v>
      </c>
      <c r="E31" s="77">
        <f>(IF(E$27="%w/w SAR",((E$28*10)*$B31),IF(E$27="%w/w DM",(((E$28*10)*($B$28/100))*$B31),IF(E$27="kg/t SAR",(E$28*$B31),IF(E$27="kg/t DM",((E$28*($B$28/100))*$B31),IF(E$27="mg/kg SAR",((E$28*0.001)*$B31),IF(E$27="mg/kg DM",(((E$28*0.001)*($B$28/100))*$B31),"0")))))))*1.205</f>
        <v>15.481237500000002</v>
      </c>
      <c r="F31" s="77">
        <f>(IF(F$27="%w/w SAR",((F$28*10)*$B31),IF(F$27="%w/w DM",(((F$28*10)*($B$28/100))*$B31),IF(F$27="kg/t SAR",(F$28*$B31),IF(F$27="kg/t DM",((F$28*($B$28/100))*$B31),IF(F$27="mg/kg SAR",((F$28*0.001)*$B31),IF(F$27="mg/kg DM",(((F$28*0.001)*($B$28/100))*$B31),"0")))))))*1.658</f>
        <v>21.301155000000001</v>
      </c>
      <c r="G31" s="77">
        <f t="shared" ref="G31:P46" si="5">IF(G$27="%w/w SAR",((G$28*10)*$B31),IF(G$27="%w/w DM",(((G$28*10)*($B$28/100))*$B31),IF(G$27="kg/t SAR",(G$28*$B31),IF(G$27="kg/t DM",((G$28*($B$28/100))*$B31),IF(G$27="mg/kg SAR",((G$28*0.001)*$B31),IF(G$27="mg/kg DM",(((G$28*0.001)*($B$28/100))*$B31),0))))))</f>
        <v>0.24299999999999999</v>
      </c>
      <c r="H31" s="77">
        <f t="shared" si="5"/>
        <v>0.82800000000000007</v>
      </c>
      <c r="I31" s="77">
        <f t="shared" si="5"/>
        <v>0.1125</v>
      </c>
      <c r="J31" s="77">
        <f t="shared" si="5"/>
        <v>2.2500000000000003E-3</v>
      </c>
      <c r="K31" s="77">
        <f t="shared" si="5"/>
        <v>1.1250000000000001E-2</v>
      </c>
      <c r="L31" s="77">
        <f t="shared" si="5"/>
        <v>4.5000000000000005E-2</v>
      </c>
      <c r="M31" s="77">
        <f t="shared" si="5"/>
        <v>5.6250000000000001E-2</v>
      </c>
      <c r="N31" s="77">
        <f t="shared" si="5"/>
        <v>0.9787499999999999</v>
      </c>
      <c r="O31" s="77">
        <f t="shared" si="5"/>
        <v>10.732500000000002</v>
      </c>
      <c r="P31" s="77">
        <f t="shared" si="5"/>
        <v>255.15000000000003</v>
      </c>
      <c r="Q31" s="77">
        <f>(IF(Q$27="%w/w SAR",((Q$28*10)*$B31),IF(Q$27="%w/w DM",(((Q$28*10)*($B$28/100))*$B31),IF(Q$27="kg/t SAR",(Q$28*$B31),IF(Q$27="kg/t DM",((Q$28*($B$28/100))*$B31),IF(Q$27="mg/kg SAR",((Q$28*0.001)*$B31),IF(Q$27="mg/kg DM",(((Q$28*0.001)*($B$28/100))*$B31),0)))))))*2.5</f>
        <v>30.262500000000003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125</v>
      </c>
      <c r="D32" s="77">
        <f t="shared" ref="D32:D50" si="7">(IF(D$27="%w/w SAR",((D$28*10)*$B32),IF(D$27="%w/w DM",(((D$28*10)*($B$28/100))*$B32),IF(D$27="kg/t SAR",(D$28*$B32),IF(D$27="kg/t DM",((D$28*($B$28/100))*$B32),IF(D$27="mg/kg SAR",((D$28*0.001)*$B32),IF(D$27="mg/kg DM",(((D$28*0.001)*($B$28/100))*$B32),"0")))))))*2.291</f>
        <v>53.036650000000002</v>
      </c>
      <c r="E32" s="77">
        <f t="shared" ref="E32:E50" si="8">(IF(E$27="%w/w SAR",((E$28*10)*$B32),IF(E$27="%w/w DM",(((E$28*10)*($B$28/100))*$B32),IF(E$27="kg/t SAR",(E$28*$B32),IF(E$27="kg/t DM",((E$28*($B$28/100))*$B32),IF(E$27="mg/kg SAR",((E$28*0.001)*$B32),IF(E$27="mg/kg DM",(((E$28*0.001)*($B$28/100))*$B32),"0")))))))*1.205</f>
        <v>17.201375000000002</v>
      </c>
      <c r="F32" s="77">
        <f t="shared" ref="F32:F50" si="9">(IF(F$27="%w/w SAR",((F$28*10)*$B32),IF(F$27="%w/w DM",(((F$28*10)*($B$28/100))*$B32),IF(F$27="kg/t SAR",(F$28*$B32),IF(F$27="kg/t DM",((F$28*($B$28/100))*$B32),IF(F$27="mg/kg SAR",((F$28*0.001)*$B32),IF(F$27="mg/kg DM",(((F$28*0.001)*($B$28/100))*$B32),"0")))))))*1.658</f>
        <v>23.667950000000001</v>
      </c>
      <c r="G32" s="77">
        <f t="shared" si="5"/>
        <v>0.27</v>
      </c>
      <c r="H32" s="77">
        <f t="shared" si="5"/>
        <v>0.92</v>
      </c>
      <c r="I32" s="77">
        <f t="shared" si="5"/>
        <v>0.125</v>
      </c>
      <c r="J32" s="77">
        <f t="shared" si="5"/>
        <v>2.5000000000000001E-3</v>
      </c>
      <c r="K32" s="77">
        <f t="shared" si="5"/>
        <v>1.2500000000000001E-2</v>
      </c>
      <c r="L32" s="77">
        <f t="shared" si="5"/>
        <v>0.05</v>
      </c>
      <c r="M32" s="77">
        <f t="shared" si="5"/>
        <v>6.25E-2</v>
      </c>
      <c r="N32" s="77">
        <f t="shared" si="5"/>
        <v>1.0874999999999999</v>
      </c>
      <c r="O32" s="77">
        <f t="shared" si="5"/>
        <v>11.925000000000001</v>
      </c>
      <c r="P32" s="77">
        <f t="shared" si="5"/>
        <v>283.50000000000006</v>
      </c>
      <c r="Q32" s="77">
        <f t="shared" ref="Q32:Q50" si="10">(IF(Q$27="%w/w SAR",((Q$28*10)*$B32),IF(Q$27="%w/w DM",(((Q$28*10)*($B$28/100))*$B32),IF(Q$27="kg/t SAR",(Q$28*$B32),IF(Q$27="kg/t DM",((Q$28*($B$28/100))*$B32),IF(Q$27="mg/kg SAR",((Q$28*0.001)*$B32),IF(Q$27="mg/kg DM",(((Q$28*0.001)*($B$28/100))*$B32),0)))))))*2.5</f>
        <v>33.625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5">
        <v>250</v>
      </c>
      <c r="C33" s="77">
        <f t="shared" si="6"/>
        <v>125</v>
      </c>
      <c r="D33" s="77">
        <f t="shared" si="7"/>
        <v>53.036650000000002</v>
      </c>
      <c r="E33" s="77">
        <f t="shared" si="8"/>
        <v>17.201375000000002</v>
      </c>
      <c r="F33" s="77">
        <f t="shared" si="9"/>
        <v>23.667950000000001</v>
      </c>
      <c r="G33" s="77">
        <f t="shared" si="5"/>
        <v>0.27</v>
      </c>
      <c r="H33" s="77">
        <f t="shared" si="5"/>
        <v>0.92</v>
      </c>
      <c r="I33" s="77">
        <f t="shared" si="5"/>
        <v>0.125</v>
      </c>
      <c r="J33" s="77">
        <f t="shared" si="5"/>
        <v>2.5000000000000001E-3</v>
      </c>
      <c r="K33" s="77">
        <f t="shared" si="5"/>
        <v>1.2500000000000001E-2</v>
      </c>
      <c r="L33" s="77">
        <f t="shared" si="5"/>
        <v>0.05</v>
      </c>
      <c r="M33" s="77">
        <f t="shared" si="5"/>
        <v>6.25E-2</v>
      </c>
      <c r="N33" s="77">
        <f t="shared" si="5"/>
        <v>1.0874999999999999</v>
      </c>
      <c r="O33" s="77">
        <f t="shared" si="5"/>
        <v>11.925000000000001</v>
      </c>
      <c r="P33" s="77">
        <f t="shared" si="5"/>
        <v>283.50000000000006</v>
      </c>
      <c r="Q33" s="77">
        <f t="shared" si="10"/>
        <v>33.625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5">
        <v>250</v>
      </c>
      <c r="C34" s="77">
        <f t="shared" si="6"/>
        <v>125</v>
      </c>
      <c r="D34" s="77">
        <f t="shared" si="7"/>
        <v>53.036650000000002</v>
      </c>
      <c r="E34" s="77">
        <f t="shared" si="8"/>
        <v>17.201375000000002</v>
      </c>
      <c r="F34" s="77">
        <f t="shared" si="9"/>
        <v>23.667950000000001</v>
      </c>
      <c r="G34" s="77">
        <f t="shared" si="5"/>
        <v>0.27</v>
      </c>
      <c r="H34" s="77">
        <f t="shared" si="5"/>
        <v>0.92</v>
      </c>
      <c r="I34" s="77">
        <f t="shared" si="5"/>
        <v>0.125</v>
      </c>
      <c r="J34" s="77">
        <f t="shared" si="5"/>
        <v>2.5000000000000001E-3</v>
      </c>
      <c r="K34" s="77">
        <f t="shared" si="5"/>
        <v>1.2500000000000001E-2</v>
      </c>
      <c r="L34" s="77">
        <f t="shared" si="5"/>
        <v>0.05</v>
      </c>
      <c r="M34" s="77">
        <f t="shared" si="5"/>
        <v>6.25E-2</v>
      </c>
      <c r="N34" s="77">
        <f t="shared" si="5"/>
        <v>1.0874999999999999</v>
      </c>
      <c r="O34" s="77">
        <f t="shared" si="5"/>
        <v>11.925000000000001</v>
      </c>
      <c r="P34" s="77">
        <f t="shared" si="5"/>
        <v>283.50000000000006</v>
      </c>
      <c r="Q34" s="77">
        <f t="shared" si="10"/>
        <v>33.625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5">
        <v>225</v>
      </c>
      <c r="C35" s="77">
        <f t="shared" si="6"/>
        <v>112.5</v>
      </c>
      <c r="D35" s="77">
        <f t="shared" si="7"/>
        <v>47.732984999999999</v>
      </c>
      <c r="E35" s="77">
        <f t="shared" si="8"/>
        <v>15.481237500000002</v>
      </c>
      <c r="F35" s="77">
        <f t="shared" si="9"/>
        <v>21.301155000000001</v>
      </c>
      <c r="G35" s="77">
        <f t="shared" si="5"/>
        <v>0.24299999999999999</v>
      </c>
      <c r="H35" s="77">
        <f t="shared" si="5"/>
        <v>0.82800000000000007</v>
      </c>
      <c r="I35" s="77">
        <f t="shared" si="5"/>
        <v>0.1125</v>
      </c>
      <c r="J35" s="77">
        <f t="shared" si="5"/>
        <v>2.2500000000000003E-3</v>
      </c>
      <c r="K35" s="77">
        <f t="shared" si="5"/>
        <v>1.1250000000000001E-2</v>
      </c>
      <c r="L35" s="77">
        <f t="shared" si="5"/>
        <v>4.5000000000000005E-2</v>
      </c>
      <c r="M35" s="77">
        <f t="shared" si="5"/>
        <v>5.6250000000000001E-2</v>
      </c>
      <c r="N35" s="77">
        <f t="shared" si="5"/>
        <v>0.9787499999999999</v>
      </c>
      <c r="O35" s="77">
        <f t="shared" si="5"/>
        <v>10.732500000000002</v>
      </c>
      <c r="P35" s="77">
        <f t="shared" si="5"/>
        <v>255.15000000000003</v>
      </c>
      <c r="Q35" s="77">
        <f t="shared" si="10"/>
        <v>30.262500000000003</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6.7</v>
      </c>
      <c r="C59" s="76">
        <f>VLOOKUP(D$14,Table24581114[],5,FALSE)</f>
        <v>6.7</v>
      </c>
      <c r="D59" s="76">
        <f>VLOOKUP(E$14,Table24581114[],5,FALSE)</f>
        <v>6.7</v>
      </c>
      <c r="E59" s="76">
        <f>VLOOKUP(F$14,Table24581114[],5,FALSE)</f>
        <v>6.7</v>
      </c>
      <c r="F59" s="76">
        <f>VLOOKUP(G$14,Table24581114[],5,FALSE)</f>
        <v>6.7</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225</v>
      </c>
      <c r="C62" s="77">
        <f>B32</f>
        <v>250</v>
      </c>
      <c r="D62" s="77">
        <f>B33</f>
        <v>250</v>
      </c>
      <c r="E62" s="77">
        <f>B34</f>
        <v>250</v>
      </c>
      <c r="F62" s="77">
        <f>B35</f>
        <v>225</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H14" sqref="H1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8.23</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181</v>
      </c>
      <c r="G2" s="155" t="s">
        <v>110</v>
      </c>
      <c r="H2" s="156"/>
      <c r="I2" s="118">
        <v>235</v>
      </c>
      <c r="J2" s="136" t="s">
        <v>158</v>
      </c>
      <c r="K2" s="136"/>
      <c r="L2" s="97">
        <v>0.01</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t="s">
        <v>77</v>
      </c>
      <c r="G3" s="136" t="s">
        <v>159</v>
      </c>
      <c r="H3" s="136"/>
      <c r="I3" s="118"/>
      <c r="J3" s="137" t="s">
        <v>154</v>
      </c>
      <c r="K3" s="138"/>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180</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3.3792249999999999</v>
      </c>
      <c r="D18" s="16">
        <f>$D32</f>
        <v>3.3792249999999999</v>
      </c>
      <c r="E18" s="16">
        <f>$D33</f>
        <v>3.3792249999999999</v>
      </c>
      <c r="F18" s="16">
        <f>$D34</f>
        <v>3.3792249999999999</v>
      </c>
      <c r="G18" s="16">
        <f>$D35</f>
        <v>3.3792249999999999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-47.620775000000002</v>
      </c>
      <c r="D19" s="16">
        <f t="shared" ref="D19:V19" si="1">D18-D17</f>
        <v>-52.620775000000002</v>
      </c>
      <c r="E19" s="16">
        <f t="shared" si="1"/>
        <v>-52.620775000000002</v>
      </c>
      <c r="F19" s="16">
        <f t="shared" si="1"/>
        <v>-52.620775000000002</v>
      </c>
      <c r="G19" s="16">
        <f t="shared" si="1"/>
        <v>-47.620775000000002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10.091875</v>
      </c>
      <c r="D22" s="16">
        <f>$E32</f>
        <v>10.091875</v>
      </c>
      <c r="E22" s="16">
        <f>$E33</f>
        <v>10.091875</v>
      </c>
      <c r="F22" s="16">
        <f>$E34</f>
        <v>10.091875</v>
      </c>
      <c r="G22" s="16">
        <f>$E35</f>
        <v>10.091875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-61.908124999999998</v>
      </c>
      <c r="D23" s="16">
        <f t="shared" ref="D23:V23" si="3">D22-D21</f>
        <v>-165.90812500000001</v>
      </c>
      <c r="E23" s="16">
        <f t="shared" si="3"/>
        <v>-165.90812500000001</v>
      </c>
      <c r="F23" s="16">
        <f t="shared" si="3"/>
        <v>-165.90812500000001</v>
      </c>
      <c r="G23" s="16">
        <f t="shared" si="3"/>
        <v>-61.908124999999998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22" t="s">
        <v>56</v>
      </c>
      <c r="D27" s="122" t="s">
        <v>54</v>
      </c>
      <c r="E27" s="122" t="s">
        <v>54</v>
      </c>
      <c r="F27" s="122" t="s">
        <v>54</v>
      </c>
      <c r="G27" s="122" t="s">
        <v>54</v>
      </c>
      <c r="H27" s="122" t="s">
        <v>54</v>
      </c>
      <c r="I27" s="122" t="s">
        <v>54</v>
      </c>
      <c r="J27" s="122" t="s">
        <v>54</v>
      </c>
      <c r="K27" s="122" t="s">
        <v>54</v>
      </c>
      <c r="L27" s="122" t="s">
        <v>54</v>
      </c>
      <c r="M27" s="122" t="s">
        <v>54</v>
      </c>
      <c r="N27" s="122" t="s">
        <v>54</v>
      </c>
      <c r="O27" s="122" t="s">
        <v>54</v>
      </c>
      <c r="P27" s="122" t="s">
        <v>54</v>
      </c>
      <c r="Q27" s="122" t="s">
        <v>54</v>
      </c>
      <c r="R27" s="122"/>
      <c r="S27" s="122"/>
      <c r="T27" s="122"/>
      <c r="U27" s="122"/>
    </row>
    <row r="28" spans="1:40" s="57" customFormat="1" x14ac:dyDescent="0.25">
      <c r="A28" s="108"/>
      <c r="B28" s="24">
        <v>0.6</v>
      </c>
      <c r="C28" s="120">
        <v>0.01</v>
      </c>
      <c r="D28" s="120">
        <v>5.9</v>
      </c>
      <c r="E28" s="120">
        <v>33.5</v>
      </c>
      <c r="F28" s="120">
        <v>10.7</v>
      </c>
      <c r="G28" s="120">
        <v>0.37</v>
      </c>
      <c r="H28" s="120">
        <v>1.97</v>
      </c>
      <c r="I28" s="120">
        <v>3.08</v>
      </c>
      <c r="J28" s="120">
        <v>0.01</v>
      </c>
      <c r="K28" s="121">
        <v>0.05</v>
      </c>
      <c r="L28" s="120">
        <v>0.2</v>
      </c>
      <c r="M28" s="120">
        <v>0.38</v>
      </c>
      <c r="N28" s="120">
        <v>10.1</v>
      </c>
      <c r="O28" s="120">
        <v>20</v>
      </c>
      <c r="P28" s="120">
        <v>168</v>
      </c>
      <c r="Q28" s="120">
        <v>73.3</v>
      </c>
      <c r="R28" s="120"/>
      <c r="S28" s="120"/>
      <c r="T28" s="120"/>
      <c r="U28" s="120"/>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19">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3.3792249999999999</v>
      </c>
      <c r="E31" s="77">
        <f>(IF(E$27="%w/w SAR",((E$28*10)*$B31),IF(E$27="%w/w DM",(((E$28*10)*($B$28/100))*$B31),IF(E$27="kg/t SAR",(E$28*$B31),IF(E$27="kg/t DM",((E$28*($B$28/100))*$B31),IF(E$27="mg/kg SAR",((E$28*0.001)*$B31),IF(E$27="mg/kg DM",(((E$28*0.001)*($B$28/100))*$B31),"0")))))))*1.205</f>
        <v>10.091875</v>
      </c>
      <c r="F31" s="77">
        <f>(IF(F$27="%w/w SAR",((F$28*10)*$B31),IF(F$27="%w/w DM",(((F$28*10)*($B$28/100))*$B31),IF(F$27="kg/t SAR",(F$28*$B31),IF(F$27="kg/t DM",((F$28*($B$28/100))*$B31),IF(F$27="mg/kg SAR",((F$28*0.001)*$B31),IF(F$27="mg/kg DM",(((F$28*0.001)*($B$28/100))*$B31),"0")))))))*1.658</f>
        <v>4.4351499999999993</v>
      </c>
      <c r="G31" s="77">
        <f t="shared" ref="G31:P46" si="5">IF(G$27="%w/w SAR",((G$28*10)*$B31),IF(G$27="%w/w DM",(((G$28*10)*($B$28/100))*$B31),IF(G$27="kg/t SAR",(G$28*$B31),IF(G$27="kg/t DM",((G$28*($B$28/100))*$B31),IF(G$27="mg/kg SAR",((G$28*0.001)*$B31),IF(G$27="mg/kg DM",(((G$28*0.001)*($B$28/100))*$B31),0))))))</f>
        <v>9.2499999999999999E-2</v>
      </c>
      <c r="H31" s="77">
        <f t="shared" si="5"/>
        <v>0.49249999999999999</v>
      </c>
      <c r="I31" s="77">
        <f t="shared" si="5"/>
        <v>0.77</v>
      </c>
      <c r="J31" s="77">
        <f t="shared" si="5"/>
        <v>2.5000000000000001E-3</v>
      </c>
      <c r="K31" s="77">
        <f t="shared" si="5"/>
        <v>1.2500000000000001E-2</v>
      </c>
      <c r="L31" s="77">
        <f t="shared" si="5"/>
        <v>0.05</v>
      </c>
      <c r="M31" s="77">
        <f t="shared" si="5"/>
        <v>9.5000000000000001E-2</v>
      </c>
      <c r="N31" s="77">
        <f t="shared" si="5"/>
        <v>2.5249999999999999</v>
      </c>
      <c r="O31" s="77">
        <f t="shared" si="5"/>
        <v>5</v>
      </c>
      <c r="P31" s="77">
        <f t="shared" si="5"/>
        <v>42</v>
      </c>
      <c r="Q31" s="77">
        <f>(IF(Q$27="%w/w SAR",((Q$28*10)*$B31),IF(Q$27="%w/w DM",(((Q$28*10)*($B$28/100))*$B31),IF(Q$27="kg/t SAR",(Q$28*$B31),IF(Q$27="kg/t DM",((Q$28*($B$28/100))*$B31),IF(Q$27="mg/kg SAR",((Q$28*0.001)*$B31),IF(Q$27="mg/kg DM",(((Q$28*0.001)*($B$28/100))*$B31),0)))))))*2.5</f>
        <v>45.8125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19">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3.3792249999999999</v>
      </c>
      <c r="E32" s="77">
        <f t="shared" ref="E32:E50" si="8">(IF(E$27="%w/w SAR",((E$28*10)*$B32),IF(E$27="%w/w DM",(((E$28*10)*($B$28/100))*$B32),IF(E$27="kg/t SAR",(E$28*$B32),IF(E$27="kg/t DM",((E$28*($B$28/100))*$B32),IF(E$27="mg/kg SAR",((E$28*0.001)*$B32),IF(E$27="mg/kg DM",(((E$28*0.001)*($B$28/100))*$B32),"0")))))))*1.205</f>
        <v>10.091875</v>
      </c>
      <c r="F32" s="77">
        <f t="shared" ref="F32:F50" si="9">(IF(F$27="%w/w SAR",((F$28*10)*$B32),IF(F$27="%w/w DM",(((F$28*10)*($B$28/100))*$B32),IF(F$27="kg/t SAR",(F$28*$B32),IF(F$27="kg/t DM",((F$28*($B$28/100))*$B32),IF(F$27="mg/kg SAR",((F$28*0.001)*$B32),IF(F$27="mg/kg DM",(((F$28*0.001)*($B$28/100))*$B32),"0")))))))*1.658</f>
        <v>4.4351499999999993</v>
      </c>
      <c r="G32" s="77">
        <f t="shared" si="5"/>
        <v>9.2499999999999999E-2</v>
      </c>
      <c r="H32" s="77">
        <f t="shared" si="5"/>
        <v>0.49249999999999999</v>
      </c>
      <c r="I32" s="77">
        <f t="shared" si="5"/>
        <v>0.77</v>
      </c>
      <c r="J32" s="77">
        <f t="shared" si="5"/>
        <v>2.5000000000000001E-3</v>
      </c>
      <c r="K32" s="77">
        <f t="shared" si="5"/>
        <v>1.2500000000000001E-2</v>
      </c>
      <c r="L32" s="77">
        <f t="shared" si="5"/>
        <v>0.05</v>
      </c>
      <c r="M32" s="77">
        <f t="shared" si="5"/>
        <v>9.5000000000000001E-2</v>
      </c>
      <c r="N32" s="77">
        <f t="shared" si="5"/>
        <v>2.5249999999999999</v>
      </c>
      <c r="O32" s="77">
        <f t="shared" si="5"/>
        <v>5</v>
      </c>
      <c r="P32" s="77">
        <f t="shared" si="5"/>
        <v>42</v>
      </c>
      <c r="Q32" s="77">
        <f t="shared" ref="Q32:Q50" si="10">(IF(Q$27="%w/w SAR",((Q$28*10)*$B32),IF(Q$27="%w/w DM",(((Q$28*10)*($B$28/100))*$B32),IF(Q$27="kg/t SAR",(Q$28*$B32),IF(Q$27="kg/t DM",((Q$28*($B$28/100))*$B32),IF(Q$27="mg/kg SAR",((Q$28*0.001)*$B32),IF(Q$27="mg/kg DM",(((Q$28*0.001)*($B$28/100))*$B32),0)))))))*2.5</f>
        <v>45.8125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19">
        <v>250</v>
      </c>
      <c r="C33" s="77">
        <f t="shared" si="6"/>
        <v>25</v>
      </c>
      <c r="D33" s="77">
        <f t="shared" si="7"/>
        <v>3.3792249999999999</v>
      </c>
      <c r="E33" s="77">
        <f t="shared" si="8"/>
        <v>10.091875</v>
      </c>
      <c r="F33" s="77">
        <f t="shared" si="9"/>
        <v>4.4351499999999993</v>
      </c>
      <c r="G33" s="77">
        <f t="shared" si="5"/>
        <v>9.2499999999999999E-2</v>
      </c>
      <c r="H33" s="77">
        <f t="shared" si="5"/>
        <v>0.49249999999999999</v>
      </c>
      <c r="I33" s="77">
        <f t="shared" si="5"/>
        <v>0.77</v>
      </c>
      <c r="J33" s="77">
        <f t="shared" si="5"/>
        <v>2.5000000000000001E-3</v>
      </c>
      <c r="K33" s="77">
        <f t="shared" si="5"/>
        <v>1.2500000000000001E-2</v>
      </c>
      <c r="L33" s="77">
        <f t="shared" si="5"/>
        <v>0.05</v>
      </c>
      <c r="M33" s="77">
        <f t="shared" si="5"/>
        <v>9.5000000000000001E-2</v>
      </c>
      <c r="N33" s="77">
        <f t="shared" si="5"/>
        <v>2.5249999999999999</v>
      </c>
      <c r="O33" s="77">
        <f t="shared" si="5"/>
        <v>5</v>
      </c>
      <c r="P33" s="77">
        <f t="shared" si="5"/>
        <v>42</v>
      </c>
      <c r="Q33" s="77">
        <f t="shared" si="10"/>
        <v>45.8125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19">
        <v>250</v>
      </c>
      <c r="C34" s="77">
        <f t="shared" si="6"/>
        <v>25</v>
      </c>
      <c r="D34" s="77">
        <f t="shared" si="7"/>
        <v>3.3792249999999999</v>
      </c>
      <c r="E34" s="77">
        <f t="shared" si="8"/>
        <v>10.091875</v>
      </c>
      <c r="F34" s="77">
        <f t="shared" si="9"/>
        <v>4.4351499999999993</v>
      </c>
      <c r="G34" s="77">
        <f t="shared" si="5"/>
        <v>9.2499999999999999E-2</v>
      </c>
      <c r="H34" s="77">
        <f t="shared" si="5"/>
        <v>0.49249999999999999</v>
      </c>
      <c r="I34" s="77">
        <f t="shared" si="5"/>
        <v>0.77</v>
      </c>
      <c r="J34" s="77">
        <f t="shared" si="5"/>
        <v>2.5000000000000001E-3</v>
      </c>
      <c r="K34" s="77">
        <f t="shared" si="5"/>
        <v>1.2500000000000001E-2</v>
      </c>
      <c r="L34" s="77">
        <f t="shared" si="5"/>
        <v>0.05</v>
      </c>
      <c r="M34" s="77">
        <f t="shared" si="5"/>
        <v>9.5000000000000001E-2</v>
      </c>
      <c r="N34" s="77">
        <f t="shared" si="5"/>
        <v>2.5249999999999999</v>
      </c>
      <c r="O34" s="77">
        <f t="shared" si="5"/>
        <v>5</v>
      </c>
      <c r="P34" s="77">
        <f t="shared" si="5"/>
        <v>42</v>
      </c>
      <c r="Q34" s="77">
        <f t="shared" si="10"/>
        <v>45.8125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19">
        <v>250</v>
      </c>
      <c r="C35" s="77">
        <f t="shared" si="6"/>
        <v>25</v>
      </c>
      <c r="D35" s="77">
        <f t="shared" si="7"/>
        <v>3.3792249999999999</v>
      </c>
      <c r="E35" s="77">
        <f t="shared" si="8"/>
        <v>10.091875</v>
      </c>
      <c r="F35" s="77">
        <f t="shared" si="9"/>
        <v>4.4351499999999993</v>
      </c>
      <c r="G35" s="77">
        <f t="shared" si="5"/>
        <v>9.2499999999999999E-2</v>
      </c>
      <c r="H35" s="77">
        <f t="shared" si="5"/>
        <v>0.49249999999999999</v>
      </c>
      <c r="I35" s="77">
        <f t="shared" si="5"/>
        <v>0.77</v>
      </c>
      <c r="J35" s="77">
        <f t="shared" si="5"/>
        <v>2.5000000000000001E-3</v>
      </c>
      <c r="K35" s="77">
        <f t="shared" si="5"/>
        <v>1.2500000000000001E-2</v>
      </c>
      <c r="L35" s="77">
        <f t="shared" si="5"/>
        <v>0.05</v>
      </c>
      <c r="M35" s="77">
        <f t="shared" si="5"/>
        <v>9.5000000000000001E-2</v>
      </c>
      <c r="N35" s="77">
        <f t="shared" si="5"/>
        <v>2.5249999999999999</v>
      </c>
      <c r="O35" s="77">
        <f t="shared" si="5"/>
        <v>5</v>
      </c>
      <c r="P35" s="77">
        <f t="shared" si="5"/>
        <v>42</v>
      </c>
      <c r="Q35" s="77">
        <f t="shared" si="10"/>
        <v>45.8125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6.7</v>
      </c>
      <c r="C59" s="76">
        <f>VLOOKUP(D$14,Table245810[],5,FALSE)</f>
        <v>6.7</v>
      </c>
      <c r="D59" s="76">
        <f>VLOOKUP(E$14,Table245810[],5,FALSE)</f>
        <v>6.7</v>
      </c>
      <c r="E59" s="76">
        <f>VLOOKUP(F$14,Table245810[],5,FALSE)</f>
        <v>6.7</v>
      </c>
      <c r="F59" s="76">
        <f>VLOOKUP(G$14,Table245810[],5,FALSE)</f>
        <v>6.7</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R28" sqref="R28"/>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26">
        <v>4.4800000000000004</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172</v>
      </c>
      <c r="G2" s="155" t="s">
        <v>110</v>
      </c>
      <c r="H2" s="156"/>
      <c r="I2" s="126">
        <v>325</v>
      </c>
      <c r="J2" s="136" t="s">
        <v>158</v>
      </c>
      <c r="K2" s="136"/>
      <c r="L2" s="97">
        <v>0.01</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123" t="s">
        <v>77</v>
      </c>
      <c r="G3" s="136" t="s">
        <v>159</v>
      </c>
      <c r="H3" s="136"/>
      <c r="I3" s="118">
        <v>540</v>
      </c>
      <c r="J3" s="137" t="s">
        <v>154</v>
      </c>
      <c r="K3" s="138"/>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124" t="s">
        <v>182</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7.8466750000000003</v>
      </c>
      <c r="D18" s="16">
        <f>$D32</f>
        <v>7.8466750000000003</v>
      </c>
      <c r="E18" s="16">
        <f>$D33</f>
        <v>7.8466750000000003</v>
      </c>
      <c r="F18" s="16">
        <f>$D34</f>
        <v>7.8466750000000003</v>
      </c>
      <c r="G18" s="16">
        <f>$D35</f>
        <v>7.8466750000000003</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-43.153325000000002</v>
      </c>
      <c r="D19" s="16">
        <f t="shared" ref="D19:V19" si="1">D18-D17</f>
        <v>-48.153325000000002</v>
      </c>
      <c r="E19" s="16">
        <f t="shared" si="1"/>
        <v>-48.153325000000002</v>
      </c>
      <c r="F19" s="16">
        <f t="shared" si="1"/>
        <v>-48.153325000000002</v>
      </c>
      <c r="G19" s="16">
        <f t="shared" si="1"/>
        <v>-43.153325000000002</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6.4467499999999998</v>
      </c>
      <c r="D22" s="16">
        <f>$E32</f>
        <v>6.4467499999999998</v>
      </c>
      <c r="E22" s="16">
        <f>$E33</f>
        <v>6.4467499999999998</v>
      </c>
      <c r="F22" s="16">
        <f>$E34</f>
        <v>6.4467499999999998</v>
      </c>
      <c r="G22" s="16">
        <f>$E35</f>
        <v>6.4467499999999998</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-65.553250000000006</v>
      </c>
      <c r="D23" s="16">
        <f t="shared" ref="D23:V23" si="3">D22-D21</f>
        <v>-169.55324999999999</v>
      </c>
      <c r="E23" s="16">
        <f t="shared" si="3"/>
        <v>-169.55324999999999</v>
      </c>
      <c r="F23" s="16">
        <f t="shared" si="3"/>
        <v>-169.55324999999999</v>
      </c>
      <c r="G23" s="16">
        <f t="shared" si="3"/>
        <v>-65.553250000000006</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27" t="s">
        <v>54</v>
      </c>
      <c r="F27" s="127" t="s">
        <v>54</v>
      </c>
      <c r="G27" s="127" t="s">
        <v>54</v>
      </c>
      <c r="H27" s="127" t="s">
        <v>54</v>
      </c>
      <c r="I27" s="127" t="s">
        <v>54</v>
      </c>
      <c r="J27" s="127" t="s">
        <v>54</v>
      </c>
      <c r="K27" s="127" t="s">
        <v>54</v>
      </c>
      <c r="L27" s="127" t="s">
        <v>54</v>
      </c>
      <c r="M27" s="127" t="s">
        <v>54</v>
      </c>
      <c r="N27" s="127" t="s">
        <v>54</v>
      </c>
      <c r="O27" s="127" t="s">
        <v>54</v>
      </c>
      <c r="P27" s="127" t="s">
        <v>54</v>
      </c>
      <c r="Q27" s="127" t="s">
        <v>54</v>
      </c>
      <c r="R27" s="127" t="s">
        <v>54</v>
      </c>
      <c r="S27" s="127" t="s">
        <v>54</v>
      </c>
      <c r="T27" s="127" t="s">
        <v>54</v>
      </c>
      <c r="U27" s="127" t="s">
        <v>54</v>
      </c>
    </row>
    <row r="28" spans="1:40" s="57" customFormat="1" x14ac:dyDescent="0.25">
      <c r="A28" s="108"/>
      <c r="B28" s="24">
        <v>0.6</v>
      </c>
      <c r="C28" s="15">
        <v>0.01</v>
      </c>
      <c r="D28" s="15">
        <v>13.7</v>
      </c>
      <c r="E28" s="15">
        <v>21.4</v>
      </c>
      <c r="F28" s="15">
        <v>21</v>
      </c>
      <c r="G28" s="15">
        <v>0.2</v>
      </c>
      <c r="H28" s="15">
        <v>0.5</v>
      </c>
      <c r="I28" s="15">
        <v>0.5</v>
      </c>
      <c r="J28" s="15">
        <v>0.01</v>
      </c>
      <c r="K28" s="23">
        <v>0.05</v>
      </c>
      <c r="L28" s="15">
        <v>0.2</v>
      </c>
      <c r="M28" s="15">
        <v>0.31</v>
      </c>
      <c r="N28" s="15">
        <v>10.1</v>
      </c>
      <c r="O28" s="15">
        <v>20</v>
      </c>
      <c r="P28" s="15">
        <v>288</v>
      </c>
      <c r="Q28" s="15">
        <v>25.9</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7.8466750000000003</v>
      </c>
      <c r="E31" s="77">
        <f>(IF(E$27="%w/w SAR",((E$28*10)*$B31),IF(E$27="%w/w DM",(((E$28*10)*($B$28/100))*$B31),IF(E$27="kg/t SAR",(E$28*$B31),IF(E$27="kg/t DM",((E$28*($B$28/100))*$B31),IF(E$27="mg/kg SAR",((E$28*0.001)*$B31),IF(E$27="mg/kg DM",(((E$28*0.001)*($B$28/100))*$B31),"0")))))))*1.205</f>
        <v>6.4467499999999998</v>
      </c>
      <c r="F31" s="77">
        <f>(IF(F$27="%w/w SAR",((F$28*10)*$B31),IF(F$27="%w/w DM",(((F$28*10)*($B$28/100))*$B31),IF(F$27="kg/t SAR",(F$28*$B31),IF(F$27="kg/t DM",((F$28*($B$28/100))*$B31),IF(F$27="mg/kg SAR",((F$28*0.001)*$B31),IF(F$27="mg/kg DM",(((F$28*0.001)*($B$28/100))*$B31),"0")))))))*1.658</f>
        <v>8.7044999999999995</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7.7499999999999999E-2</v>
      </c>
      <c r="N31" s="77">
        <f t="shared" si="5"/>
        <v>2.5249999999999999</v>
      </c>
      <c r="O31" s="77">
        <f t="shared" si="5"/>
        <v>5</v>
      </c>
      <c r="P31" s="77">
        <f t="shared" si="5"/>
        <v>72.000000000000014</v>
      </c>
      <c r="Q31" s="77">
        <f>(IF(Q$27="%w/w SAR",((Q$28*10)*$B31),IF(Q$27="%w/w DM",(((Q$28*10)*($B$28/100))*$B31),IF(Q$27="kg/t SAR",(Q$28*$B31),IF(Q$27="kg/t DM",((Q$28*($B$28/100))*$B31),IF(Q$27="mg/kg SAR",((Q$28*0.001)*$B31),IF(Q$27="mg/kg DM",(((Q$28*0.001)*($B$28/100))*$B31),0)))))))*2.5</f>
        <v>16.1875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2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7.8466750000000003</v>
      </c>
      <c r="E32" s="77">
        <f t="shared" ref="E32:E50" si="8">(IF(E$27="%w/w SAR",((E$28*10)*$B32),IF(E$27="%w/w DM",(((E$28*10)*($B$28/100))*$B32),IF(E$27="kg/t SAR",(E$28*$B32),IF(E$27="kg/t DM",((E$28*($B$28/100))*$B32),IF(E$27="mg/kg SAR",((E$28*0.001)*$B32),IF(E$27="mg/kg DM",(((E$28*0.001)*($B$28/100))*$B32),"0")))))))*1.205</f>
        <v>6.4467499999999998</v>
      </c>
      <c r="F32" s="77">
        <f t="shared" ref="F32:F50" si="9">(IF(F$27="%w/w SAR",((F$28*10)*$B32),IF(F$27="%w/w DM",(((F$28*10)*($B$28/100))*$B32),IF(F$27="kg/t SAR",(F$28*$B32),IF(F$27="kg/t DM",((F$28*($B$28/100))*$B32),IF(F$27="mg/kg SAR",((F$28*0.001)*$B32),IF(F$27="mg/kg DM",(((F$28*0.001)*($B$28/100))*$B32),"0")))))))*1.658</f>
        <v>8.7044999999999995</v>
      </c>
      <c r="G32" s="77">
        <f t="shared" si="5"/>
        <v>0.05</v>
      </c>
      <c r="H32" s="77">
        <f t="shared" si="5"/>
        <v>0.125</v>
      </c>
      <c r="I32" s="77">
        <f t="shared" si="5"/>
        <v>0.125</v>
      </c>
      <c r="J32" s="77">
        <f t="shared" si="5"/>
        <v>2.5000000000000001E-3</v>
      </c>
      <c r="K32" s="77">
        <f t="shared" si="5"/>
        <v>1.2500000000000001E-2</v>
      </c>
      <c r="L32" s="77">
        <f t="shared" si="5"/>
        <v>0.05</v>
      </c>
      <c r="M32" s="77">
        <f t="shared" si="5"/>
        <v>7.7499999999999999E-2</v>
      </c>
      <c r="N32" s="77">
        <f t="shared" si="5"/>
        <v>2.5249999999999999</v>
      </c>
      <c r="O32" s="77">
        <f t="shared" si="5"/>
        <v>5</v>
      </c>
      <c r="P32" s="77">
        <f t="shared" si="5"/>
        <v>72.000000000000014</v>
      </c>
      <c r="Q32" s="77">
        <f t="shared" ref="Q32:Q50" si="10">(IF(Q$27="%w/w SAR",((Q$28*10)*$B32),IF(Q$27="%w/w DM",(((Q$28*10)*($B$28/100))*$B32),IF(Q$27="kg/t SAR",(Q$28*$B32),IF(Q$27="kg/t DM",((Q$28*($B$28/100))*$B32),IF(Q$27="mg/kg SAR",((Q$28*0.001)*$B32),IF(Q$27="mg/kg DM",(((Q$28*0.001)*($B$28/100))*$B32),0)))))))*2.5</f>
        <v>16.1875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25">
        <v>250</v>
      </c>
      <c r="C33" s="77">
        <f t="shared" si="6"/>
        <v>25</v>
      </c>
      <c r="D33" s="77">
        <f t="shared" si="7"/>
        <v>7.8466750000000003</v>
      </c>
      <c r="E33" s="77">
        <f t="shared" si="8"/>
        <v>6.4467499999999998</v>
      </c>
      <c r="F33" s="77">
        <f t="shared" si="9"/>
        <v>8.7044999999999995</v>
      </c>
      <c r="G33" s="77">
        <f t="shared" si="5"/>
        <v>0.05</v>
      </c>
      <c r="H33" s="77">
        <f t="shared" si="5"/>
        <v>0.125</v>
      </c>
      <c r="I33" s="77">
        <f t="shared" si="5"/>
        <v>0.125</v>
      </c>
      <c r="J33" s="77">
        <f t="shared" si="5"/>
        <v>2.5000000000000001E-3</v>
      </c>
      <c r="K33" s="77">
        <f t="shared" si="5"/>
        <v>1.2500000000000001E-2</v>
      </c>
      <c r="L33" s="77">
        <f t="shared" si="5"/>
        <v>0.05</v>
      </c>
      <c r="M33" s="77">
        <f t="shared" si="5"/>
        <v>7.7499999999999999E-2</v>
      </c>
      <c r="N33" s="77">
        <f t="shared" si="5"/>
        <v>2.5249999999999999</v>
      </c>
      <c r="O33" s="77">
        <f t="shared" si="5"/>
        <v>5</v>
      </c>
      <c r="P33" s="77">
        <f t="shared" si="5"/>
        <v>72.000000000000014</v>
      </c>
      <c r="Q33" s="77">
        <f t="shared" si="10"/>
        <v>16.1875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25">
        <v>250</v>
      </c>
      <c r="C34" s="77">
        <f t="shared" si="6"/>
        <v>25</v>
      </c>
      <c r="D34" s="77">
        <f t="shared" si="7"/>
        <v>7.8466750000000003</v>
      </c>
      <c r="E34" s="77">
        <f t="shared" si="8"/>
        <v>6.4467499999999998</v>
      </c>
      <c r="F34" s="77">
        <f t="shared" si="9"/>
        <v>8.7044999999999995</v>
      </c>
      <c r="G34" s="77">
        <f t="shared" si="5"/>
        <v>0.05</v>
      </c>
      <c r="H34" s="77">
        <f t="shared" si="5"/>
        <v>0.125</v>
      </c>
      <c r="I34" s="77">
        <f t="shared" si="5"/>
        <v>0.125</v>
      </c>
      <c r="J34" s="77">
        <f t="shared" si="5"/>
        <v>2.5000000000000001E-3</v>
      </c>
      <c r="K34" s="77">
        <f t="shared" si="5"/>
        <v>1.2500000000000001E-2</v>
      </c>
      <c r="L34" s="77">
        <f t="shared" si="5"/>
        <v>0.05</v>
      </c>
      <c r="M34" s="77">
        <f t="shared" si="5"/>
        <v>7.7499999999999999E-2</v>
      </c>
      <c r="N34" s="77">
        <f t="shared" si="5"/>
        <v>2.5249999999999999</v>
      </c>
      <c r="O34" s="77">
        <f t="shared" si="5"/>
        <v>5</v>
      </c>
      <c r="P34" s="77">
        <f t="shared" si="5"/>
        <v>72.000000000000014</v>
      </c>
      <c r="Q34" s="77">
        <f t="shared" si="10"/>
        <v>16.1875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25">
        <v>250</v>
      </c>
      <c r="C35" s="77">
        <f t="shared" si="6"/>
        <v>25</v>
      </c>
      <c r="D35" s="77">
        <f t="shared" si="7"/>
        <v>7.8466750000000003</v>
      </c>
      <c r="E35" s="77">
        <f t="shared" si="8"/>
        <v>6.4467499999999998</v>
      </c>
      <c r="F35" s="77">
        <f t="shared" si="9"/>
        <v>8.7044999999999995</v>
      </c>
      <c r="G35" s="77">
        <f t="shared" si="5"/>
        <v>0.05</v>
      </c>
      <c r="H35" s="77">
        <f t="shared" si="5"/>
        <v>0.125</v>
      </c>
      <c r="I35" s="77">
        <f t="shared" si="5"/>
        <v>0.125</v>
      </c>
      <c r="J35" s="77">
        <f t="shared" si="5"/>
        <v>2.5000000000000001E-3</v>
      </c>
      <c r="K35" s="77">
        <f t="shared" si="5"/>
        <v>1.2500000000000001E-2</v>
      </c>
      <c r="L35" s="77">
        <f t="shared" si="5"/>
        <v>0.05</v>
      </c>
      <c r="M35" s="77">
        <f t="shared" si="5"/>
        <v>7.7499999999999999E-2</v>
      </c>
      <c r="N35" s="77">
        <f t="shared" si="5"/>
        <v>2.5249999999999999</v>
      </c>
      <c r="O35" s="77">
        <f t="shared" si="5"/>
        <v>5</v>
      </c>
      <c r="P35" s="77">
        <f t="shared" si="5"/>
        <v>72.000000000000014</v>
      </c>
      <c r="Q35" s="77">
        <f t="shared" si="10"/>
        <v>16.1875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6.7</v>
      </c>
      <c r="C59" s="76">
        <f>VLOOKUP(D$14,Table2458[],5,FALSE)</f>
        <v>6.7</v>
      </c>
      <c r="D59" s="76">
        <f>VLOOKUP(E$14,Table2458[],5,FALSE)</f>
        <v>6.7</v>
      </c>
      <c r="E59" s="76">
        <f>VLOOKUP(F$14,Table2458[],5,FALSE)</f>
        <v>6.7</v>
      </c>
      <c r="F59" s="76">
        <f>VLOOKUP(G$14,Table2458[],5,FALSE)</f>
        <v>6.7</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0" sqref="F3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6.41</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184</v>
      </c>
      <c r="G2" s="155" t="s">
        <v>110</v>
      </c>
      <c r="H2" s="156"/>
      <c r="I2" s="118">
        <v>158</v>
      </c>
      <c r="J2" s="136" t="s">
        <v>158</v>
      </c>
      <c r="K2" s="136"/>
      <c r="L2" s="97">
        <v>0.01</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t="s">
        <v>77</v>
      </c>
      <c r="G3" s="136" t="s">
        <v>159</v>
      </c>
      <c r="H3" s="136"/>
      <c r="I3" s="118">
        <v>200</v>
      </c>
      <c r="J3" s="137" t="s">
        <v>154</v>
      </c>
      <c r="K3" s="138"/>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183</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2.86375</v>
      </c>
      <c r="D18" s="16">
        <f>$D32</f>
        <v>2.86375</v>
      </c>
      <c r="E18" s="16">
        <f>$D33</f>
        <v>2.86375</v>
      </c>
      <c r="F18" s="16">
        <f>$D34</f>
        <v>2.86375</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-48.136249999999997</v>
      </c>
      <c r="D19" s="16">
        <f t="shared" ref="D19:V19" si="1">D18-D17</f>
        <v>-53.136249999999997</v>
      </c>
      <c r="E19" s="16">
        <f t="shared" si="1"/>
        <v>-53.136249999999997</v>
      </c>
      <c r="F19" s="16">
        <f t="shared" si="1"/>
        <v>-53.136249999999997</v>
      </c>
      <c r="G19" s="16">
        <f t="shared" si="1"/>
        <v>-51</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3.0125000000000002</v>
      </c>
      <c r="D22" s="16">
        <f>$E32</f>
        <v>3.0125000000000002</v>
      </c>
      <c r="E22" s="16">
        <f>$E33</f>
        <v>3.0125000000000002</v>
      </c>
      <c r="F22" s="16">
        <f>$E34</f>
        <v>3.0125000000000002</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-68.987499999999997</v>
      </c>
      <c r="D23" s="16">
        <f t="shared" ref="D23:V23" si="3">D22-D21</f>
        <v>-172.98750000000001</v>
      </c>
      <c r="E23" s="16">
        <f t="shared" si="3"/>
        <v>-172.98750000000001</v>
      </c>
      <c r="F23" s="16">
        <f t="shared" si="3"/>
        <v>-172.98750000000001</v>
      </c>
      <c r="G23" s="16">
        <f t="shared" si="3"/>
        <v>-72</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30" t="s">
        <v>56</v>
      </c>
      <c r="D27" s="130" t="s">
        <v>54</v>
      </c>
      <c r="E27" s="130" t="s">
        <v>54</v>
      </c>
      <c r="F27" s="130" t="s">
        <v>54</v>
      </c>
      <c r="G27" s="130" t="s">
        <v>54</v>
      </c>
      <c r="H27" s="130" t="s">
        <v>54</v>
      </c>
      <c r="I27" s="130" t="s">
        <v>54</v>
      </c>
      <c r="J27" s="130" t="s">
        <v>54</v>
      </c>
      <c r="K27" s="130" t="s">
        <v>54</v>
      </c>
      <c r="L27" s="130" t="s">
        <v>54</v>
      </c>
      <c r="M27" s="130" t="s">
        <v>54</v>
      </c>
      <c r="N27" s="130" t="s">
        <v>54</v>
      </c>
      <c r="O27" s="130" t="s">
        <v>54</v>
      </c>
      <c r="P27" s="130" t="s">
        <v>54</v>
      </c>
      <c r="Q27" s="130" t="s">
        <v>54</v>
      </c>
      <c r="R27" s="107"/>
      <c r="S27" s="107"/>
      <c r="T27" s="107"/>
      <c r="U27" s="107"/>
    </row>
    <row r="28" spans="1:40" s="57" customFormat="1" x14ac:dyDescent="0.25">
      <c r="A28" s="108"/>
      <c r="B28" s="24">
        <v>0.41</v>
      </c>
      <c r="C28" s="128">
        <v>0.01</v>
      </c>
      <c r="D28" s="128">
        <v>5</v>
      </c>
      <c r="E28" s="128">
        <v>10</v>
      </c>
      <c r="F28" s="128">
        <v>10</v>
      </c>
      <c r="G28" s="128">
        <v>0.2</v>
      </c>
      <c r="H28" s="128">
        <v>0.5</v>
      </c>
      <c r="I28" s="128">
        <v>0.5</v>
      </c>
      <c r="J28" s="128">
        <v>0.01</v>
      </c>
      <c r="K28" s="129">
        <v>0.05</v>
      </c>
      <c r="L28" s="128">
        <v>0.2</v>
      </c>
      <c r="M28" s="128">
        <v>0.2</v>
      </c>
      <c r="N28" s="128">
        <v>2</v>
      </c>
      <c r="O28" s="128">
        <v>20</v>
      </c>
      <c r="P28" s="128">
        <v>258</v>
      </c>
      <c r="Q28" s="128">
        <v>21.8</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2.86375</v>
      </c>
      <c r="E31" s="77">
        <f>(IF(E$27="%w/w SAR",((E$28*10)*$B31),IF(E$27="%w/w DM",(((E$28*10)*($B$28/100))*$B31),IF(E$27="kg/t SAR",(E$28*$B31),IF(E$27="kg/t DM",((E$28*($B$28/100))*$B31),IF(E$27="mg/kg SAR",((E$28*0.001)*$B31),IF(E$27="mg/kg DM",(((E$28*0.001)*($B$28/100))*$B31),"0")))))))*1.205</f>
        <v>3.0125000000000002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0.5</v>
      </c>
      <c r="O31" s="77">
        <f t="shared" si="5"/>
        <v>5</v>
      </c>
      <c r="P31" s="77">
        <f t="shared" si="5"/>
        <v>64.5</v>
      </c>
      <c r="Q31" s="77">
        <f>(IF(Q$27="%w/w SAR",((Q$28*10)*$B31),IF(Q$27="%w/w DM",(((Q$28*10)*($B$28/100))*$B31),IF(Q$27="kg/t SAR",(Q$28*$B31),IF(Q$27="kg/t DM",((Q$28*($B$28/100))*$B31),IF(Q$27="mg/kg SAR",((Q$28*0.001)*$B31),IF(Q$27="mg/kg DM",(((Q$28*0.001)*($B$28/100))*$B31),0)))))))*2.5</f>
        <v>13.625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2.86375</v>
      </c>
      <c r="E32" s="77">
        <f t="shared" ref="E32:E50" si="8">(IF(E$27="%w/w SAR",((E$28*10)*$B32),IF(E$27="%w/w DM",(((E$28*10)*($B$28/100))*$B32),IF(E$27="kg/t SAR",(E$28*$B32),IF(E$27="kg/t DM",((E$28*($B$28/100))*$B32),IF(E$27="mg/kg SAR",((E$28*0.001)*$B32),IF(E$27="mg/kg DM",(((E$28*0.001)*($B$28/100))*$B32),"0")))))))*1.205</f>
        <v>3.0125000000000002</v>
      </c>
      <c r="F32" s="77">
        <f t="shared" ref="F32:F50" si="9">(IF(F$27="%w/w SAR",((F$28*10)*$B32),IF(F$27="%w/w DM",(((F$28*10)*($B$28/100))*$B32),IF(F$27="kg/t SAR",(F$28*$B32),IF(F$27="kg/t DM",((F$28*($B$28/100))*$B32),IF(F$27="mg/kg SAR",((F$28*0.001)*$B32),IF(F$27="mg/kg DM",(((F$28*0.001)*($B$28/100))*$B32),"0")))))))*1.658</f>
        <v>4.1449999999999996</v>
      </c>
      <c r="G32" s="77">
        <f t="shared" si="5"/>
        <v>0.05</v>
      </c>
      <c r="H32" s="77">
        <f t="shared" si="5"/>
        <v>0.125</v>
      </c>
      <c r="I32" s="77">
        <f t="shared" si="5"/>
        <v>0.125</v>
      </c>
      <c r="J32" s="77">
        <f t="shared" si="5"/>
        <v>2.5000000000000001E-3</v>
      </c>
      <c r="K32" s="77">
        <f t="shared" si="5"/>
        <v>1.2500000000000001E-2</v>
      </c>
      <c r="L32" s="77">
        <f t="shared" si="5"/>
        <v>0.05</v>
      </c>
      <c r="M32" s="77">
        <f t="shared" si="5"/>
        <v>0.05</v>
      </c>
      <c r="N32" s="77">
        <f t="shared" si="5"/>
        <v>0.5</v>
      </c>
      <c r="O32" s="77">
        <f t="shared" si="5"/>
        <v>5</v>
      </c>
      <c r="P32" s="77">
        <f t="shared" si="5"/>
        <v>64.5</v>
      </c>
      <c r="Q32" s="77">
        <f t="shared" ref="Q32:Q50" si="10">(IF(Q$27="%w/w SAR",((Q$28*10)*$B32),IF(Q$27="%w/w DM",(((Q$28*10)*($B$28/100))*$B32),IF(Q$27="kg/t SAR",(Q$28*$B32),IF(Q$27="kg/t DM",((Q$28*($B$28/100))*$B32),IF(Q$27="mg/kg SAR",((Q$28*0.001)*$B32),IF(Q$27="mg/kg DM",(((Q$28*0.001)*($B$28/100))*$B32),0)))))))*2.5</f>
        <v>13.625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5">
        <v>250</v>
      </c>
      <c r="C33" s="77">
        <f t="shared" si="6"/>
        <v>25</v>
      </c>
      <c r="D33" s="77">
        <f t="shared" si="7"/>
        <v>2.86375</v>
      </c>
      <c r="E33" s="77">
        <f t="shared" si="8"/>
        <v>3.0125000000000002</v>
      </c>
      <c r="F33" s="77">
        <f t="shared" si="9"/>
        <v>4.1449999999999996</v>
      </c>
      <c r="G33" s="77">
        <f t="shared" si="5"/>
        <v>0.05</v>
      </c>
      <c r="H33" s="77">
        <f t="shared" si="5"/>
        <v>0.125</v>
      </c>
      <c r="I33" s="77">
        <f t="shared" si="5"/>
        <v>0.125</v>
      </c>
      <c r="J33" s="77">
        <f t="shared" si="5"/>
        <v>2.5000000000000001E-3</v>
      </c>
      <c r="K33" s="77">
        <f t="shared" si="5"/>
        <v>1.2500000000000001E-2</v>
      </c>
      <c r="L33" s="77">
        <f t="shared" si="5"/>
        <v>0.05</v>
      </c>
      <c r="M33" s="77">
        <f t="shared" si="5"/>
        <v>0.05</v>
      </c>
      <c r="N33" s="77">
        <f t="shared" si="5"/>
        <v>0.5</v>
      </c>
      <c r="O33" s="77">
        <f t="shared" si="5"/>
        <v>5</v>
      </c>
      <c r="P33" s="77">
        <f t="shared" si="5"/>
        <v>64.5</v>
      </c>
      <c r="Q33" s="77">
        <f t="shared" si="10"/>
        <v>13.625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5">
        <v>250</v>
      </c>
      <c r="C34" s="77">
        <f t="shared" si="6"/>
        <v>25</v>
      </c>
      <c r="D34" s="77">
        <f t="shared" si="7"/>
        <v>2.86375</v>
      </c>
      <c r="E34" s="77">
        <f t="shared" si="8"/>
        <v>3.0125000000000002</v>
      </c>
      <c r="F34" s="77">
        <f t="shared" si="9"/>
        <v>4.1449999999999996</v>
      </c>
      <c r="G34" s="77">
        <f t="shared" si="5"/>
        <v>0.05</v>
      </c>
      <c r="H34" s="77">
        <f t="shared" si="5"/>
        <v>0.125</v>
      </c>
      <c r="I34" s="77">
        <f t="shared" si="5"/>
        <v>0.125</v>
      </c>
      <c r="J34" s="77">
        <f t="shared" si="5"/>
        <v>2.5000000000000001E-3</v>
      </c>
      <c r="K34" s="77">
        <f t="shared" si="5"/>
        <v>1.2500000000000001E-2</v>
      </c>
      <c r="L34" s="77">
        <f t="shared" si="5"/>
        <v>0.05</v>
      </c>
      <c r="M34" s="77">
        <f t="shared" si="5"/>
        <v>0.05</v>
      </c>
      <c r="N34" s="77">
        <f t="shared" si="5"/>
        <v>0.5</v>
      </c>
      <c r="O34" s="77">
        <f t="shared" si="5"/>
        <v>5</v>
      </c>
      <c r="P34" s="77">
        <f t="shared" si="5"/>
        <v>64.5</v>
      </c>
      <c r="Q34" s="77">
        <f t="shared" si="10"/>
        <v>13.625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6.7</v>
      </c>
      <c r="C59" s="76">
        <f>VLOOKUP(D$14,Table24581113[],5,FALSE)</f>
        <v>6.7</v>
      </c>
      <c r="D59" s="76">
        <f>VLOOKUP(E$14,Table24581113[],5,FALSE)</f>
        <v>6.7</v>
      </c>
      <c r="E59" s="76">
        <f>VLOOKUP(F$14,Table24581113[],5,FALSE)</f>
        <v>6.7</v>
      </c>
      <c r="F59" s="76">
        <f>VLOOKUP(G$14,Table24581113[],5,FALSE)</f>
        <v>6.7</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J17" sqref="J17"/>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3.15</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175</v>
      </c>
      <c r="G2" s="155" t="s">
        <v>110</v>
      </c>
      <c r="H2" s="156"/>
      <c r="I2" s="118">
        <v>493</v>
      </c>
      <c r="J2" s="136" t="s">
        <v>158</v>
      </c>
      <c r="K2" s="136"/>
      <c r="L2" s="97">
        <v>0.1</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t="s">
        <v>78</v>
      </c>
      <c r="G3" s="136" t="s">
        <v>159</v>
      </c>
      <c r="H3" s="136"/>
      <c r="I3" s="118">
        <v>13080</v>
      </c>
      <c r="J3" s="137" t="s">
        <v>154</v>
      </c>
      <c r="K3" s="138"/>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185</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48.042270000000002</v>
      </c>
      <c r="D18" s="16">
        <f>$D32</f>
        <v>53.380299999999998</v>
      </c>
      <c r="E18" s="16">
        <f>$D33</f>
        <v>53.380299999999998</v>
      </c>
      <c r="F18" s="16">
        <f>$D34</f>
        <v>53.380299999999998</v>
      </c>
      <c r="G18" s="16">
        <f>$D35</f>
        <v>48.042270000000002</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-2.957729999999998</v>
      </c>
      <c r="D19" s="16">
        <f t="shared" ref="D19:V19" si="1">D18-D17</f>
        <v>-2.6197000000000017</v>
      </c>
      <c r="E19" s="16">
        <f t="shared" si="1"/>
        <v>-2.6197000000000017</v>
      </c>
      <c r="F19" s="16">
        <f t="shared" si="1"/>
        <v>-2.6197000000000017</v>
      </c>
      <c r="G19" s="16">
        <f t="shared" si="1"/>
        <v>-2.957729999999998</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13.962937500000001</v>
      </c>
      <c r="D22" s="16">
        <f>$E32</f>
        <v>15.514375000000003</v>
      </c>
      <c r="E22" s="16">
        <f>$E33</f>
        <v>15.514375000000003</v>
      </c>
      <c r="F22" s="16">
        <f>$E34</f>
        <v>15.514375000000003</v>
      </c>
      <c r="G22" s="16">
        <f>$E35</f>
        <v>13.962937500000001</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-58.037062499999998</v>
      </c>
      <c r="D23" s="16">
        <f t="shared" ref="D23:V23" si="3">D22-D21</f>
        <v>-160.485625</v>
      </c>
      <c r="E23" s="16">
        <f t="shared" si="3"/>
        <v>-160.485625</v>
      </c>
      <c r="F23" s="16">
        <f t="shared" si="3"/>
        <v>-160.485625</v>
      </c>
      <c r="G23" s="16">
        <f t="shared" si="3"/>
        <v>-58.037062499999998</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30" t="s">
        <v>54</v>
      </c>
      <c r="F27" s="130" t="s">
        <v>54</v>
      </c>
      <c r="G27" s="130" t="s">
        <v>54</v>
      </c>
      <c r="H27" s="130" t="s">
        <v>54</v>
      </c>
      <c r="I27" s="130" t="s">
        <v>54</v>
      </c>
      <c r="J27" s="130" t="s">
        <v>54</v>
      </c>
      <c r="K27" s="130" t="s">
        <v>54</v>
      </c>
      <c r="L27" s="130" t="s">
        <v>54</v>
      </c>
      <c r="M27" s="130" t="s">
        <v>54</v>
      </c>
      <c r="N27" s="130" t="s">
        <v>54</v>
      </c>
      <c r="O27" s="130" t="s">
        <v>54</v>
      </c>
      <c r="P27" s="130" t="s">
        <v>54</v>
      </c>
      <c r="Q27" s="130" t="s">
        <v>54</v>
      </c>
      <c r="R27" s="130" t="s">
        <v>54</v>
      </c>
      <c r="S27" s="130" t="s">
        <v>54</v>
      </c>
      <c r="T27" s="130" t="s">
        <v>54</v>
      </c>
      <c r="U27" s="130" t="s">
        <v>54</v>
      </c>
    </row>
    <row r="28" spans="1:40" s="57" customFormat="1" x14ac:dyDescent="0.25">
      <c r="A28" s="108"/>
      <c r="B28" s="24">
        <v>24.9</v>
      </c>
      <c r="C28" s="15">
        <v>0.1</v>
      </c>
      <c r="D28" s="15">
        <v>93.2</v>
      </c>
      <c r="E28" s="131">
        <v>51.5</v>
      </c>
      <c r="F28" s="131">
        <v>24.1</v>
      </c>
      <c r="G28" s="131">
        <v>5.05</v>
      </c>
      <c r="H28" s="131">
        <v>3.57</v>
      </c>
      <c r="I28" s="131">
        <v>0.5</v>
      </c>
      <c r="J28" s="131">
        <v>0.01</v>
      </c>
      <c r="K28" s="132">
        <v>0.05</v>
      </c>
      <c r="L28" s="131">
        <v>0.75</v>
      </c>
      <c r="M28" s="131">
        <v>1.28</v>
      </c>
      <c r="N28" s="131">
        <v>14.7</v>
      </c>
      <c r="O28" s="131">
        <v>109</v>
      </c>
      <c r="P28" s="131">
        <v>46.7</v>
      </c>
      <c r="Q28" s="131">
        <v>85.9</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225</v>
      </c>
      <c r="C31" s="77">
        <f>IF(C$27="%w/w SAR",((C$28*10)*$B31),IF(C$27="%w/w DM",(((C$28*10)*($B$28/100))*$B31),IF(C$27="kg/t SAR",(C$28*$B31),IF(C$27="kg/t DM",((C$28*($B$28/100))*$B31),IF(C$27="mg/kg SAR",((C$28*0.001)*$B31),IF(C$27="mg/kg DM",(((C$28*0.001)*($B$28/100))*$B31),0))))))</f>
        <v>225</v>
      </c>
      <c r="D31" s="77">
        <f>(IF(D$27="%w/w SAR",((D$28*10)*$B31),IF(D$27="%w/w DM",(((D$28*10)*($B$28/100))*$B31),IF(D$27="kg/t SAR",(D$28*$B31),IF(D$27="kg/t DM",((D$28*($B$28/100))*$B31),IF(D$27="mg/kg SAR",((D$28*0.001)*$B31),IF(D$27="mg/kg DM",(((D$28*0.001)*($B$28/100))*$B31),"0")))))))*2.291</f>
        <v>48.042270000000002</v>
      </c>
      <c r="E31" s="77">
        <f>(IF(E$27="%w/w SAR",((E$28*10)*$B31),IF(E$27="%w/w DM",(((E$28*10)*($B$28/100))*$B31),IF(E$27="kg/t SAR",(E$28*$B31),IF(E$27="kg/t DM",((E$28*($B$28/100))*$B31),IF(E$27="mg/kg SAR",((E$28*0.001)*$B31),IF(E$27="mg/kg DM",(((E$28*0.001)*($B$28/100))*$B31),"0")))))))*1.205</f>
        <v>13.962937500000001</v>
      </c>
      <c r="F31" s="77">
        <f>(IF(F$27="%w/w SAR",((F$28*10)*$B31),IF(F$27="%w/w DM",(((F$28*10)*($B$28/100))*$B31),IF(F$27="kg/t SAR",(F$28*$B31),IF(F$27="kg/t DM",((F$28*($B$28/100))*$B31),IF(F$27="mg/kg SAR",((F$28*0.001)*$B31),IF(F$27="mg/kg DM",(((F$28*0.001)*($B$28/100))*$B31),"0")))))))*1.658</f>
        <v>8.9905050000000006</v>
      </c>
      <c r="G31" s="77">
        <f t="shared" ref="G31:P46" si="5">IF(G$27="%w/w SAR",((G$28*10)*$B31),IF(G$27="%w/w DM",(((G$28*10)*($B$28/100))*$B31),IF(G$27="kg/t SAR",(G$28*$B31),IF(G$27="kg/t DM",((G$28*($B$28/100))*$B31),IF(G$27="mg/kg SAR",((G$28*0.001)*$B31),IF(G$27="mg/kg DM",(((G$28*0.001)*($B$28/100))*$B31),0))))))</f>
        <v>1.13625</v>
      </c>
      <c r="H31" s="77">
        <f t="shared" si="5"/>
        <v>0.80324999999999991</v>
      </c>
      <c r="I31" s="77">
        <f t="shared" si="5"/>
        <v>0.1125</v>
      </c>
      <c r="J31" s="77">
        <f t="shared" si="5"/>
        <v>2.2500000000000003E-3</v>
      </c>
      <c r="K31" s="77">
        <f t="shared" si="5"/>
        <v>1.1250000000000001E-2</v>
      </c>
      <c r="L31" s="77">
        <f t="shared" si="5"/>
        <v>0.16875000000000001</v>
      </c>
      <c r="M31" s="77">
        <f t="shared" si="5"/>
        <v>0.28800000000000003</v>
      </c>
      <c r="N31" s="77">
        <f t="shared" si="5"/>
        <v>3.3075000000000001</v>
      </c>
      <c r="O31" s="77">
        <f t="shared" si="5"/>
        <v>24.524999999999999</v>
      </c>
      <c r="P31" s="77">
        <f t="shared" si="5"/>
        <v>10.507500000000002</v>
      </c>
      <c r="Q31" s="77">
        <f>(IF(Q$27="%w/w SAR",((Q$28*10)*$B31),IF(Q$27="%w/w DM",(((Q$28*10)*($B$28/100))*$B31),IF(Q$27="kg/t SAR",(Q$28*$B31),IF(Q$27="kg/t DM",((Q$28*($B$28/100))*$B31),IF(Q$27="mg/kg SAR",((Q$28*0.001)*$B31),IF(Q$27="mg/kg DM",(((Q$28*0.001)*($B$28/100))*$B31),0)))))))*2.5</f>
        <v>48.318750000000001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5">
        <v>250</v>
      </c>
      <c r="C32" s="77">
        <f t="shared" ref="C32:C50" si="6">IF(C$27="%w/w SAR",((C$28*10)*$B32),IF(C$27="%w/w DM",(((C$28*10)*($B$28/100))*$B32),IF(C$27="kg/t SAR",(C$28*$B32),IF(C$27="kg/t DM",((C$28*($B$28/100))*$B32),IF(C$27="mg/kg SAR",((C$28*0.001)*$B32),IF(C$27="mg/kg DM",(((C$28*0.001)*($B$28/100))*$B32),0))))))</f>
        <v>250</v>
      </c>
      <c r="D32" s="77">
        <f t="shared" ref="D32:D50" si="7">(IF(D$27="%w/w SAR",((D$28*10)*$B32),IF(D$27="%w/w DM",(((D$28*10)*($B$28/100))*$B32),IF(D$27="kg/t SAR",(D$28*$B32),IF(D$27="kg/t DM",((D$28*($B$28/100))*$B32),IF(D$27="mg/kg SAR",((D$28*0.001)*$B32),IF(D$27="mg/kg DM",(((D$28*0.001)*($B$28/100))*$B32),"0")))))))*2.291</f>
        <v>53.380299999999998</v>
      </c>
      <c r="E32" s="77">
        <f t="shared" ref="E32:E50" si="8">(IF(E$27="%w/w SAR",((E$28*10)*$B32),IF(E$27="%w/w DM",(((E$28*10)*($B$28/100))*$B32),IF(E$27="kg/t SAR",(E$28*$B32),IF(E$27="kg/t DM",((E$28*($B$28/100))*$B32),IF(E$27="mg/kg SAR",((E$28*0.001)*$B32),IF(E$27="mg/kg DM",(((E$28*0.001)*($B$28/100))*$B32),"0")))))))*1.205</f>
        <v>15.514375000000003</v>
      </c>
      <c r="F32" s="77">
        <f t="shared" ref="F32:F50" si="9">(IF(F$27="%w/w SAR",((F$28*10)*$B32),IF(F$27="%w/w DM",(((F$28*10)*($B$28/100))*$B32),IF(F$27="kg/t SAR",(F$28*$B32),IF(F$27="kg/t DM",((F$28*($B$28/100))*$B32),IF(F$27="mg/kg SAR",((F$28*0.001)*$B32),IF(F$27="mg/kg DM",(((F$28*0.001)*($B$28/100))*$B32),"0")))))))*1.658</f>
        <v>9.9894500000000015</v>
      </c>
      <c r="G32" s="77">
        <f t="shared" si="5"/>
        <v>1.2625</v>
      </c>
      <c r="H32" s="77">
        <f t="shared" si="5"/>
        <v>0.89249999999999996</v>
      </c>
      <c r="I32" s="77">
        <f t="shared" si="5"/>
        <v>0.125</v>
      </c>
      <c r="J32" s="77">
        <f t="shared" si="5"/>
        <v>2.5000000000000001E-3</v>
      </c>
      <c r="K32" s="77">
        <f t="shared" si="5"/>
        <v>1.2500000000000001E-2</v>
      </c>
      <c r="L32" s="77">
        <f t="shared" si="5"/>
        <v>0.1875</v>
      </c>
      <c r="M32" s="77">
        <f t="shared" si="5"/>
        <v>0.32</v>
      </c>
      <c r="N32" s="77">
        <f t="shared" si="5"/>
        <v>3.6749999999999998</v>
      </c>
      <c r="O32" s="77">
        <f t="shared" si="5"/>
        <v>27.25</v>
      </c>
      <c r="P32" s="77">
        <f t="shared" si="5"/>
        <v>11.675000000000001</v>
      </c>
      <c r="Q32" s="77">
        <f t="shared" ref="Q32:Q50" si="10">(IF(Q$27="%w/w SAR",((Q$28*10)*$B32),IF(Q$27="%w/w DM",(((Q$28*10)*($B$28/100))*$B32),IF(Q$27="kg/t SAR",(Q$28*$B32),IF(Q$27="kg/t DM",((Q$28*($B$28/100))*$B32),IF(Q$27="mg/kg SAR",((Q$28*0.001)*$B32),IF(Q$27="mg/kg DM",(((Q$28*0.001)*($B$28/100))*$B32),0)))))))*2.5</f>
        <v>53.6875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5">
        <v>250</v>
      </c>
      <c r="C33" s="77">
        <f t="shared" si="6"/>
        <v>250</v>
      </c>
      <c r="D33" s="77">
        <f t="shared" si="7"/>
        <v>53.380299999999998</v>
      </c>
      <c r="E33" s="77">
        <f t="shared" si="8"/>
        <v>15.514375000000003</v>
      </c>
      <c r="F33" s="77">
        <f t="shared" si="9"/>
        <v>9.9894500000000015</v>
      </c>
      <c r="G33" s="77">
        <f t="shared" si="5"/>
        <v>1.2625</v>
      </c>
      <c r="H33" s="77">
        <f t="shared" si="5"/>
        <v>0.89249999999999996</v>
      </c>
      <c r="I33" s="77">
        <f t="shared" si="5"/>
        <v>0.125</v>
      </c>
      <c r="J33" s="77">
        <f t="shared" si="5"/>
        <v>2.5000000000000001E-3</v>
      </c>
      <c r="K33" s="77">
        <f t="shared" si="5"/>
        <v>1.2500000000000001E-2</v>
      </c>
      <c r="L33" s="77">
        <f t="shared" si="5"/>
        <v>0.1875</v>
      </c>
      <c r="M33" s="77">
        <f t="shared" si="5"/>
        <v>0.32</v>
      </c>
      <c r="N33" s="77">
        <f t="shared" si="5"/>
        <v>3.6749999999999998</v>
      </c>
      <c r="O33" s="77">
        <f t="shared" si="5"/>
        <v>27.25</v>
      </c>
      <c r="P33" s="77">
        <f t="shared" si="5"/>
        <v>11.675000000000001</v>
      </c>
      <c r="Q33" s="77">
        <f t="shared" si="10"/>
        <v>53.6875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5">
        <v>250</v>
      </c>
      <c r="C34" s="77">
        <f t="shared" si="6"/>
        <v>250</v>
      </c>
      <c r="D34" s="77">
        <f t="shared" si="7"/>
        <v>53.380299999999998</v>
      </c>
      <c r="E34" s="77">
        <f t="shared" si="8"/>
        <v>15.514375000000003</v>
      </c>
      <c r="F34" s="77">
        <f t="shared" si="9"/>
        <v>9.9894500000000015</v>
      </c>
      <c r="G34" s="77">
        <f t="shared" si="5"/>
        <v>1.2625</v>
      </c>
      <c r="H34" s="77">
        <f t="shared" si="5"/>
        <v>0.89249999999999996</v>
      </c>
      <c r="I34" s="77">
        <f t="shared" si="5"/>
        <v>0.125</v>
      </c>
      <c r="J34" s="77">
        <f t="shared" si="5"/>
        <v>2.5000000000000001E-3</v>
      </c>
      <c r="K34" s="77">
        <f t="shared" si="5"/>
        <v>1.2500000000000001E-2</v>
      </c>
      <c r="L34" s="77">
        <f t="shared" si="5"/>
        <v>0.1875</v>
      </c>
      <c r="M34" s="77">
        <f t="shared" si="5"/>
        <v>0.32</v>
      </c>
      <c r="N34" s="77">
        <f t="shared" si="5"/>
        <v>3.6749999999999998</v>
      </c>
      <c r="O34" s="77">
        <f t="shared" si="5"/>
        <v>27.25</v>
      </c>
      <c r="P34" s="77">
        <f t="shared" si="5"/>
        <v>11.675000000000001</v>
      </c>
      <c r="Q34" s="77">
        <f t="shared" si="10"/>
        <v>53.6875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5">
        <v>225</v>
      </c>
      <c r="C35" s="77">
        <f t="shared" si="6"/>
        <v>225</v>
      </c>
      <c r="D35" s="77">
        <f t="shared" si="7"/>
        <v>48.042270000000002</v>
      </c>
      <c r="E35" s="77">
        <f t="shared" si="8"/>
        <v>13.962937500000001</v>
      </c>
      <c r="F35" s="77">
        <f t="shared" si="9"/>
        <v>8.9905050000000006</v>
      </c>
      <c r="G35" s="77">
        <f t="shared" si="5"/>
        <v>1.13625</v>
      </c>
      <c r="H35" s="77">
        <f t="shared" si="5"/>
        <v>0.80324999999999991</v>
      </c>
      <c r="I35" s="77">
        <f t="shared" si="5"/>
        <v>0.1125</v>
      </c>
      <c r="J35" s="77">
        <f t="shared" si="5"/>
        <v>2.2500000000000003E-3</v>
      </c>
      <c r="K35" s="77">
        <f t="shared" si="5"/>
        <v>1.1250000000000001E-2</v>
      </c>
      <c r="L35" s="77">
        <f t="shared" si="5"/>
        <v>0.16875000000000001</v>
      </c>
      <c r="M35" s="77">
        <f t="shared" si="5"/>
        <v>0.28800000000000003</v>
      </c>
      <c r="N35" s="77">
        <f t="shared" si="5"/>
        <v>3.3075000000000001</v>
      </c>
      <c r="O35" s="77">
        <f t="shared" si="5"/>
        <v>24.524999999999999</v>
      </c>
      <c r="P35" s="77">
        <f t="shared" si="5"/>
        <v>10.507500000000002</v>
      </c>
      <c r="Q35" s="77">
        <f t="shared" si="10"/>
        <v>48.318750000000001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6.7</v>
      </c>
      <c r="C59" s="76">
        <f>VLOOKUP(D$14,Table24567[],5,FALSE)</f>
        <v>6.7</v>
      </c>
      <c r="D59" s="76">
        <f>VLOOKUP(E$14,Table24567[],5,FALSE)</f>
        <v>6.7</v>
      </c>
      <c r="E59" s="76">
        <f>VLOOKUP(F$14,Table24567[],5,FALSE)</f>
        <v>6.7</v>
      </c>
      <c r="F59" s="76">
        <f>VLOOKUP(G$14,Table24567[],5,FALSE)</f>
        <v>6.7</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225</v>
      </c>
      <c r="C62" s="77">
        <f>B32</f>
        <v>250</v>
      </c>
      <c r="D62" s="77">
        <f>B33</f>
        <v>250</v>
      </c>
      <c r="E62" s="77">
        <f>B34</f>
        <v>250</v>
      </c>
      <c r="F62" s="77">
        <f>B35</f>
        <v>225</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M3" sqref="M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36" t="s">
        <v>41</v>
      </c>
      <c r="B1" s="136"/>
      <c r="C1" s="157" t="str">
        <f>'Field data and Waste 1'!C1:D1</f>
        <v>PAN-021055</v>
      </c>
      <c r="D1" s="158"/>
      <c r="E1" s="93" t="s">
        <v>45</v>
      </c>
      <c r="F1" s="39">
        <f>'Field data and Waste 1'!F1</f>
        <v>50</v>
      </c>
      <c r="G1" s="137" t="s">
        <v>43</v>
      </c>
      <c r="H1" s="138"/>
      <c r="I1" s="118">
        <v>4.13</v>
      </c>
      <c r="J1" s="136" t="s">
        <v>153</v>
      </c>
      <c r="K1" s="136"/>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36" t="s">
        <v>87</v>
      </c>
      <c r="B2" s="136"/>
      <c r="C2" s="159" t="str">
        <f>'Field data and Waste 1'!C2:D2</f>
        <v>EPR-JP3094EF</v>
      </c>
      <c r="D2" s="160"/>
      <c r="E2" s="93" t="s">
        <v>109</v>
      </c>
      <c r="F2" s="96" t="s">
        <v>186</v>
      </c>
      <c r="G2" s="155" t="s">
        <v>110</v>
      </c>
      <c r="H2" s="156"/>
      <c r="I2" s="118">
        <v>107</v>
      </c>
      <c r="J2" s="136" t="s">
        <v>158</v>
      </c>
      <c r="K2" s="136"/>
      <c r="L2" s="97">
        <v>0.01</v>
      </c>
      <c r="AB2" s="30" t="s">
        <v>56</v>
      </c>
      <c r="AC2" s="17"/>
      <c r="AD2" s="30" t="s">
        <v>70</v>
      </c>
      <c r="AE2" s="17"/>
      <c r="AF2" s="17"/>
      <c r="AG2" s="44" t="s">
        <v>76</v>
      </c>
      <c r="AH2" s="18"/>
      <c r="AI2" s="45" t="s">
        <v>126</v>
      </c>
      <c r="AJ2" s="46">
        <v>0</v>
      </c>
      <c r="AK2" s="47">
        <v>0</v>
      </c>
      <c r="AL2" s="10">
        <v>0</v>
      </c>
      <c r="AM2" s="11">
        <v>0</v>
      </c>
      <c r="AN2" s="11">
        <v>0</v>
      </c>
    </row>
    <row r="3" spans="1:41" x14ac:dyDescent="0.2">
      <c r="A3" s="137" t="s">
        <v>42</v>
      </c>
      <c r="B3" s="138"/>
      <c r="C3" s="159" t="str">
        <f>'Field data and Waste 1'!C3:D3</f>
        <v>John Willis</v>
      </c>
      <c r="D3" s="160"/>
      <c r="E3" s="93" t="s">
        <v>108</v>
      </c>
      <c r="F3" s="31" t="s">
        <v>77</v>
      </c>
      <c r="G3" s="136" t="s">
        <v>159</v>
      </c>
      <c r="H3" s="136"/>
      <c r="I3" s="118">
        <v>200</v>
      </c>
      <c r="J3" s="137" t="s">
        <v>154</v>
      </c>
      <c r="K3" s="138"/>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
      <c r="A4" s="136" t="s">
        <v>0</v>
      </c>
      <c r="B4" s="136"/>
      <c r="C4" s="157" t="str">
        <f>'Field data and Waste 1'!C4:D4</f>
        <v>Wood Farm [Block I], Deesside Lane, CH1 6BX</v>
      </c>
      <c r="D4" s="158"/>
      <c r="E4" s="94" t="s">
        <v>1</v>
      </c>
      <c r="F4" s="96" t="s">
        <v>187</v>
      </c>
      <c r="G4" s="137"/>
      <c r="H4" s="138"/>
      <c r="I4" s="39"/>
      <c r="J4" s="137"/>
      <c r="K4" s="138"/>
      <c r="L4" s="96"/>
      <c r="AB4" s="30" t="s">
        <v>52</v>
      </c>
      <c r="AC4" s="17"/>
      <c r="AD4" s="52" t="s">
        <v>72</v>
      </c>
      <c r="AE4" s="17"/>
      <c r="AF4" s="17"/>
      <c r="AG4" s="44" t="s">
        <v>78</v>
      </c>
      <c r="AH4" s="18"/>
      <c r="AI4" s="53" t="s">
        <v>124</v>
      </c>
      <c r="AJ4" s="54">
        <v>7</v>
      </c>
      <c r="AK4" s="55">
        <v>10.5</v>
      </c>
      <c r="AL4" s="11">
        <v>2</v>
      </c>
      <c r="AM4" s="11">
        <v>6.7</v>
      </c>
      <c r="AN4" s="11" t="s">
        <v>135</v>
      </c>
    </row>
    <row r="5" spans="1:41" x14ac:dyDescent="0.2">
      <c r="A5" s="136" t="s">
        <v>47</v>
      </c>
      <c r="B5" s="136"/>
      <c r="C5" s="157" t="str">
        <f>'Field data and Waste 1'!C5:D5</f>
        <v>Ethan Banfield</v>
      </c>
      <c r="D5" s="158"/>
      <c r="E5" s="93"/>
      <c r="F5" s="39"/>
      <c r="G5" s="137"/>
      <c r="H5" s="138"/>
      <c r="I5" s="39"/>
      <c r="J5" s="137"/>
      <c r="K5" s="138"/>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42" t="s">
        <v>63</v>
      </c>
      <c r="B7" s="14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36" t="s">
        <v>2</v>
      </c>
      <c r="B8" s="136"/>
      <c r="C8" s="60" t="str">
        <f>'Field data and Waste 1'!C8</f>
        <v>Bank 1</v>
      </c>
      <c r="D8" s="60" t="str">
        <f>'Field data and Waste 1'!D8</f>
        <v>Bank 2</v>
      </c>
      <c r="E8" s="60" t="str">
        <f>'Field data and Waste 1'!E8</f>
        <v>Bank 3</v>
      </c>
      <c r="F8" s="60" t="str">
        <f>'Field data and Waste 1'!F8</f>
        <v>Bank 4</v>
      </c>
      <c r="G8" s="60" t="str">
        <f>'Field data and Waste 1'!G8</f>
        <v>WF 32</v>
      </c>
      <c r="H8" s="60">
        <f>'Field data and Waste 1'!H8</f>
        <v>0</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36" t="s">
        <v>3</v>
      </c>
      <c r="B9" s="136"/>
      <c r="C9" s="60">
        <f>'Field data and Waste 1'!C9</f>
        <v>1</v>
      </c>
      <c r="D9" s="60">
        <f>'Field data and Waste 1'!D9</f>
        <v>1</v>
      </c>
      <c r="E9" s="60">
        <f>'Field data and Waste 1'!E9</f>
        <v>1</v>
      </c>
      <c r="F9" s="60">
        <f>'Field data and Waste 1'!F9</f>
        <v>1</v>
      </c>
      <c r="G9" s="60">
        <f>'Field data and Waste 1'!G9</f>
        <v>1</v>
      </c>
      <c r="H9" s="60">
        <f>'Field data and Waste 1'!H9</f>
        <v>0</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36" t="s">
        <v>4</v>
      </c>
      <c r="B10" s="136"/>
      <c r="C10" s="60">
        <f>'Field data and Waste 1'!C10</f>
        <v>7.2</v>
      </c>
      <c r="D10" s="60">
        <f>'Field data and Waste 1'!D10</f>
        <v>7.2</v>
      </c>
      <c r="E10" s="60">
        <f>'Field data and Waste 1'!E10</f>
        <v>7.2</v>
      </c>
      <c r="F10" s="60">
        <f>'Field data and Waste 1'!F10</f>
        <v>7.2</v>
      </c>
      <c r="G10" s="60">
        <f>'Field data and Waste 1'!G10</f>
        <v>7.2</v>
      </c>
      <c r="H10" s="60">
        <f>'Field data and Waste 1'!H10</f>
        <v>0</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36" t="s">
        <v>5</v>
      </c>
      <c r="B11" s="136"/>
      <c r="C11" s="60">
        <f>'Field data and Waste 1'!C11</f>
        <v>1</v>
      </c>
      <c r="D11" s="60">
        <f>'Field data and Waste 1'!D11</f>
        <v>1</v>
      </c>
      <c r="E11" s="60">
        <f>'Field data and Waste 1'!E11</f>
        <v>1</v>
      </c>
      <c r="F11" s="60">
        <f>'Field data and Waste 1'!F11</f>
        <v>1</v>
      </c>
      <c r="G11" s="60">
        <f>'Field data and Waste 1'!G11</f>
        <v>1</v>
      </c>
      <c r="H11" s="60">
        <f>'Field data and Waste 1'!H11</f>
        <v>0</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36" t="s">
        <v>6</v>
      </c>
      <c r="B12" s="136"/>
      <c r="C12" s="60">
        <f>'Field data and Waste 1'!C12</f>
        <v>1</v>
      </c>
      <c r="D12" s="60">
        <f>'Field data and Waste 1'!D12</f>
        <v>2</v>
      </c>
      <c r="E12" s="60">
        <f>'Field data and Waste 1'!E12</f>
        <v>2</v>
      </c>
      <c r="F12" s="60">
        <f>'Field data and Waste 1'!F12</f>
        <v>2</v>
      </c>
      <c r="G12" s="60">
        <f>'Field data and Waste 1'!G12</f>
        <v>2</v>
      </c>
      <c r="H12" s="60">
        <f>'Field data and Waste 1'!H12</f>
        <v>0</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36" t="s">
        <v>7</v>
      </c>
      <c r="B13" s="136"/>
      <c r="C13" s="60">
        <f>'Field data and Waste 1'!C13</f>
        <v>3</v>
      </c>
      <c r="D13" s="60">
        <f>'Field data and Waste 1'!D13</f>
        <v>3</v>
      </c>
      <c r="E13" s="60">
        <f>'Field data and Waste 1'!E13</f>
        <v>3</v>
      </c>
      <c r="F13" s="60">
        <f>'Field data and Waste 1'!F13</f>
        <v>3</v>
      </c>
      <c r="G13" s="60">
        <f>'Field data and Waste 1'!G13</f>
        <v>3</v>
      </c>
      <c r="H13" s="60">
        <f>'Field data and Waste 1'!H13</f>
        <v>0</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48" t="s">
        <v>8</v>
      </c>
      <c r="B14" s="148"/>
      <c r="C14" s="102" t="str">
        <f>'Field data and Waste 1'!C14</f>
        <v>Spring wheat/barley</v>
      </c>
      <c r="D14" s="102" t="str">
        <f>'Field data and Waste 1'!D14</f>
        <v>Maize- Silage (30% DM)</v>
      </c>
      <c r="E14" s="102" t="str">
        <f>'Field data and Waste 1'!E14</f>
        <v>Maize- Silage (30% DM)</v>
      </c>
      <c r="F14" s="102" t="str">
        <f>'Field data and Waste 1'!F14</f>
        <v>Maize- Silage (30% DM)</v>
      </c>
      <c r="G14" s="102" t="str">
        <f>'Field data and Waste 1'!G14</f>
        <v>Spring wheat/barley</v>
      </c>
      <c r="H14" s="102">
        <f>'Field data and Waste 1'!H14</f>
        <v>0</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47" t="s">
        <v>9</v>
      </c>
      <c r="B15" s="147"/>
      <c r="C15" s="60">
        <f>'Field data and Waste 1'!C15</f>
        <v>6</v>
      </c>
      <c r="D15" s="60">
        <f>'Field data and Waste 1'!D15</f>
        <v>40</v>
      </c>
      <c r="E15" s="60">
        <f>'Field data and Waste 1'!E15</f>
        <v>40</v>
      </c>
      <c r="F15" s="60">
        <f>'Field data and Waste 1'!F15</f>
        <v>40</v>
      </c>
      <c r="G15" s="60">
        <f>'Field data and Waste 1'!G15</f>
        <v>6</v>
      </c>
      <c r="H15" s="60">
        <f>'Field data and Waste 1'!H15</f>
        <v>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49" t="s">
        <v>44</v>
      </c>
      <c r="B16" s="149"/>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f>'Field data and Waste 1'!H16</f>
        <v>0</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9" t="s">
        <v>69</v>
      </c>
      <c r="B17" s="140"/>
      <c r="C17" s="28">
        <f>(VLOOKUP(C$14,$AI2:$AK26,2,FALSE))*C$15</f>
        <v>51</v>
      </c>
      <c r="D17" s="28">
        <f t="shared" ref="D17:V17" si="0">(VLOOKUP(D$14,$AI2:$AK26,2,FALSE))*D$15</f>
        <v>56</v>
      </c>
      <c r="E17" s="28">
        <f t="shared" si="0"/>
        <v>56</v>
      </c>
      <c r="F17" s="28">
        <f t="shared" si="0"/>
        <v>56</v>
      </c>
      <c r="G17" s="28">
        <f t="shared" si="0"/>
        <v>51</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41" t="s">
        <v>23</v>
      </c>
      <c r="B18" s="142"/>
      <c r="C18" s="16">
        <f>$D31</f>
        <v>14.719674999999999</v>
      </c>
      <c r="D18" s="16">
        <f>$D32</f>
        <v>14.719674999999999</v>
      </c>
      <c r="E18" s="16">
        <f>$D33</f>
        <v>14.719674999999999</v>
      </c>
      <c r="F18" s="16">
        <f>$D34</f>
        <v>14.719674999999999</v>
      </c>
      <c r="G18" s="16">
        <f>$D35</f>
        <v>14.719674999999999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41" t="s">
        <v>90</v>
      </c>
      <c r="B19" s="142"/>
      <c r="C19" s="16">
        <f>C18-C17</f>
        <v>-36.280325000000005</v>
      </c>
      <c r="D19" s="16">
        <f t="shared" ref="D19:V19" si="1">D18-D17</f>
        <v>-41.280325000000005</v>
      </c>
      <c r="E19" s="16">
        <f t="shared" si="1"/>
        <v>-41.280325000000005</v>
      </c>
      <c r="F19" s="16">
        <f t="shared" si="1"/>
        <v>-41.280325000000005</v>
      </c>
      <c r="G19" s="16">
        <f t="shared" si="1"/>
        <v>-36.280325000000005</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43" t="s">
        <v>91</v>
      </c>
      <c r="B20" s="144"/>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9" t="s">
        <v>88</v>
      </c>
      <c r="B21" s="140"/>
      <c r="C21" s="28">
        <f>(VLOOKUP(C$14,$AI2:$AK26,3,FALSE))*C$15</f>
        <v>72</v>
      </c>
      <c r="D21" s="28">
        <f t="shared" ref="D21:V21" si="2">(VLOOKUP(D$14,$AI2:$AK26,3,FALSE))*D$15</f>
        <v>176</v>
      </c>
      <c r="E21" s="28">
        <f t="shared" si="2"/>
        <v>176</v>
      </c>
      <c r="F21" s="28">
        <f t="shared" si="2"/>
        <v>176</v>
      </c>
      <c r="G21" s="28">
        <f t="shared" si="2"/>
        <v>72</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41" t="s">
        <v>89</v>
      </c>
      <c r="B22" s="142"/>
      <c r="C22" s="16">
        <f>$E31</f>
        <v>34.342500000000001</v>
      </c>
      <c r="D22" s="16">
        <f>$E32</f>
        <v>34.342500000000001</v>
      </c>
      <c r="E22" s="16">
        <f>$E33</f>
        <v>34.342500000000001</v>
      </c>
      <c r="F22" s="16">
        <f>$E34</f>
        <v>34.342500000000001</v>
      </c>
      <c r="G22" s="16">
        <f>$E35</f>
        <v>34.342500000000001</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41" t="s">
        <v>92</v>
      </c>
      <c r="B23" s="142"/>
      <c r="C23" s="16">
        <f>C22-C21</f>
        <v>-37.657499999999999</v>
      </c>
      <c r="D23" s="16">
        <f t="shared" ref="D23:V23" si="3">D22-D21</f>
        <v>-141.6575</v>
      </c>
      <c r="E23" s="16">
        <f t="shared" si="3"/>
        <v>-141.6575</v>
      </c>
      <c r="F23" s="16">
        <f t="shared" si="3"/>
        <v>-141.6575</v>
      </c>
      <c r="G23" s="16">
        <f t="shared" si="3"/>
        <v>-37.657499999999999</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43" t="s">
        <v>93</v>
      </c>
      <c r="B24" s="144"/>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35" t="s">
        <v>56</v>
      </c>
      <c r="D27" s="135" t="s">
        <v>54</v>
      </c>
      <c r="E27" s="135" t="s">
        <v>54</v>
      </c>
      <c r="F27" s="135" t="s">
        <v>54</v>
      </c>
      <c r="G27" s="135" t="s">
        <v>54</v>
      </c>
      <c r="H27" s="135" t="s">
        <v>54</v>
      </c>
      <c r="I27" s="135" t="s">
        <v>54</v>
      </c>
      <c r="J27" s="135" t="s">
        <v>54</v>
      </c>
      <c r="K27" s="135" t="s">
        <v>54</v>
      </c>
      <c r="L27" s="135" t="s">
        <v>54</v>
      </c>
      <c r="M27" s="135" t="s">
        <v>54</v>
      </c>
      <c r="N27" s="135" t="s">
        <v>54</v>
      </c>
      <c r="O27" s="135" t="s">
        <v>54</v>
      </c>
      <c r="P27" s="135" t="s">
        <v>54</v>
      </c>
      <c r="Q27" s="135" t="s">
        <v>54</v>
      </c>
      <c r="R27" s="107"/>
      <c r="S27" s="107"/>
      <c r="T27" s="107"/>
      <c r="U27" s="107"/>
    </row>
    <row r="28" spans="1:40" s="57" customFormat="1" x14ac:dyDescent="0.25">
      <c r="A28" s="108"/>
      <c r="B28" s="24">
        <v>0.77</v>
      </c>
      <c r="C28" s="133">
        <v>0.01</v>
      </c>
      <c r="D28" s="133">
        <v>25.7</v>
      </c>
      <c r="E28" s="133">
        <v>114</v>
      </c>
      <c r="F28" s="133">
        <v>11.6</v>
      </c>
      <c r="G28" s="133">
        <v>0.2</v>
      </c>
      <c r="H28" s="133">
        <v>0.73</v>
      </c>
      <c r="I28" s="133">
        <v>0.5</v>
      </c>
      <c r="J28" s="133">
        <v>0.01</v>
      </c>
      <c r="K28" s="134">
        <v>0.05</v>
      </c>
      <c r="L28" s="133">
        <v>0.2</v>
      </c>
      <c r="M28" s="133">
        <v>0.22</v>
      </c>
      <c r="N28" s="133">
        <v>3.13</v>
      </c>
      <c r="O28" s="133">
        <v>20</v>
      </c>
      <c r="P28" s="133">
        <v>15</v>
      </c>
      <c r="Q28" s="133">
        <v>28.3</v>
      </c>
      <c r="R28" s="15"/>
      <c r="S28" s="15"/>
      <c r="T28" s="15"/>
      <c r="U28" s="15"/>
    </row>
    <row r="29" spans="1:40" s="7" customFormat="1" ht="27" x14ac:dyDescent="0.2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Bank 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14.719674999999999</v>
      </c>
      <c r="E31" s="77">
        <f>(IF(E$27="%w/w SAR",((E$28*10)*$B31),IF(E$27="%w/w DM",(((E$28*10)*($B$28/100))*$B31),IF(E$27="kg/t SAR",(E$28*$B31),IF(E$27="kg/t DM",((E$28*($B$28/100))*$B31),IF(E$27="mg/kg SAR",((E$28*0.001)*$B31),IF(E$27="mg/kg DM",(((E$28*0.001)*($B$28/100))*$B31),"0")))))))*1.205</f>
        <v>34.342500000000001</v>
      </c>
      <c r="F31" s="77">
        <f>(IF(F$27="%w/w SAR",((F$28*10)*$B31),IF(F$27="%w/w DM",(((F$28*10)*($B$28/100))*$B31),IF(F$27="kg/t SAR",(F$28*$B31),IF(F$27="kg/t DM",((F$28*($B$28/100))*$B31),IF(F$27="mg/kg SAR",((F$28*0.001)*$B31),IF(F$27="mg/kg DM",(((F$28*0.001)*($B$28/100))*$B31),"0")))))))*1.658</f>
        <v>4.8081999999999994</v>
      </c>
      <c r="G31" s="77">
        <f t="shared" ref="G31:P46" si="5">IF(G$27="%w/w SAR",((G$28*10)*$B31),IF(G$27="%w/w DM",(((G$28*10)*($B$28/100))*$B31),IF(G$27="kg/t SAR",(G$28*$B31),IF(G$27="kg/t DM",((G$28*($B$28/100))*$B31),IF(G$27="mg/kg SAR",((G$28*0.001)*$B31),IF(G$27="mg/kg DM",(((G$28*0.001)*($B$28/100))*$B31),0))))))</f>
        <v>0.05</v>
      </c>
      <c r="H31" s="77">
        <f t="shared" si="5"/>
        <v>0.1825</v>
      </c>
      <c r="I31" s="77">
        <f t="shared" si="5"/>
        <v>0.125</v>
      </c>
      <c r="J31" s="77">
        <f t="shared" si="5"/>
        <v>2.5000000000000001E-3</v>
      </c>
      <c r="K31" s="77">
        <f t="shared" si="5"/>
        <v>1.2500000000000001E-2</v>
      </c>
      <c r="L31" s="77">
        <f t="shared" si="5"/>
        <v>0.05</v>
      </c>
      <c r="M31" s="77">
        <f t="shared" si="5"/>
        <v>5.5E-2</v>
      </c>
      <c r="N31" s="77">
        <f t="shared" si="5"/>
        <v>0.78249999999999997</v>
      </c>
      <c r="O31" s="77">
        <f t="shared" si="5"/>
        <v>5</v>
      </c>
      <c r="P31" s="77">
        <f t="shared" si="5"/>
        <v>3.75</v>
      </c>
      <c r="Q31" s="77">
        <f>(IF(Q$27="%w/w SAR",((Q$28*10)*$B31),IF(Q$27="%w/w DM",(((Q$28*10)*($B$28/100))*$B31),IF(Q$27="kg/t SAR",(Q$28*$B31),IF(Q$27="kg/t DM",((Q$28*($B$28/100))*$B31),IF(Q$27="mg/kg SAR",((Q$28*0.001)*$B31),IF(Q$27="mg/kg DM",(((Q$28*0.001)*($B$28/100))*$B31),0)))))))*2.5</f>
        <v>17.6875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Bank 2</v>
      </c>
      <c r="B32" s="131">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14.719674999999999</v>
      </c>
      <c r="E32" s="77">
        <f t="shared" ref="E32:E50" si="8">(IF(E$27="%w/w SAR",((E$28*10)*$B32),IF(E$27="%w/w DM",(((E$28*10)*($B$28/100))*$B32),IF(E$27="kg/t SAR",(E$28*$B32),IF(E$27="kg/t DM",((E$28*($B$28/100))*$B32),IF(E$27="mg/kg SAR",((E$28*0.001)*$B32),IF(E$27="mg/kg DM",(((E$28*0.001)*($B$28/100))*$B32),"0")))))))*1.205</f>
        <v>34.342500000000001</v>
      </c>
      <c r="F32" s="77">
        <f t="shared" ref="F32:F50" si="9">(IF(F$27="%w/w SAR",((F$28*10)*$B32),IF(F$27="%w/w DM",(((F$28*10)*($B$28/100))*$B32),IF(F$27="kg/t SAR",(F$28*$B32),IF(F$27="kg/t DM",((F$28*($B$28/100))*$B32),IF(F$27="mg/kg SAR",((F$28*0.001)*$B32),IF(F$27="mg/kg DM",(((F$28*0.001)*($B$28/100))*$B32),"0")))))))*1.658</f>
        <v>4.8081999999999994</v>
      </c>
      <c r="G32" s="77">
        <f t="shared" si="5"/>
        <v>0.05</v>
      </c>
      <c r="H32" s="77">
        <f t="shared" si="5"/>
        <v>0.1825</v>
      </c>
      <c r="I32" s="77">
        <f t="shared" si="5"/>
        <v>0.125</v>
      </c>
      <c r="J32" s="77">
        <f t="shared" si="5"/>
        <v>2.5000000000000001E-3</v>
      </c>
      <c r="K32" s="77">
        <f t="shared" si="5"/>
        <v>1.2500000000000001E-2</v>
      </c>
      <c r="L32" s="77">
        <f t="shared" si="5"/>
        <v>0.05</v>
      </c>
      <c r="M32" s="77">
        <f t="shared" si="5"/>
        <v>5.5E-2</v>
      </c>
      <c r="N32" s="77">
        <f t="shared" si="5"/>
        <v>0.78249999999999997</v>
      </c>
      <c r="O32" s="77">
        <f t="shared" si="5"/>
        <v>5</v>
      </c>
      <c r="P32" s="77">
        <f t="shared" si="5"/>
        <v>3.75</v>
      </c>
      <c r="Q32" s="77">
        <f t="shared" ref="Q32:Q50" si="10">(IF(Q$27="%w/w SAR",((Q$28*10)*$B32),IF(Q$27="%w/w DM",(((Q$28*10)*($B$28/100))*$B32),IF(Q$27="kg/t SAR",(Q$28*$B32),IF(Q$27="kg/t DM",((Q$28*($B$28/100))*$B32),IF(Q$27="mg/kg SAR",((Q$28*0.001)*$B32),IF(Q$27="mg/kg DM",(((Q$28*0.001)*($B$28/100))*$B32),0)))))))*2.5</f>
        <v>17.6875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Bank 3</v>
      </c>
      <c r="B33" s="131">
        <v>250</v>
      </c>
      <c r="C33" s="77">
        <f t="shared" si="6"/>
        <v>25</v>
      </c>
      <c r="D33" s="77">
        <f t="shared" si="7"/>
        <v>14.719674999999999</v>
      </c>
      <c r="E33" s="77">
        <f t="shared" si="8"/>
        <v>34.342500000000001</v>
      </c>
      <c r="F33" s="77">
        <f t="shared" si="9"/>
        <v>4.8081999999999994</v>
      </c>
      <c r="G33" s="77">
        <f t="shared" si="5"/>
        <v>0.05</v>
      </c>
      <c r="H33" s="77">
        <f t="shared" si="5"/>
        <v>0.1825</v>
      </c>
      <c r="I33" s="77">
        <f t="shared" si="5"/>
        <v>0.125</v>
      </c>
      <c r="J33" s="77">
        <f t="shared" si="5"/>
        <v>2.5000000000000001E-3</v>
      </c>
      <c r="K33" s="77">
        <f t="shared" si="5"/>
        <v>1.2500000000000001E-2</v>
      </c>
      <c r="L33" s="77">
        <f t="shared" si="5"/>
        <v>0.05</v>
      </c>
      <c r="M33" s="77">
        <f t="shared" si="5"/>
        <v>5.5E-2</v>
      </c>
      <c r="N33" s="77">
        <f t="shared" si="5"/>
        <v>0.78249999999999997</v>
      </c>
      <c r="O33" s="77">
        <f t="shared" si="5"/>
        <v>5</v>
      </c>
      <c r="P33" s="77">
        <f t="shared" si="5"/>
        <v>3.75</v>
      </c>
      <c r="Q33" s="77">
        <f t="shared" si="10"/>
        <v>17.6875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Bank 4</v>
      </c>
      <c r="B34" s="131">
        <v>250</v>
      </c>
      <c r="C34" s="77">
        <f t="shared" si="6"/>
        <v>25</v>
      </c>
      <c r="D34" s="77">
        <f t="shared" si="7"/>
        <v>14.719674999999999</v>
      </c>
      <c r="E34" s="77">
        <f t="shared" si="8"/>
        <v>34.342500000000001</v>
      </c>
      <c r="F34" s="77">
        <f t="shared" si="9"/>
        <v>4.8081999999999994</v>
      </c>
      <c r="G34" s="77">
        <f t="shared" si="5"/>
        <v>0.05</v>
      </c>
      <c r="H34" s="77">
        <f t="shared" si="5"/>
        <v>0.1825</v>
      </c>
      <c r="I34" s="77">
        <f t="shared" si="5"/>
        <v>0.125</v>
      </c>
      <c r="J34" s="77">
        <f t="shared" si="5"/>
        <v>2.5000000000000001E-3</v>
      </c>
      <c r="K34" s="77">
        <f t="shared" si="5"/>
        <v>1.2500000000000001E-2</v>
      </c>
      <c r="L34" s="77">
        <f t="shared" si="5"/>
        <v>0.05</v>
      </c>
      <c r="M34" s="77">
        <f t="shared" si="5"/>
        <v>5.5E-2</v>
      </c>
      <c r="N34" s="77">
        <f t="shared" si="5"/>
        <v>0.78249999999999997</v>
      </c>
      <c r="O34" s="77">
        <f t="shared" si="5"/>
        <v>5</v>
      </c>
      <c r="P34" s="77">
        <f t="shared" si="5"/>
        <v>3.75</v>
      </c>
      <c r="Q34" s="77">
        <f t="shared" si="10"/>
        <v>17.6875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WF 32</v>
      </c>
      <c r="B35" s="131">
        <v>250</v>
      </c>
      <c r="C35" s="77">
        <f t="shared" si="6"/>
        <v>25</v>
      </c>
      <c r="D35" s="77">
        <f t="shared" si="7"/>
        <v>14.719674999999999</v>
      </c>
      <c r="E35" s="77">
        <f t="shared" si="8"/>
        <v>34.342500000000001</v>
      </c>
      <c r="F35" s="77">
        <f t="shared" si="9"/>
        <v>4.8081999999999994</v>
      </c>
      <c r="G35" s="77">
        <f t="shared" si="5"/>
        <v>0.05</v>
      </c>
      <c r="H35" s="77">
        <f t="shared" si="5"/>
        <v>0.1825</v>
      </c>
      <c r="I35" s="77">
        <f t="shared" si="5"/>
        <v>0.125</v>
      </c>
      <c r="J35" s="77">
        <f t="shared" si="5"/>
        <v>2.5000000000000001E-3</v>
      </c>
      <c r="K35" s="77">
        <f t="shared" si="5"/>
        <v>1.2500000000000001E-2</v>
      </c>
      <c r="L35" s="77">
        <f t="shared" si="5"/>
        <v>0.05</v>
      </c>
      <c r="M35" s="77">
        <f t="shared" si="5"/>
        <v>5.5E-2</v>
      </c>
      <c r="N35" s="77">
        <f t="shared" si="5"/>
        <v>0.78249999999999997</v>
      </c>
      <c r="O35" s="77">
        <f t="shared" si="5"/>
        <v>5</v>
      </c>
      <c r="P35" s="77">
        <f t="shared" si="5"/>
        <v>3.75</v>
      </c>
      <c r="Q35" s="77">
        <f t="shared" si="10"/>
        <v>17.6875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Bank 1</v>
      </c>
      <c r="C57" s="8" t="str">
        <f t="shared" ref="C57:U57" si="13">D8</f>
        <v>Bank 2</v>
      </c>
      <c r="D57" s="8" t="str">
        <f t="shared" si="13"/>
        <v>Bank 3</v>
      </c>
      <c r="E57" s="8" t="str">
        <f t="shared" si="13"/>
        <v>Bank 4</v>
      </c>
      <c r="F57" s="8" t="str">
        <f t="shared" si="13"/>
        <v>WF 32</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6.7</v>
      </c>
      <c r="C59" s="76">
        <f>VLOOKUP(D$14,Table2456[],5,FALSE)</f>
        <v>6.7</v>
      </c>
      <c r="D59" s="76">
        <f>VLOOKUP(E$14,Table2456[],5,FALSE)</f>
        <v>6.7</v>
      </c>
      <c r="E59" s="76">
        <f>VLOOKUP(F$14,Table2456[],5,FALSE)</f>
        <v>6.7</v>
      </c>
      <c r="F59" s="76">
        <f>VLOOKUP(G$14,Table2456[],5,FALSE)</f>
        <v>6.7</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7.2</v>
      </c>
      <c r="C60" s="76">
        <f t="shared" ref="C60:U60" si="14">D10</f>
        <v>7.2</v>
      </c>
      <c r="D60" s="76">
        <f t="shared" si="14"/>
        <v>7.2</v>
      </c>
      <c r="E60" s="76">
        <f t="shared" si="14"/>
        <v>7.2</v>
      </c>
      <c r="F60" s="76">
        <f t="shared" si="14"/>
        <v>7.2</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8</v>
      </c>
      <c r="D61" s="76">
        <f t="shared" si="15"/>
        <v>8</v>
      </c>
      <c r="E61" s="76">
        <f t="shared" si="15"/>
        <v>8</v>
      </c>
      <c r="F61" s="76">
        <f t="shared" si="15"/>
        <v>8</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250</v>
      </c>
      <c r="D62" s="77">
        <f>B33</f>
        <v>250</v>
      </c>
      <c r="E62" s="77">
        <f>B34</f>
        <v>250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-4</v>
      </c>
      <c r="C64" s="77">
        <f t="shared" ref="C64:U64" si="17">(C59-C60)*C61</f>
        <v>-4</v>
      </c>
      <c r="D64" s="77">
        <f t="shared" si="17"/>
        <v>-4</v>
      </c>
      <c r="E64" s="77">
        <f t="shared" si="17"/>
        <v>-4</v>
      </c>
      <c r="F64" s="77">
        <f t="shared" si="17"/>
        <v>-4</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4</v>
      </c>
      <c r="C65" s="77">
        <f t="shared" ref="C65:U65" si="18">C63-C64</f>
        <v>4</v>
      </c>
      <c r="D65" s="77">
        <f t="shared" si="18"/>
        <v>4</v>
      </c>
      <c r="E65" s="77">
        <f t="shared" si="18"/>
        <v>4</v>
      </c>
      <c r="F65" s="77">
        <f t="shared" si="18"/>
        <v>4</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OVER</v>
      </c>
      <c r="C66" s="78" t="str">
        <f t="shared" ref="C66:U66" si="19">IF(C64&lt;=C63,"OVER","UNDER")</f>
        <v>OVER</v>
      </c>
      <c r="D66" s="78" t="str">
        <f t="shared" si="19"/>
        <v>OVER</v>
      </c>
      <c r="E66" s="78" t="str">
        <f t="shared" si="19"/>
        <v>OVER</v>
      </c>
      <c r="F66" s="78" t="str">
        <f t="shared" si="19"/>
        <v>OVER</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61"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5" x14ac:dyDescent="0.2">
      <c r="A2" s="161"/>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
      <c r="A3" s="36">
        <v>1</v>
      </c>
      <c r="B3" s="33">
        <f>'Field data and Waste 1'!B31</f>
        <v>250</v>
      </c>
      <c r="C3" s="33">
        <f>'Field data and Waste 1'!C31</f>
        <v>75</v>
      </c>
      <c r="D3" s="33">
        <f>'Field data and Waste 1'!D31</f>
        <v>37.973324999999996</v>
      </c>
      <c r="E3" s="33">
        <f>'Field data and Waste 1'!E31</f>
        <v>38.258749999999999</v>
      </c>
      <c r="F3" s="33">
        <f>'Field data and Waste 1'!F31</f>
        <v>17.616250000000001</v>
      </c>
      <c r="G3" s="33">
        <f>'Field data and Waste 1'!G31</f>
        <v>0.05</v>
      </c>
      <c r="H3" s="33">
        <f>'Field data and Waste 1'!H31</f>
        <v>0.125</v>
      </c>
      <c r="I3" s="33">
        <f>'Field data and Waste 1'!I31</f>
        <v>0.125</v>
      </c>
      <c r="J3" s="33">
        <f>'Field data and Waste 1'!J31</f>
        <v>2.5000000000000001E-3</v>
      </c>
      <c r="K3" s="33">
        <f>'Field data and Waste 1'!K31</f>
        <v>1.2500000000000001E-2</v>
      </c>
      <c r="L3" s="33">
        <f>'Field data and Waste 1'!L31</f>
        <v>0.05</v>
      </c>
      <c r="M3" s="33">
        <f>'Field data and Waste 1'!M31</f>
        <v>0.05</v>
      </c>
      <c r="N3" s="33">
        <f>'Field data and Waste 1'!N31</f>
        <v>0.5</v>
      </c>
      <c r="O3" s="33">
        <f>'Field data and Waste 1'!O31</f>
        <v>5</v>
      </c>
      <c r="P3" s="33">
        <f>'Field data and Waste 1'!P31</f>
        <v>10.574999999999999</v>
      </c>
      <c r="Q3" s="33">
        <f>'Field data and Waste 1'!Q31</f>
        <v>37.8125</v>
      </c>
      <c r="R3" s="33">
        <f>'Field data and Waste 1'!R31</f>
        <v>0</v>
      </c>
      <c r="S3" s="33">
        <f>'Field data and Waste 1'!S31</f>
        <v>0</v>
      </c>
      <c r="T3" s="33">
        <f>'Field data and Waste 1'!T31</f>
        <v>0</v>
      </c>
      <c r="U3" s="33">
        <f>'Field data and Waste 1'!U31</f>
        <v>0</v>
      </c>
    </row>
    <row r="4" spans="1:21" x14ac:dyDescent="0.2">
      <c r="A4" s="36">
        <v>2</v>
      </c>
      <c r="B4" s="33">
        <f>'Waste 2'!B31</f>
        <v>250</v>
      </c>
      <c r="C4" s="33">
        <f>'Waste 2'!C31</f>
        <v>75</v>
      </c>
      <c r="D4" s="33">
        <f>'Waste 2'!D31</f>
        <v>63.002499999999991</v>
      </c>
      <c r="E4" s="33">
        <f>'Waste 2'!E31</f>
        <v>3.0125000000000002</v>
      </c>
      <c r="F4" s="33">
        <f>'Waste 2'!F31</f>
        <v>4.1449999999999996</v>
      </c>
      <c r="G4" s="33">
        <f>'Waste 2'!G31</f>
        <v>8.7499999999999994E-2</v>
      </c>
      <c r="H4" s="33">
        <f>'Waste 2'!H31</f>
        <v>0.38500000000000001</v>
      </c>
      <c r="I4" s="33">
        <f>'Waste 2'!I31</f>
        <v>0.125</v>
      </c>
      <c r="J4" s="33">
        <f>'Waste 2'!J31</f>
        <v>2.5000000000000001E-3</v>
      </c>
      <c r="K4" s="33">
        <f>'Waste 2'!K31</f>
        <v>1.2500000000000001E-2</v>
      </c>
      <c r="L4" s="33">
        <f>'Waste 2'!L31</f>
        <v>0.05</v>
      </c>
      <c r="M4" s="33">
        <f>'Waste 2'!M31</f>
        <v>7.2499999999999995E-2</v>
      </c>
      <c r="N4" s="33">
        <f>'Waste 2'!N31</f>
        <v>220</v>
      </c>
      <c r="O4" s="33">
        <f>'Waste 2'!O31</f>
        <v>5.5250000000000004</v>
      </c>
      <c r="P4" s="33">
        <f>'Waste 2'!P31</f>
        <v>27.499999999999996</v>
      </c>
      <c r="Q4" s="33">
        <f>'Waste 2'!Q31</f>
        <v>6.8750000000000009</v>
      </c>
      <c r="R4" s="33">
        <f>'Waste 2'!R31</f>
        <v>0</v>
      </c>
      <c r="S4" s="33">
        <f>'Waste 2'!S31</f>
        <v>0</v>
      </c>
      <c r="T4" s="33">
        <f>'Waste 2'!T31</f>
        <v>0</v>
      </c>
      <c r="U4" s="33">
        <f>'Waste 2'!U31</f>
        <v>0</v>
      </c>
    </row>
    <row r="5" spans="1:21" x14ac:dyDescent="0.2">
      <c r="A5" s="36">
        <v>3</v>
      </c>
      <c r="B5" s="33">
        <f>'Waste 3'!B31</f>
        <v>250</v>
      </c>
      <c r="C5" s="33">
        <f>'Waste 3'!C31</f>
        <v>25</v>
      </c>
      <c r="D5" s="33">
        <f>'Waste 3'!D31</f>
        <v>12.142299999999999</v>
      </c>
      <c r="E5" s="33">
        <f>'Waste 3'!E31</f>
        <v>8.7965</v>
      </c>
      <c r="F5" s="33">
        <f>'Waste 3'!F31</f>
        <v>12.22775</v>
      </c>
      <c r="G5" s="33">
        <f>'Waste 3'!G31</f>
        <v>0.11749999999999999</v>
      </c>
      <c r="H5" s="33">
        <f>'Waste 3'!H31</f>
        <v>0.66500000000000004</v>
      </c>
      <c r="I5" s="33">
        <f>'Waste 3'!I31</f>
        <v>0.125</v>
      </c>
      <c r="J5" s="33">
        <f>'Waste 3'!J31</f>
        <v>2.5000000000000001E-3</v>
      </c>
      <c r="K5" s="33">
        <f>'Waste 3'!K31</f>
        <v>1.2500000000000001E-2</v>
      </c>
      <c r="L5" s="33">
        <f>'Waste 3'!L31</f>
        <v>0.05</v>
      </c>
      <c r="M5" s="33">
        <f>'Waste 3'!M31</f>
        <v>0.05</v>
      </c>
      <c r="N5" s="33">
        <f>'Waste 3'!N31</f>
        <v>13.15</v>
      </c>
      <c r="O5" s="33">
        <f>'Waste 3'!O31</f>
        <v>33.5</v>
      </c>
      <c r="P5" s="33">
        <f>'Waste 3'!P31</f>
        <v>107.5</v>
      </c>
      <c r="Q5" s="33">
        <f>'Waste 3'!Q31</f>
        <v>361.875</v>
      </c>
      <c r="R5" s="33">
        <f>'Waste 3'!R31</f>
        <v>0</v>
      </c>
      <c r="S5" s="33">
        <f>'Waste 3'!S31</f>
        <v>0</v>
      </c>
      <c r="T5" s="33">
        <f>'Waste 3'!T31</f>
        <v>0</v>
      </c>
      <c r="U5" s="33">
        <f>'Waste 3'!U31</f>
        <v>0</v>
      </c>
    </row>
    <row r="6" spans="1:21" x14ac:dyDescent="0.2">
      <c r="A6" s="36">
        <v>4</v>
      </c>
      <c r="B6" s="33">
        <f>'Waste 4'!B31</f>
        <v>250</v>
      </c>
      <c r="C6" s="33">
        <f>'Waste 4'!C31</f>
        <v>50</v>
      </c>
      <c r="D6" s="33">
        <f>'Waste 4'!D31</f>
        <v>40.951625000000007</v>
      </c>
      <c r="E6" s="33">
        <f>'Waste 4'!E31</f>
        <v>4.8802500000000002</v>
      </c>
      <c r="F6" s="33">
        <f>'Waste 4'!F31</f>
        <v>4.1449999999999996</v>
      </c>
      <c r="G6" s="33">
        <f>'Waste 4'!G31</f>
        <v>0.05</v>
      </c>
      <c r="H6" s="33">
        <f>'Waste 4'!H31</f>
        <v>0.31</v>
      </c>
      <c r="I6" s="33">
        <f>'Waste 4'!I31</f>
        <v>0.125</v>
      </c>
      <c r="J6" s="33">
        <f>'Waste 4'!J31</f>
        <v>2.5000000000000001E-3</v>
      </c>
      <c r="K6" s="33">
        <f>'Waste 4'!K31</f>
        <v>1.2500000000000001E-2</v>
      </c>
      <c r="L6" s="33">
        <f>'Waste 4'!L31</f>
        <v>0.05</v>
      </c>
      <c r="M6" s="33">
        <f>'Waste 4'!M31</f>
        <v>5.2500000000000005E-2</v>
      </c>
      <c r="N6" s="33">
        <f>'Waste 4'!N31</f>
        <v>296.75</v>
      </c>
      <c r="O6" s="33">
        <f>'Waste 4'!O31</f>
        <v>16.600000000000001</v>
      </c>
      <c r="P6" s="33">
        <f>'Waste 4'!P31</f>
        <v>44</v>
      </c>
      <c r="Q6" s="33">
        <f>'Waste 4'!Q31</f>
        <v>43.875</v>
      </c>
      <c r="R6" s="33">
        <f>'Waste 4'!R31</f>
        <v>0</v>
      </c>
      <c r="S6" s="33">
        <f>'Waste 4'!S31</f>
        <v>0</v>
      </c>
      <c r="T6" s="33">
        <f>'Waste 4'!T31</f>
        <v>0</v>
      </c>
      <c r="U6" s="33">
        <f>'Waste 4'!U31</f>
        <v>0</v>
      </c>
    </row>
    <row r="7" spans="1:21" x14ac:dyDescent="0.2">
      <c r="A7" s="36">
        <v>5</v>
      </c>
      <c r="B7" s="33">
        <f>'Waste 5'!B31</f>
        <v>225</v>
      </c>
      <c r="C7" s="33">
        <f>'Waste 5'!C31</f>
        <v>112.5</v>
      </c>
      <c r="D7" s="33">
        <f>'Waste 5'!D31</f>
        <v>47.732984999999999</v>
      </c>
      <c r="E7" s="33">
        <f>'Waste 5'!E31</f>
        <v>15.481237500000002</v>
      </c>
      <c r="F7" s="33">
        <f>'Waste 5'!F31</f>
        <v>21.301155000000001</v>
      </c>
      <c r="G7" s="33">
        <f>'Waste 5'!G31</f>
        <v>0.24299999999999999</v>
      </c>
      <c r="H7" s="33">
        <f>'Waste 5'!H31</f>
        <v>0.82800000000000007</v>
      </c>
      <c r="I7" s="33">
        <f>'Waste 5'!I31</f>
        <v>0.1125</v>
      </c>
      <c r="J7" s="33">
        <f>'Waste 5'!J31</f>
        <v>2.2500000000000003E-3</v>
      </c>
      <c r="K7" s="33">
        <f>'Waste 5'!K31</f>
        <v>1.1250000000000001E-2</v>
      </c>
      <c r="L7" s="33">
        <f>'Waste 5'!L31</f>
        <v>4.5000000000000005E-2</v>
      </c>
      <c r="M7" s="33">
        <f>'Waste 5'!M31</f>
        <v>5.6250000000000001E-2</v>
      </c>
      <c r="N7" s="33">
        <f>'Waste 5'!N31</f>
        <v>0.9787499999999999</v>
      </c>
      <c r="O7" s="33">
        <f>'Waste 5'!O31</f>
        <v>10.732500000000002</v>
      </c>
      <c r="P7" s="33">
        <f>'Waste 5'!P31</f>
        <v>255.15000000000003</v>
      </c>
      <c r="Q7" s="33">
        <f>'Waste 5'!Q31</f>
        <v>30.262500000000003</v>
      </c>
      <c r="R7" s="33">
        <f>'Waste 5'!R31</f>
        <v>0</v>
      </c>
      <c r="S7" s="33">
        <f>'Waste 5'!S31</f>
        <v>0</v>
      </c>
      <c r="T7" s="33">
        <f>'Waste 5'!T31</f>
        <v>0</v>
      </c>
      <c r="U7" s="33">
        <f>'Waste 5'!U31</f>
        <v>0</v>
      </c>
    </row>
    <row r="8" spans="1:21" x14ac:dyDescent="0.2">
      <c r="A8" s="36">
        <v>6</v>
      </c>
      <c r="B8" s="33">
        <f>'Waste 6'!B31</f>
        <v>250</v>
      </c>
      <c r="C8" s="33">
        <f>'Waste 6'!C31</f>
        <v>25</v>
      </c>
      <c r="D8" s="33">
        <f>'Waste 6'!D31</f>
        <v>3.3792249999999999</v>
      </c>
      <c r="E8" s="33">
        <f>'Waste 6'!E31</f>
        <v>10.091875</v>
      </c>
      <c r="F8" s="33">
        <f>'Waste 6'!F31</f>
        <v>4.4351499999999993</v>
      </c>
      <c r="G8" s="33">
        <f>'Waste 6'!G31</f>
        <v>9.2499999999999999E-2</v>
      </c>
      <c r="H8" s="33">
        <f>'Waste 6'!H31</f>
        <v>0.49249999999999999</v>
      </c>
      <c r="I8" s="33">
        <f>'Waste 6'!I31</f>
        <v>0.77</v>
      </c>
      <c r="J8" s="33">
        <f>'Waste 6'!J31</f>
        <v>2.5000000000000001E-3</v>
      </c>
      <c r="K8" s="33">
        <f>'Waste 6'!K31</f>
        <v>1.2500000000000001E-2</v>
      </c>
      <c r="L8" s="33">
        <f>'Waste 6'!L31</f>
        <v>0.05</v>
      </c>
      <c r="M8" s="33">
        <f>'Waste 6'!M31</f>
        <v>9.5000000000000001E-2</v>
      </c>
      <c r="N8" s="33">
        <f>'Waste 6'!N31</f>
        <v>2.5249999999999999</v>
      </c>
      <c r="O8" s="33">
        <f>'Waste 6'!O31</f>
        <v>5</v>
      </c>
      <c r="P8" s="33">
        <f>'Waste 6'!P31</f>
        <v>42</v>
      </c>
      <c r="Q8" s="33">
        <f>'Waste 6'!Q31</f>
        <v>45.8125</v>
      </c>
      <c r="R8" s="33">
        <f>'Waste 6'!R31</f>
        <v>0</v>
      </c>
      <c r="S8" s="33">
        <f>'Waste 6'!S31</f>
        <v>0</v>
      </c>
      <c r="T8" s="33">
        <f>'Waste 6'!T31</f>
        <v>0</v>
      </c>
      <c r="U8" s="33">
        <f>'Waste 6'!U31</f>
        <v>0</v>
      </c>
    </row>
    <row r="9" spans="1:21" x14ac:dyDescent="0.2">
      <c r="A9" s="36">
        <v>7</v>
      </c>
      <c r="B9" s="33">
        <f>'Waste 7'!B31</f>
        <v>250</v>
      </c>
      <c r="C9" s="33">
        <f>'Waste 7'!C31</f>
        <v>25</v>
      </c>
      <c r="D9" s="33">
        <f>'Waste 7'!D31</f>
        <v>7.8466750000000003</v>
      </c>
      <c r="E9" s="33">
        <f>'Waste 7'!E31</f>
        <v>6.4467499999999998</v>
      </c>
      <c r="F9" s="33">
        <f>'Waste 7'!F31</f>
        <v>8.7044999999999995</v>
      </c>
      <c r="G9" s="33">
        <f>'Waste 7'!G31</f>
        <v>0.05</v>
      </c>
      <c r="H9" s="33">
        <f>'Waste 7'!H31</f>
        <v>0.125</v>
      </c>
      <c r="I9" s="33">
        <f>'Waste 7'!I31</f>
        <v>0.125</v>
      </c>
      <c r="J9" s="33">
        <f>'Waste 7'!J31</f>
        <v>2.5000000000000001E-3</v>
      </c>
      <c r="K9" s="33">
        <f>'Waste 7'!K31</f>
        <v>1.2500000000000001E-2</v>
      </c>
      <c r="L9" s="33">
        <f>'Waste 7'!L31</f>
        <v>0.05</v>
      </c>
      <c r="M9" s="33">
        <f>'Waste 7'!M31</f>
        <v>7.7499999999999999E-2</v>
      </c>
      <c r="N9" s="33">
        <f>'Waste 7'!N31</f>
        <v>2.5249999999999999</v>
      </c>
      <c r="O9" s="33">
        <f>'Waste 7'!O31</f>
        <v>5</v>
      </c>
      <c r="P9" s="33">
        <f>'Waste 7'!P31</f>
        <v>72.000000000000014</v>
      </c>
      <c r="Q9" s="33">
        <f>'Waste 7'!Q31</f>
        <v>16.1875</v>
      </c>
      <c r="R9" s="33">
        <f>'Waste 7'!R31</f>
        <v>0</v>
      </c>
      <c r="S9" s="33">
        <f>'Waste 7'!S31</f>
        <v>0</v>
      </c>
      <c r="T9" s="33">
        <f>'Waste 7'!T31</f>
        <v>0</v>
      </c>
      <c r="U9" s="33">
        <f>'Waste 7'!U31</f>
        <v>0</v>
      </c>
    </row>
    <row r="10" spans="1:21" x14ac:dyDescent="0.2">
      <c r="A10" s="36">
        <v>8</v>
      </c>
      <c r="B10" s="33">
        <f>'Waste 8'!B31</f>
        <v>250</v>
      </c>
      <c r="C10" s="33">
        <f>'Waste 8'!C31</f>
        <v>25</v>
      </c>
      <c r="D10" s="33">
        <f>'Waste 8'!D31</f>
        <v>2.86375</v>
      </c>
      <c r="E10" s="33">
        <f>'Waste 8'!E31</f>
        <v>3.0125000000000002</v>
      </c>
      <c r="F10" s="33">
        <f>'Waste 8'!F31</f>
        <v>4.1449999999999996</v>
      </c>
      <c r="G10" s="33">
        <f>'Waste 8'!G31</f>
        <v>0.05</v>
      </c>
      <c r="H10" s="33">
        <f>'Waste 8'!H31</f>
        <v>0.125</v>
      </c>
      <c r="I10" s="33">
        <f>'Waste 8'!I31</f>
        <v>0.125</v>
      </c>
      <c r="J10" s="33">
        <f>'Waste 8'!J31</f>
        <v>2.5000000000000001E-3</v>
      </c>
      <c r="K10" s="33">
        <f>'Waste 8'!K31</f>
        <v>1.2500000000000001E-2</v>
      </c>
      <c r="L10" s="33">
        <f>'Waste 8'!L31</f>
        <v>0.05</v>
      </c>
      <c r="M10" s="33">
        <f>'Waste 8'!M31</f>
        <v>0.05</v>
      </c>
      <c r="N10" s="33">
        <f>'Waste 8'!N31</f>
        <v>0.5</v>
      </c>
      <c r="O10" s="33">
        <f>'Waste 8'!O31</f>
        <v>5</v>
      </c>
      <c r="P10" s="33">
        <f>'Waste 8'!P31</f>
        <v>64.5</v>
      </c>
      <c r="Q10" s="33">
        <f>'Waste 8'!Q31</f>
        <v>13.625</v>
      </c>
      <c r="R10" s="33">
        <f>'Waste 8'!R31</f>
        <v>0</v>
      </c>
      <c r="S10" s="33">
        <f>'Waste 8'!S31</f>
        <v>0</v>
      </c>
      <c r="T10" s="33">
        <f>'Waste 8'!T31</f>
        <v>0</v>
      </c>
      <c r="U10" s="33">
        <f>'Waste 8'!U31</f>
        <v>0</v>
      </c>
    </row>
    <row r="11" spans="1:21" x14ac:dyDescent="0.2">
      <c r="A11" s="36">
        <v>9</v>
      </c>
      <c r="B11" s="33">
        <f>'Waste 9'!B31</f>
        <v>225</v>
      </c>
      <c r="C11" s="33">
        <f>'Waste 9'!C31</f>
        <v>225</v>
      </c>
      <c r="D11" s="33">
        <f>'Waste 9'!D31</f>
        <v>48.042270000000002</v>
      </c>
      <c r="E11" s="33">
        <f>'Waste 9'!E31</f>
        <v>13.962937500000001</v>
      </c>
      <c r="F11" s="33">
        <f>'Waste 9'!F31</f>
        <v>8.9905050000000006</v>
      </c>
      <c r="G11" s="33">
        <f>'Waste 9'!G31</f>
        <v>1.13625</v>
      </c>
      <c r="H11" s="33">
        <f>'Waste 9'!H31</f>
        <v>0.80324999999999991</v>
      </c>
      <c r="I11" s="33">
        <f>'Waste 9'!I31</f>
        <v>0.1125</v>
      </c>
      <c r="J11" s="33">
        <f>'Waste 9'!J31</f>
        <v>2.2500000000000003E-3</v>
      </c>
      <c r="K11" s="33">
        <f>'Waste 9'!K31</f>
        <v>1.1250000000000001E-2</v>
      </c>
      <c r="L11" s="33">
        <f>'Waste 9'!L31</f>
        <v>0.16875000000000001</v>
      </c>
      <c r="M11" s="33">
        <f>'Waste 9'!M31</f>
        <v>0.28800000000000003</v>
      </c>
      <c r="N11" s="33">
        <f>'Waste 9'!N31</f>
        <v>3.3075000000000001</v>
      </c>
      <c r="O11" s="33">
        <f>'Waste 9'!O31</f>
        <v>24.524999999999999</v>
      </c>
      <c r="P11" s="33">
        <f>'Waste 9'!P31</f>
        <v>10.507500000000002</v>
      </c>
      <c r="Q11" s="33">
        <f>'Waste 9'!Q31</f>
        <v>48.318750000000001</v>
      </c>
      <c r="R11" s="33">
        <f>'Waste 9'!R31</f>
        <v>0</v>
      </c>
      <c r="S11" s="33">
        <f>'Waste 9'!S31</f>
        <v>0</v>
      </c>
      <c r="T11" s="33">
        <f>'Waste 9'!T31</f>
        <v>0</v>
      </c>
      <c r="U11" s="33">
        <f>'Waste 9'!U31</f>
        <v>0</v>
      </c>
    </row>
    <row r="12" spans="1:21" x14ac:dyDescent="0.2">
      <c r="A12" s="36">
        <v>10</v>
      </c>
      <c r="B12" s="33">
        <f>'Waste 10'!B31</f>
        <v>250</v>
      </c>
      <c r="C12" s="33">
        <f>'Waste 10'!C31</f>
        <v>25</v>
      </c>
      <c r="D12" s="33">
        <f>'Waste 10'!D31</f>
        <v>14.719674999999999</v>
      </c>
      <c r="E12" s="33">
        <f>'Waste 10'!E31</f>
        <v>34.342500000000001</v>
      </c>
      <c r="F12" s="33">
        <f>'Waste 10'!F31</f>
        <v>4.8081999999999994</v>
      </c>
      <c r="G12" s="33">
        <f>'Waste 10'!G31</f>
        <v>0.05</v>
      </c>
      <c r="H12" s="33">
        <f>'Waste 10'!H31</f>
        <v>0.1825</v>
      </c>
      <c r="I12" s="33">
        <f>'Waste 10'!I31</f>
        <v>0.125</v>
      </c>
      <c r="J12" s="33">
        <f>'Waste 10'!J31</f>
        <v>2.5000000000000001E-3</v>
      </c>
      <c r="K12" s="33">
        <f>'Waste 10'!K31</f>
        <v>1.2500000000000001E-2</v>
      </c>
      <c r="L12" s="33">
        <f>'Waste 10'!L31</f>
        <v>0.05</v>
      </c>
      <c r="M12" s="33">
        <f>'Waste 10'!M31</f>
        <v>5.5E-2</v>
      </c>
      <c r="N12" s="33">
        <f>'Waste 10'!N31</f>
        <v>0.78249999999999997</v>
      </c>
      <c r="O12" s="33">
        <f>'Waste 10'!O31</f>
        <v>5</v>
      </c>
      <c r="P12" s="33">
        <f>'Waste 10'!P31</f>
        <v>3.75</v>
      </c>
      <c r="Q12" s="33">
        <f>'Waste 10'!Q31</f>
        <v>17.6875</v>
      </c>
      <c r="R12" s="33">
        <f>'Waste 10'!R31</f>
        <v>0</v>
      </c>
      <c r="S12" s="33">
        <f>'Waste 10'!S31</f>
        <v>0</v>
      </c>
      <c r="T12" s="33">
        <f>'Waste 10'!T31</f>
        <v>0</v>
      </c>
      <c r="U12" s="33">
        <f>'Waste 10'!U31</f>
        <v>0</v>
      </c>
    </row>
    <row r="13" spans="1:21" s="82" customFormat="1" ht="15.75" x14ac:dyDescent="0.25">
      <c r="A13" s="80" t="s">
        <v>85</v>
      </c>
      <c r="B13" s="81">
        <f>SUM(B3:B12)</f>
        <v>2450</v>
      </c>
      <c r="C13" s="81">
        <f t="shared" ref="C13:U13" si="0">SUM(C3:C12)</f>
        <v>662.5</v>
      </c>
      <c r="D13" s="81">
        <f t="shared" si="0"/>
        <v>278.65433000000002</v>
      </c>
      <c r="E13" s="81">
        <f t="shared" si="0"/>
        <v>138.28579999999999</v>
      </c>
      <c r="F13" s="81">
        <f t="shared" si="0"/>
        <v>90.518509999999992</v>
      </c>
      <c r="G13" s="81">
        <f t="shared" si="0"/>
        <v>1.9267500000000002</v>
      </c>
      <c r="H13" s="81">
        <f t="shared" si="0"/>
        <v>4.0412499999999998</v>
      </c>
      <c r="I13" s="81">
        <f t="shared" si="0"/>
        <v>1.87</v>
      </c>
      <c r="J13" s="81">
        <f t="shared" si="0"/>
        <v>2.4499999999999997E-2</v>
      </c>
      <c r="K13" s="81">
        <f t="shared" si="0"/>
        <v>0.1225</v>
      </c>
      <c r="L13" s="81">
        <f t="shared" si="0"/>
        <v>0.61375000000000002</v>
      </c>
      <c r="M13" s="81">
        <f t="shared" si="0"/>
        <v>0.84675000000000011</v>
      </c>
      <c r="N13" s="81">
        <f t="shared" si="0"/>
        <v>541.01874999999995</v>
      </c>
      <c r="O13" s="81">
        <f t="shared" si="0"/>
        <v>115.88249999999999</v>
      </c>
      <c r="P13" s="81">
        <f t="shared" si="0"/>
        <v>637.48250000000007</v>
      </c>
      <c r="Q13" s="81">
        <f t="shared" si="0"/>
        <v>622.33125000000007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tabSelected="1" topLeftCell="A13" workbookViewId="0">
      <selection activeCell="C12" sqref="C1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62"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5" x14ac:dyDescent="0.25">
      <c r="A2" s="162"/>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
      <c r="A3" s="36">
        <v>1</v>
      </c>
      <c r="B3" s="91">
        <v>0.1</v>
      </c>
      <c r="C3" s="33">
        <f>'Field data and Waste 1'!B31</f>
        <v>250</v>
      </c>
      <c r="D3" s="33">
        <f>'Field data and Waste 1'!C31</f>
        <v>75</v>
      </c>
      <c r="E3" s="33">
        <f>'Field data and Waste 1'!D31</f>
        <v>37.973324999999996</v>
      </c>
      <c r="F3" s="33">
        <f>'Field data and Waste 1'!E31</f>
        <v>38.258749999999999</v>
      </c>
      <c r="G3" s="33">
        <f>'Field data and Waste 1'!F31</f>
        <v>17.616250000000001</v>
      </c>
      <c r="H3" s="33">
        <f>'Field data and Waste 1'!G31</f>
        <v>0.05</v>
      </c>
      <c r="I3" s="33">
        <f>'Field data and Waste 1'!H31</f>
        <v>0.125</v>
      </c>
      <c r="J3" s="33">
        <f>'Field data and Waste 1'!I31</f>
        <v>0.125</v>
      </c>
      <c r="K3" s="33">
        <f>'Field data and Waste 1'!J31</f>
        <v>2.5000000000000001E-3</v>
      </c>
      <c r="L3" s="33">
        <f>'Field data and Waste 1'!K31</f>
        <v>1.2500000000000001E-2</v>
      </c>
      <c r="M3" s="33">
        <f>'Field data and Waste 1'!L31</f>
        <v>0.05</v>
      </c>
      <c r="N3" s="33">
        <f>'Field data and Waste 1'!M31</f>
        <v>0.05</v>
      </c>
      <c r="O3" s="33">
        <f>'Field data and Waste 1'!N31</f>
        <v>0.5</v>
      </c>
      <c r="P3" s="33">
        <f>'Field data and Waste 1'!O31</f>
        <v>5</v>
      </c>
      <c r="Q3" s="33">
        <f>'Field data and Waste 1'!P31</f>
        <v>10.574999999999999</v>
      </c>
      <c r="R3" s="33">
        <f>'Field data and Waste 1'!Q31</f>
        <v>37.8125</v>
      </c>
      <c r="S3" s="33">
        <f>'Field data and Waste 1'!R31</f>
        <v>0</v>
      </c>
      <c r="T3" s="33">
        <f>'Field data and Waste 1'!S31</f>
        <v>0</v>
      </c>
      <c r="U3" s="33">
        <f>'Field data and Waste 1'!T31</f>
        <v>0</v>
      </c>
      <c r="V3" s="33">
        <f>'Field data and Waste 1'!U31</f>
        <v>0</v>
      </c>
    </row>
    <row r="4" spans="1:22" x14ac:dyDescent="0.2">
      <c r="A4" s="36">
        <v>2</v>
      </c>
      <c r="B4" s="91">
        <v>0.1</v>
      </c>
      <c r="C4" s="33">
        <f>'Waste 2'!B31</f>
        <v>250</v>
      </c>
      <c r="D4" s="33">
        <f>'Waste 2'!C31</f>
        <v>75</v>
      </c>
      <c r="E4" s="33">
        <f>'Waste 2'!D31</f>
        <v>63.002499999999991</v>
      </c>
      <c r="F4" s="33">
        <f>'Waste 2'!E31</f>
        <v>3.0125000000000002</v>
      </c>
      <c r="G4" s="33">
        <f>'Waste 2'!F31</f>
        <v>4.1449999999999996</v>
      </c>
      <c r="H4" s="33">
        <f>'Waste 2'!G31</f>
        <v>8.7499999999999994E-2</v>
      </c>
      <c r="I4" s="33">
        <f>'Waste 2'!H31</f>
        <v>0.38500000000000001</v>
      </c>
      <c r="J4" s="33">
        <f>'Waste 2'!I31</f>
        <v>0.125</v>
      </c>
      <c r="K4" s="33">
        <f>'Waste 2'!J31</f>
        <v>2.5000000000000001E-3</v>
      </c>
      <c r="L4" s="33">
        <f>'Waste 2'!K31</f>
        <v>1.2500000000000001E-2</v>
      </c>
      <c r="M4" s="33">
        <f>'Waste 2'!L31</f>
        <v>0.05</v>
      </c>
      <c r="N4" s="33">
        <f>'Waste 2'!M31</f>
        <v>7.2499999999999995E-2</v>
      </c>
      <c r="O4" s="33">
        <f>'Waste 2'!N31</f>
        <v>220</v>
      </c>
      <c r="P4" s="33">
        <f>'Waste 2'!O31</f>
        <v>5.5250000000000004</v>
      </c>
      <c r="Q4" s="33">
        <f>'Waste 2'!P31</f>
        <v>27.499999999999996</v>
      </c>
      <c r="R4" s="33">
        <f>'Waste 2'!Q31</f>
        <v>6.8750000000000009</v>
      </c>
      <c r="S4" s="33">
        <f>'Waste 2'!R31</f>
        <v>0</v>
      </c>
      <c r="T4" s="33">
        <f>'Waste 2'!S31</f>
        <v>0</v>
      </c>
      <c r="U4" s="33">
        <f>'Waste 2'!T31</f>
        <v>0</v>
      </c>
      <c r="V4" s="33">
        <f>'Waste 2'!U31</f>
        <v>0</v>
      </c>
    </row>
    <row r="5" spans="1:22" x14ac:dyDescent="0.2">
      <c r="A5" s="36">
        <v>3</v>
      </c>
      <c r="B5" s="91">
        <v>0.1</v>
      </c>
      <c r="C5" s="33">
        <f>'Waste 3'!B31</f>
        <v>250</v>
      </c>
      <c r="D5" s="33">
        <f>'Waste 3'!C31</f>
        <v>25</v>
      </c>
      <c r="E5" s="33">
        <f>'Waste 3'!D31</f>
        <v>12.142299999999999</v>
      </c>
      <c r="F5" s="33">
        <f>'Waste 3'!E31</f>
        <v>8.7965</v>
      </c>
      <c r="G5" s="33">
        <f>'Waste 3'!F31</f>
        <v>12.22775</v>
      </c>
      <c r="H5" s="33">
        <f>'Waste 3'!G31</f>
        <v>0.11749999999999999</v>
      </c>
      <c r="I5" s="33">
        <f>'Waste 3'!H31</f>
        <v>0.66500000000000004</v>
      </c>
      <c r="J5" s="33">
        <f>'Waste 3'!I31</f>
        <v>0.125</v>
      </c>
      <c r="K5" s="33">
        <f>'Waste 3'!J31</f>
        <v>2.5000000000000001E-3</v>
      </c>
      <c r="L5" s="33">
        <f>'Waste 3'!K31</f>
        <v>1.2500000000000001E-2</v>
      </c>
      <c r="M5" s="33">
        <f>'Waste 3'!L31</f>
        <v>0.05</v>
      </c>
      <c r="N5" s="33">
        <f>'Waste 3'!M31</f>
        <v>0.05</v>
      </c>
      <c r="O5" s="33">
        <f>'Waste 3'!N31</f>
        <v>13.15</v>
      </c>
      <c r="P5" s="33">
        <f>'Waste 3'!O31</f>
        <v>33.5</v>
      </c>
      <c r="Q5" s="33">
        <f>'Waste 3'!P31</f>
        <v>107.5</v>
      </c>
      <c r="R5" s="33">
        <f>'Waste 3'!Q31</f>
        <v>361.875</v>
      </c>
      <c r="S5" s="33">
        <f>'Waste 3'!R31</f>
        <v>0</v>
      </c>
      <c r="T5" s="33">
        <f>'Waste 3'!S31</f>
        <v>0</v>
      </c>
      <c r="U5" s="33">
        <f>'Waste 3'!T31</f>
        <v>0</v>
      </c>
      <c r="V5" s="33">
        <f>'Waste 3'!U31</f>
        <v>0</v>
      </c>
    </row>
    <row r="6" spans="1:22" x14ac:dyDescent="0.2">
      <c r="A6" s="36">
        <v>4</v>
      </c>
      <c r="B6" s="91">
        <v>0.1</v>
      </c>
      <c r="C6" s="33">
        <f>'Waste 4'!B31</f>
        <v>250</v>
      </c>
      <c r="D6" s="33">
        <f>'Waste 4'!C31</f>
        <v>50</v>
      </c>
      <c r="E6" s="33">
        <f>'Waste 4'!D31</f>
        <v>40.951625000000007</v>
      </c>
      <c r="F6" s="33">
        <f>'Waste 4'!E31</f>
        <v>4.8802500000000002</v>
      </c>
      <c r="G6" s="33">
        <f>'Waste 4'!F31</f>
        <v>4.1449999999999996</v>
      </c>
      <c r="H6" s="33">
        <f>'Waste 4'!G31</f>
        <v>0.05</v>
      </c>
      <c r="I6" s="33">
        <f>'Waste 4'!H31</f>
        <v>0.31</v>
      </c>
      <c r="J6" s="33">
        <f>'Waste 4'!I31</f>
        <v>0.125</v>
      </c>
      <c r="K6" s="33">
        <f>'Waste 4'!J31</f>
        <v>2.5000000000000001E-3</v>
      </c>
      <c r="L6" s="33">
        <f>'Waste 4'!K31</f>
        <v>1.2500000000000001E-2</v>
      </c>
      <c r="M6" s="33">
        <f>'Waste 4'!L31</f>
        <v>0.05</v>
      </c>
      <c r="N6" s="33">
        <f>'Waste 4'!M31</f>
        <v>5.2500000000000005E-2</v>
      </c>
      <c r="O6" s="33">
        <f>'Waste 4'!N31</f>
        <v>296.75</v>
      </c>
      <c r="P6" s="33">
        <f>'Waste 4'!O31</f>
        <v>16.600000000000001</v>
      </c>
      <c r="Q6" s="33">
        <f>'Waste 4'!P31</f>
        <v>44</v>
      </c>
      <c r="R6" s="33">
        <f>'Waste 4'!Q31</f>
        <v>43.875</v>
      </c>
      <c r="S6" s="33">
        <f>'Waste 4'!R31</f>
        <v>0</v>
      </c>
      <c r="T6" s="33">
        <f>'Waste 4'!S31</f>
        <v>0</v>
      </c>
      <c r="U6" s="33">
        <f>'Waste 4'!T31</f>
        <v>0</v>
      </c>
      <c r="V6" s="33">
        <f>'Waste 4'!U31</f>
        <v>0</v>
      </c>
    </row>
    <row r="7" spans="1:22" x14ac:dyDescent="0.2">
      <c r="A7" s="36">
        <v>5</v>
      </c>
      <c r="B7" s="91">
        <v>0.1</v>
      </c>
      <c r="C7" s="33">
        <f>'Waste 5'!B31</f>
        <v>225</v>
      </c>
      <c r="D7" s="33">
        <f>'Waste 5'!C31</f>
        <v>112.5</v>
      </c>
      <c r="E7" s="33">
        <f>'Waste 5'!D31</f>
        <v>47.732984999999999</v>
      </c>
      <c r="F7" s="33">
        <f>'Waste 5'!E31</f>
        <v>15.481237500000002</v>
      </c>
      <c r="G7" s="33">
        <f>'Waste 5'!F31</f>
        <v>21.301155000000001</v>
      </c>
      <c r="H7" s="33">
        <f>'Waste 5'!G31</f>
        <v>0.24299999999999999</v>
      </c>
      <c r="I7" s="33">
        <f>'Waste 5'!H31</f>
        <v>0.82800000000000007</v>
      </c>
      <c r="J7" s="33">
        <f>'Waste 5'!I31</f>
        <v>0.1125</v>
      </c>
      <c r="K7" s="33">
        <f>'Waste 5'!J31</f>
        <v>2.2500000000000003E-3</v>
      </c>
      <c r="L7" s="33">
        <f>'Waste 5'!K31</f>
        <v>1.1250000000000001E-2</v>
      </c>
      <c r="M7" s="33">
        <f>'Waste 5'!L31</f>
        <v>4.5000000000000005E-2</v>
      </c>
      <c r="N7" s="33">
        <f>'Waste 5'!M31</f>
        <v>5.6250000000000001E-2</v>
      </c>
      <c r="O7" s="33">
        <f>'Waste 5'!N31</f>
        <v>0.9787499999999999</v>
      </c>
      <c r="P7" s="33">
        <f>'Waste 5'!O31</f>
        <v>10.732500000000002</v>
      </c>
      <c r="Q7" s="33">
        <f>'Waste 5'!P31</f>
        <v>255.15000000000003</v>
      </c>
      <c r="R7" s="33">
        <f>'Waste 5'!Q31</f>
        <v>30.262500000000003</v>
      </c>
      <c r="S7" s="33">
        <f>'Waste 5'!R31</f>
        <v>0</v>
      </c>
      <c r="T7" s="33">
        <f>'Waste 5'!S31</f>
        <v>0</v>
      </c>
      <c r="U7" s="33">
        <f>'Waste 5'!T31</f>
        <v>0</v>
      </c>
      <c r="V7" s="33">
        <f>'Waste 5'!U31</f>
        <v>0</v>
      </c>
    </row>
    <row r="8" spans="1:22" x14ac:dyDescent="0.2">
      <c r="A8" s="36">
        <v>6</v>
      </c>
      <c r="B8" s="91">
        <v>0.1</v>
      </c>
      <c r="C8" s="33">
        <f>'Waste 6'!B31</f>
        <v>250</v>
      </c>
      <c r="D8" s="33">
        <f>'Waste 6'!C31</f>
        <v>25</v>
      </c>
      <c r="E8" s="33">
        <f>'Waste 6'!D31</f>
        <v>3.3792249999999999</v>
      </c>
      <c r="F8" s="33">
        <f>'Waste 6'!E31</f>
        <v>10.091875</v>
      </c>
      <c r="G8" s="33">
        <f>'Waste 6'!F31</f>
        <v>4.4351499999999993</v>
      </c>
      <c r="H8" s="33">
        <f>'Waste 6'!G31</f>
        <v>9.2499999999999999E-2</v>
      </c>
      <c r="I8" s="33">
        <f>'Waste 6'!H31</f>
        <v>0.49249999999999999</v>
      </c>
      <c r="J8" s="33">
        <f>'Waste 6'!I31</f>
        <v>0.77</v>
      </c>
      <c r="K8" s="33">
        <f>'Waste 6'!J31</f>
        <v>2.5000000000000001E-3</v>
      </c>
      <c r="L8" s="33">
        <f>'Waste 6'!K31</f>
        <v>1.2500000000000001E-2</v>
      </c>
      <c r="M8" s="33">
        <f>'Waste 6'!L31</f>
        <v>0.05</v>
      </c>
      <c r="N8" s="33">
        <f>'Waste 6'!M31</f>
        <v>9.5000000000000001E-2</v>
      </c>
      <c r="O8" s="33">
        <f>'Waste 6'!N31</f>
        <v>2.5249999999999999</v>
      </c>
      <c r="P8" s="33">
        <f>'Waste 6'!O31</f>
        <v>5</v>
      </c>
      <c r="Q8" s="33">
        <f>'Waste 6'!P31</f>
        <v>42</v>
      </c>
      <c r="R8" s="33">
        <f>'Waste 6'!Q31</f>
        <v>45.8125</v>
      </c>
      <c r="S8" s="33">
        <f>'Waste 6'!R31</f>
        <v>0</v>
      </c>
      <c r="T8" s="33">
        <f>'Waste 6'!S31</f>
        <v>0</v>
      </c>
      <c r="U8" s="33">
        <f>'Waste 6'!T31</f>
        <v>0</v>
      </c>
      <c r="V8" s="33">
        <f>'Waste 6'!U31</f>
        <v>0</v>
      </c>
    </row>
    <row r="9" spans="1:22" x14ac:dyDescent="0.2">
      <c r="A9" s="36">
        <v>7</v>
      </c>
      <c r="B9" s="91">
        <v>0.1</v>
      </c>
      <c r="C9" s="33">
        <f>'Waste 7'!B31</f>
        <v>250</v>
      </c>
      <c r="D9" s="33">
        <f>'Waste 7'!C31</f>
        <v>25</v>
      </c>
      <c r="E9" s="33">
        <f>'Waste 7'!D31</f>
        <v>7.8466750000000003</v>
      </c>
      <c r="F9" s="33">
        <f>'Waste 7'!E31</f>
        <v>6.4467499999999998</v>
      </c>
      <c r="G9" s="33">
        <f>'Waste 7'!F31</f>
        <v>8.7044999999999995</v>
      </c>
      <c r="H9" s="33">
        <f>'Waste 7'!G31</f>
        <v>0.05</v>
      </c>
      <c r="I9" s="33">
        <f>'Waste 7'!H31</f>
        <v>0.125</v>
      </c>
      <c r="J9" s="33">
        <f>'Waste 7'!I31</f>
        <v>0.125</v>
      </c>
      <c r="K9" s="33">
        <f>'Waste 7'!J31</f>
        <v>2.5000000000000001E-3</v>
      </c>
      <c r="L9" s="33">
        <f>'Waste 7'!K31</f>
        <v>1.2500000000000001E-2</v>
      </c>
      <c r="M9" s="33">
        <f>'Waste 7'!L31</f>
        <v>0.05</v>
      </c>
      <c r="N9" s="33">
        <f>'Waste 7'!M31</f>
        <v>7.7499999999999999E-2</v>
      </c>
      <c r="O9" s="33">
        <f>'Waste 7'!N31</f>
        <v>2.5249999999999999</v>
      </c>
      <c r="P9" s="33">
        <f>'Waste 7'!O31</f>
        <v>5</v>
      </c>
      <c r="Q9" s="33">
        <f>'Waste 7'!P31</f>
        <v>72.000000000000014</v>
      </c>
      <c r="R9" s="33">
        <f>'Waste 7'!Q31</f>
        <v>16.1875</v>
      </c>
      <c r="S9" s="33">
        <f>'Waste 7'!R31</f>
        <v>0</v>
      </c>
      <c r="T9" s="33">
        <f>'Waste 7'!S31</f>
        <v>0</v>
      </c>
      <c r="U9" s="33">
        <f>'Waste 7'!T31</f>
        <v>0</v>
      </c>
      <c r="V9" s="33">
        <f>'Waste 7'!U31</f>
        <v>0</v>
      </c>
    </row>
    <row r="10" spans="1:22" x14ac:dyDescent="0.2">
      <c r="A10" s="36">
        <v>8</v>
      </c>
      <c r="B10" s="91">
        <v>0.1</v>
      </c>
      <c r="C10" s="33">
        <f>'Waste 8'!B31</f>
        <v>250</v>
      </c>
      <c r="D10" s="33">
        <f>'Waste 8'!C31</f>
        <v>25</v>
      </c>
      <c r="E10" s="33">
        <f>'Waste 8'!D31</f>
        <v>2.86375</v>
      </c>
      <c r="F10" s="33">
        <f>'Waste 8'!E31</f>
        <v>3.0125000000000002</v>
      </c>
      <c r="G10" s="33">
        <f>'Waste 8'!F31</f>
        <v>4.1449999999999996</v>
      </c>
      <c r="H10" s="33">
        <f>'Waste 8'!G31</f>
        <v>0.05</v>
      </c>
      <c r="I10" s="33">
        <f>'Waste 8'!H31</f>
        <v>0.125</v>
      </c>
      <c r="J10" s="33">
        <f>'Waste 8'!I31</f>
        <v>0.125</v>
      </c>
      <c r="K10" s="33">
        <f>'Waste 8'!J31</f>
        <v>2.5000000000000001E-3</v>
      </c>
      <c r="L10" s="33">
        <f>'Waste 8'!K31</f>
        <v>1.2500000000000001E-2</v>
      </c>
      <c r="M10" s="33">
        <f>'Waste 8'!L31</f>
        <v>0.05</v>
      </c>
      <c r="N10" s="33">
        <f>'Waste 8'!M31</f>
        <v>0.05</v>
      </c>
      <c r="O10" s="33">
        <f>'Waste 8'!N31</f>
        <v>0.5</v>
      </c>
      <c r="P10" s="33">
        <f>'Waste 8'!O31</f>
        <v>5</v>
      </c>
      <c r="Q10" s="33">
        <f>'Waste 8'!P31</f>
        <v>64.5</v>
      </c>
      <c r="R10" s="33">
        <f>'Waste 8'!Q31</f>
        <v>13.625</v>
      </c>
      <c r="S10" s="33">
        <f>'Waste 8'!R31</f>
        <v>0</v>
      </c>
      <c r="T10" s="33">
        <f>'Waste 8'!S31</f>
        <v>0</v>
      </c>
      <c r="U10" s="33">
        <f>'Waste 8'!T31</f>
        <v>0</v>
      </c>
      <c r="V10" s="33">
        <f>'Waste 8'!U31</f>
        <v>0</v>
      </c>
    </row>
    <row r="11" spans="1:22" x14ac:dyDescent="0.2">
      <c r="A11" s="36">
        <v>9</v>
      </c>
      <c r="B11" s="91">
        <v>0.1</v>
      </c>
      <c r="C11" s="33">
        <f>'Waste 9'!B31</f>
        <v>225</v>
      </c>
      <c r="D11" s="33">
        <f>'Waste 9'!C31</f>
        <v>225</v>
      </c>
      <c r="E11" s="33">
        <f>'Waste 9'!D31</f>
        <v>48.042270000000002</v>
      </c>
      <c r="F11" s="33">
        <f>'Waste 9'!E31</f>
        <v>13.962937500000001</v>
      </c>
      <c r="G11" s="33">
        <f>'Waste 9'!F31</f>
        <v>8.9905050000000006</v>
      </c>
      <c r="H11" s="33">
        <f>'Waste 9'!G31</f>
        <v>1.13625</v>
      </c>
      <c r="I11" s="33">
        <f>'Waste 9'!H31</f>
        <v>0.80324999999999991</v>
      </c>
      <c r="J11" s="33">
        <f>'Waste 9'!I31</f>
        <v>0.1125</v>
      </c>
      <c r="K11" s="33">
        <f>'Waste 9'!J31</f>
        <v>2.2500000000000003E-3</v>
      </c>
      <c r="L11" s="33">
        <f>'Waste 9'!K31</f>
        <v>1.1250000000000001E-2</v>
      </c>
      <c r="M11" s="33">
        <f>'Waste 9'!L31</f>
        <v>0.16875000000000001</v>
      </c>
      <c r="N11" s="33">
        <f>'Waste 9'!M31</f>
        <v>0.28800000000000003</v>
      </c>
      <c r="O11" s="33">
        <f>'Waste 9'!N31</f>
        <v>3.3075000000000001</v>
      </c>
      <c r="P11" s="33">
        <f>'Waste 9'!O31</f>
        <v>24.524999999999999</v>
      </c>
      <c r="Q11" s="33">
        <f>'Waste 9'!P31</f>
        <v>10.507500000000002</v>
      </c>
      <c r="R11" s="33">
        <f>'Waste 9'!Q31</f>
        <v>48.318750000000001</v>
      </c>
      <c r="S11" s="33">
        <f>'Waste 9'!R31</f>
        <v>0</v>
      </c>
      <c r="T11" s="33">
        <f>'Waste 9'!S31</f>
        <v>0</v>
      </c>
      <c r="U11" s="33">
        <f>'Waste 9'!T31</f>
        <v>0</v>
      </c>
      <c r="V11" s="33">
        <f>'Waste 9'!U31</f>
        <v>0</v>
      </c>
    </row>
    <row r="12" spans="1:22" x14ac:dyDescent="0.2">
      <c r="A12" s="36">
        <v>10</v>
      </c>
      <c r="B12" s="91">
        <v>0.1</v>
      </c>
      <c r="C12" s="33">
        <f>'Waste 10'!B31</f>
        <v>250</v>
      </c>
      <c r="D12" s="33">
        <f>'Waste 10'!C31</f>
        <v>25</v>
      </c>
      <c r="E12" s="33">
        <f>'Waste 10'!D31</f>
        <v>14.719674999999999</v>
      </c>
      <c r="F12" s="33">
        <f>'Waste 10'!E31</f>
        <v>34.342500000000001</v>
      </c>
      <c r="G12" s="33">
        <f>'Waste 10'!F31</f>
        <v>4.8081999999999994</v>
      </c>
      <c r="H12" s="33">
        <f>'Waste 10'!G31</f>
        <v>0.05</v>
      </c>
      <c r="I12" s="33">
        <f>'Waste 10'!H31</f>
        <v>0.1825</v>
      </c>
      <c r="J12" s="33">
        <f>'Waste 10'!I31</f>
        <v>0.125</v>
      </c>
      <c r="K12" s="33">
        <f>'Waste 10'!J31</f>
        <v>2.5000000000000001E-3</v>
      </c>
      <c r="L12" s="33">
        <f>'Waste 10'!K31</f>
        <v>1.2500000000000001E-2</v>
      </c>
      <c r="M12" s="33">
        <f>'Waste 10'!L31</f>
        <v>0.05</v>
      </c>
      <c r="N12" s="33">
        <f>'Waste 10'!M31</f>
        <v>5.5E-2</v>
      </c>
      <c r="O12" s="33">
        <f>'Waste 10'!N31</f>
        <v>0.78249999999999997</v>
      </c>
      <c r="P12" s="33">
        <f>'Waste 10'!O31</f>
        <v>5</v>
      </c>
      <c r="Q12" s="33">
        <f>'Waste 10'!P31</f>
        <v>3.75</v>
      </c>
      <c r="R12" s="33">
        <f>'Waste 10'!Q31</f>
        <v>17.6875</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61"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61"/>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0.1</v>
      </c>
      <c r="C17" s="87">
        <f>C3</f>
        <v>250</v>
      </c>
      <c r="D17" s="88">
        <f>D3*$B$3</f>
        <v>7.5</v>
      </c>
      <c r="E17" s="88">
        <f t="shared" ref="E17:V17" si="2">E3*$B$3</f>
        <v>3.7973324999999996</v>
      </c>
      <c r="F17" s="88">
        <f t="shared" si="2"/>
        <v>3.8258749999999999</v>
      </c>
      <c r="G17" s="88">
        <f t="shared" si="2"/>
        <v>1.7616250000000002</v>
      </c>
      <c r="H17" s="88">
        <f t="shared" si="2"/>
        <v>5.000000000000001E-3</v>
      </c>
      <c r="I17" s="88">
        <f t="shared" si="2"/>
        <v>1.2500000000000001E-2</v>
      </c>
      <c r="J17" s="88">
        <f t="shared" si="2"/>
        <v>1.2500000000000001E-2</v>
      </c>
      <c r="K17" s="88">
        <f t="shared" si="2"/>
        <v>2.5000000000000001E-4</v>
      </c>
      <c r="L17" s="88">
        <f t="shared" si="2"/>
        <v>1.2500000000000002E-3</v>
      </c>
      <c r="M17" s="88">
        <f t="shared" si="2"/>
        <v>5.000000000000001E-3</v>
      </c>
      <c r="N17" s="88">
        <f t="shared" si="2"/>
        <v>5.000000000000001E-3</v>
      </c>
      <c r="O17" s="88">
        <f t="shared" si="2"/>
        <v>0.05</v>
      </c>
      <c r="P17" s="88">
        <f t="shared" si="2"/>
        <v>0.5</v>
      </c>
      <c r="Q17" s="88">
        <f t="shared" si="2"/>
        <v>1.0574999999999999</v>
      </c>
      <c r="R17" s="88">
        <f t="shared" si="2"/>
        <v>3.78125</v>
      </c>
      <c r="S17" s="88">
        <f t="shared" si="2"/>
        <v>0</v>
      </c>
      <c r="T17" s="88">
        <f t="shared" si="2"/>
        <v>0</v>
      </c>
      <c r="U17" s="88">
        <f t="shared" si="2"/>
        <v>0</v>
      </c>
      <c r="V17" s="88">
        <f t="shared" si="2"/>
        <v>0</v>
      </c>
    </row>
    <row r="18" spans="1:22" x14ac:dyDescent="0.2">
      <c r="A18" s="85">
        <v>2</v>
      </c>
      <c r="B18" s="86">
        <f t="shared" ref="B18:C18" si="3">B4</f>
        <v>0.1</v>
      </c>
      <c r="C18" s="87">
        <f t="shared" si="3"/>
        <v>250</v>
      </c>
      <c r="D18" s="88">
        <f>D4*$B$4</f>
        <v>7.5</v>
      </c>
      <c r="E18" s="88">
        <f t="shared" ref="E18:V18" si="4">E4*$B$4</f>
        <v>6.3002499999999992</v>
      </c>
      <c r="F18" s="88">
        <f t="shared" si="4"/>
        <v>0.30125000000000002</v>
      </c>
      <c r="G18" s="88">
        <f t="shared" si="4"/>
        <v>0.41449999999999998</v>
      </c>
      <c r="H18" s="88">
        <f t="shared" si="4"/>
        <v>8.7499999999999991E-3</v>
      </c>
      <c r="I18" s="88">
        <f t="shared" si="4"/>
        <v>3.8500000000000006E-2</v>
      </c>
      <c r="J18" s="88">
        <f t="shared" si="4"/>
        <v>1.2500000000000001E-2</v>
      </c>
      <c r="K18" s="88">
        <f t="shared" si="4"/>
        <v>2.5000000000000001E-4</v>
      </c>
      <c r="L18" s="88">
        <f t="shared" si="4"/>
        <v>1.2500000000000002E-3</v>
      </c>
      <c r="M18" s="88">
        <f t="shared" si="4"/>
        <v>5.000000000000001E-3</v>
      </c>
      <c r="N18" s="88">
        <f t="shared" si="4"/>
        <v>7.2499999999999995E-3</v>
      </c>
      <c r="O18" s="88">
        <f t="shared" si="4"/>
        <v>22</v>
      </c>
      <c r="P18" s="88">
        <f t="shared" si="4"/>
        <v>0.5525000000000001</v>
      </c>
      <c r="Q18" s="88">
        <f t="shared" si="4"/>
        <v>2.75</v>
      </c>
      <c r="R18" s="88">
        <f t="shared" si="4"/>
        <v>0.68750000000000011</v>
      </c>
      <c r="S18" s="88">
        <f t="shared" si="4"/>
        <v>0</v>
      </c>
      <c r="T18" s="88">
        <f t="shared" si="4"/>
        <v>0</v>
      </c>
      <c r="U18" s="88">
        <f t="shared" si="4"/>
        <v>0</v>
      </c>
      <c r="V18" s="88">
        <f t="shared" si="4"/>
        <v>0</v>
      </c>
    </row>
    <row r="19" spans="1:22" x14ac:dyDescent="0.2">
      <c r="A19" s="85">
        <v>3</v>
      </c>
      <c r="B19" s="86">
        <f t="shared" ref="B19:C19" si="5">B5</f>
        <v>0.1</v>
      </c>
      <c r="C19" s="87">
        <f t="shared" si="5"/>
        <v>250</v>
      </c>
      <c r="D19" s="88">
        <f>D5*$B$5</f>
        <v>2.5</v>
      </c>
      <c r="E19" s="88">
        <f t="shared" ref="E19:V19" si="6">E5*$B$5</f>
        <v>1.2142299999999999</v>
      </c>
      <c r="F19" s="88">
        <f t="shared" si="6"/>
        <v>0.87965000000000004</v>
      </c>
      <c r="G19" s="88">
        <f t="shared" si="6"/>
        <v>1.2227750000000002</v>
      </c>
      <c r="H19" s="88">
        <f t="shared" si="6"/>
        <v>1.175E-2</v>
      </c>
      <c r="I19" s="88">
        <f t="shared" si="6"/>
        <v>6.6500000000000004E-2</v>
      </c>
      <c r="J19" s="88">
        <f t="shared" si="6"/>
        <v>1.2500000000000001E-2</v>
      </c>
      <c r="K19" s="88">
        <f t="shared" si="6"/>
        <v>2.5000000000000001E-4</v>
      </c>
      <c r="L19" s="88">
        <f t="shared" si="6"/>
        <v>1.2500000000000002E-3</v>
      </c>
      <c r="M19" s="88">
        <f t="shared" si="6"/>
        <v>5.000000000000001E-3</v>
      </c>
      <c r="N19" s="88">
        <f t="shared" si="6"/>
        <v>5.000000000000001E-3</v>
      </c>
      <c r="O19" s="88">
        <f t="shared" si="6"/>
        <v>1.3150000000000002</v>
      </c>
      <c r="P19" s="88">
        <f t="shared" si="6"/>
        <v>3.35</v>
      </c>
      <c r="Q19" s="88">
        <f t="shared" si="6"/>
        <v>10.75</v>
      </c>
      <c r="R19" s="88">
        <f t="shared" si="6"/>
        <v>36.1875</v>
      </c>
      <c r="S19" s="88">
        <f t="shared" si="6"/>
        <v>0</v>
      </c>
      <c r="T19" s="88">
        <f t="shared" si="6"/>
        <v>0</v>
      </c>
      <c r="U19" s="88">
        <f t="shared" si="6"/>
        <v>0</v>
      </c>
      <c r="V19" s="88">
        <f t="shared" si="6"/>
        <v>0</v>
      </c>
    </row>
    <row r="20" spans="1:22" x14ac:dyDescent="0.2">
      <c r="A20" s="85">
        <v>4</v>
      </c>
      <c r="B20" s="86">
        <f t="shared" ref="B20:C20" si="7">B6</f>
        <v>0.1</v>
      </c>
      <c r="C20" s="87">
        <f t="shared" si="7"/>
        <v>250</v>
      </c>
      <c r="D20" s="88">
        <f>D6*$B$6</f>
        <v>5</v>
      </c>
      <c r="E20" s="88">
        <f t="shared" ref="E20:V20" si="8">E6*$B$6</f>
        <v>4.0951625000000007</v>
      </c>
      <c r="F20" s="88">
        <f t="shared" si="8"/>
        <v>0.48802500000000004</v>
      </c>
      <c r="G20" s="88">
        <f t="shared" si="8"/>
        <v>0.41449999999999998</v>
      </c>
      <c r="H20" s="88">
        <f t="shared" si="8"/>
        <v>5.000000000000001E-3</v>
      </c>
      <c r="I20" s="88">
        <f t="shared" si="8"/>
        <v>3.1E-2</v>
      </c>
      <c r="J20" s="88">
        <f t="shared" si="8"/>
        <v>1.2500000000000001E-2</v>
      </c>
      <c r="K20" s="88">
        <f t="shared" si="8"/>
        <v>2.5000000000000001E-4</v>
      </c>
      <c r="L20" s="88">
        <f t="shared" si="8"/>
        <v>1.2500000000000002E-3</v>
      </c>
      <c r="M20" s="88">
        <f t="shared" si="8"/>
        <v>5.000000000000001E-3</v>
      </c>
      <c r="N20" s="88">
        <f t="shared" si="8"/>
        <v>5.2500000000000012E-3</v>
      </c>
      <c r="O20" s="88">
        <f t="shared" si="8"/>
        <v>29.675000000000001</v>
      </c>
      <c r="P20" s="88">
        <f t="shared" si="8"/>
        <v>1.6600000000000001</v>
      </c>
      <c r="Q20" s="88">
        <f t="shared" si="8"/>
        <v>4.4000000000000004</v>
      </c>
      <c r="R20" s="88">
        <f t="shared" si="8"/>
        <v>4.3875000000000002</v>
      </c>
      <c r="S20" s="88">
        <f t="shared" si="8"/>
        <v>0</v>
      </c>
      <c r="T20" s="88">
        <f t="shared" si="8"/>
        <v>0</v>
      </c>
      <c r="U20" s="88">
        <f t="shared" si="8"/>
        <v>0</v>
      </c>
      <c r="V20" s="88">
        <f t="shared" si="8"/>
        <v>0</v>
      </c>
    </row>
    <row r="21" spans="1:22" x14ac:dyDescent="0.2">
      <c r="A21" s="85">
        <v>5</v>
      </c>
      <c r="B21" s="86">
        <f t="shared" ref="B21:C21" si="9">B7</f>
        <v>0.1</v>
      </c>
      <c r="C21" s="87">
        <f t="shared" si="9"/>
        <v>225</v>
      </c>
      <c r="D21" s="88">
        <f>D7*$B$7</f>
        <v>11.25</v>
      </c>
      <c r="E21" s="88">
        <f t="shared" ref="E21:V21" si="10">E7*$B$7</f>
        <v>4.7732985000000001</v>
      </c>
      <c r="F21" s="88">
        <f t="shared" si="10"/>
        <v>1.5481237500000002</v>
      </c>
      <c r="G21" s="88">
        <f t="shared" si="10"/>
        <v>2.1301155000000001</v>
      </c>
      <c r="H21" s="88">
        <f t="shared" si="10"/>
        <v>2.4300000000000002E-2</v>
      </c>
      <c r="I21" s="88">
        <f t="shared" si="10"/>
        <v>8.2800000000000012E-2</v>
      </c>
      <c r="J21" s="88">
        <f t="shared" si="10"/>
        <v>1.1250000000000001E-2</v>
      </c>
      <c r="K21" s="88">
        <f t="shared" si="10"/>
        <v>2.2500000000000005E-4</v>
      </c>
      <c r="L21" s="88">
        <f t="shared" si="10"/>
        <v>1.1250000000000001E-3</v>
      </c>
      <c r="M21" s="88">
        <f t="shared" si="10"/>
        <v>4.5000000000000005E-3</v>
      </c>
      <c r="N21" s="88">
        <f t="shared" si="10"/>
        <v>5.6250000000000007E-3</v>
      </c>
      <c r="O21" s="88">
        <f t="shared" si="10"/>
        <v>9.787499999999999E-2</v>
      </c>
      <c r="P21" s="88">
        <f t="shared" si="10"/>
        <v>1.0732500000000003</v>
      </c>
      <c r="Q21" s="88">
        <f t="shared" si="10"/>
        <v>25.515000000000004</v>
      </c>
      <c r="R21" s="88">
        <f t="shared" si="10"/>
        <v>3.0262500000000006</v>
      </c>
      <c r="S21" s="88">
        <f t="shared" si="10"/>
        <v>0</v>
      </c>
      <c r="T21" s="88">
        <f t="shared" si="10"/>
        <v>0</v>
      </c>
      <c r="U21" s="88">
        <f t="shared" si="10"/>
        <v>0</v>
      </c>
      <c r="V21" s="88">
        <f t="shared" si="10"/>
        <v>0</v>
      </c>
    </row>
    <row r="22" spans="1:22" x14ac:dyDescent="0.2">
      <c r="A22" s="85">
        <v>6</v>
      </c>
      <c r="B22" s="86">
        <f t="shared" ref="B22:C22" si="11">B8</f>
        <v>0.1</v>
      </c>
      <c r="C22" s="87">
        <f t="shared" si="11"/>
        <v>250</v>
      </c>
      <c r="D22" s="88">
        <f>D8*$B$8</f>
        <v>2.5</v>
      </c>
      <c r="E22" s="88">
        <f t="shared" ref="E22:V22" si="12">E8*$B$8</f>
        <v>0.33792250000000001</v>
      </c>
      <c r="F22" s="88">
        <f t="shared" si="12"/>
        <v>1.0091875000000001</v>
      </c>
      <c r="G22" s="88">
        <f t="shared" si="12"/>
        <v>0.44351499999999994</v>
      </c>
      <c r="H22" s="88">
        <f t="shared" si="12"/>
        <v>9.2499999999999995E-3</v>
      </c>
      <c r="I22" s="88">
        <f t="shared" si="12"/>
        <v>4.9250000000000002E-2</v>
      </c>
      <c r="J22" s="88">
        <f t="shared" si="12"/>
        <v>7.7000000000000013E-2</v>
      </c>
      <c r="K22" s="88">
        <f t="shared" si="12"/>
        <v>2.5000000000000001E-4</v>
      </c>
      <c r="L22" s="88">
        <f t="shared" si="12"/>
        <v>1.2500000000000002E-3</v>
      </c>
      <c r="M22" s="88">
        <f t="shared" si="12"/>
        <v>5.000000000000001E-3</v>
      </c>
      <c r="N22" s="88">
        <f t="shared" si="12"/>
        <v>9.5000000000000015E-3</v>
      </c>
      <c r="O22" s="88">
        <f t="shared" si="12"/>
        <v>0.2525</v>
      </c>
      <c r="P22" s="88">
        <f t="shared" si="12"/>
        <v>0.5</v>
      </c>
      <c r="Q22" s="88">
        <f t="shared" si="12"/>
        <v>4.2</v>
      </c>
      <c r="R22" s="88">
        <f t="shared" si="12"/>
        <v>4.5812499999999998</v>
      </c>
      <c r="S22" s="88">
        <f t="shared" si="12"/>
        <v>0</v>
      </c>
      <c r="T22" s="88">
        <f t="shared" si="12"/>
        <v>0</v>
      </c>
      <c r="U22" s="88">
        <f t="shared" si="12"/>
        <v>0</v>
      </c>
      <c r="V22" s="88">
        <f t="shared" si="12"/>
        <v>0</v>
      </c>
    </row>
    <row r="23" spans="1:22" x14ac:dyDescent="0.2">
      <c r="A23" s="85">
        <v>7</v>
      </c>
      <c r="B23" s="86">
        <f t="shared" ref="B23:C23" si="13">B9</f>
        <v>0.1</v>
      </c>
      <c r="C23" s="87">
        <f t="shared" si="13"/>
        <v>250</v>
      </c>
      <c r="D23" s="88">
        <f>D9*$B$9</f>
        <v>2.5</v>
      </c>
      <c r="E23" s="88">
        <f t="shared" ref="E23:V23" si="14">E9*$B$9</f>
        <v>0.78466750000000007</v>
      </c>
      <c r="F23" s="88">
        <f t="shared" si="14"/>
        <v>0.644675</v>
      </c>
      <c r="G23" s="88">
        <f t="shared" si="14"/>
        <v>0.87044999999999995</v>
      </c>
      <c r="H23" s="88">
        <f t="shared" si="14"/>
        <v>5.000000000000001E-3</v>
      </c>
      <c r="I23" s="88">
        <f t="shared" si="14"/>
        <v>1.2500000000000001E-2</v>
      </c>
      <c r="J23" s="88">
        <f t="shared" si="14"/>
        <v>1.2500000000000001E-2</v>
      </c>
      <c r="K23" s="88">
        <f t="shared" si="14"/>
        <v>2.5000000000000001E-4</v>
      </c>
      <c r="L23" s="88">
        <f t="shared" si="14"/>
        <v>1.2500000000000002E-3</v>
      </c>
      <c r="M23" s="88">
        <f t="shared" si="14"/>
        <v>5.000000000000001E-3</v>
      </c>
      <c r="N23" s="88">
        <f t="shared" si="14"/>
        <v>7.7499999999999999E-3</v>
      </c>
      <c r="O23" s="88">
        <f t="shared" si="14"/>
        <v>0.2525</v>
      </c>
      <c r="P23" s="88">
        <f t="shared" si="14"/>
        <v>0.5</v>
      </c>
      <c r="Q23" s="88">
        <f t="shared" si="14"/>
        <v>7.200000000000002</v>
      </c>
      <c r="R23" s="88">
        <f t="shared" si="14"/>
        <v>1.6187500000000001</v>
      </c>
      <c r="S23" s="88">
        <f t="shared" si="14"/>
        <v>0</v>
      </c>
      <c r="T23" s="88">
        <f t="shared" si="14"/>
        <v>0</v>
      </c>
      <c r="U23" s="88">
        <f t="shared" si="14"/>
        <v>0</v>
      </c>
      <c r="V23" s="88">
        <f t="shared" si="14"/>
        <v>0</v>
      </c>
    </row>
    <row r="24" spans="1:22" x14ac:dyDescent="0.2">
      <c r="A24" s="85">
        <v>8</v>
      </c>
      <c r="B24" s="86">
        <f t="shared" ref="B24:C24" si="15">B10</f>
        <v>0.1</v>
      </c>
      <c r="C24" s="87">
        <f t="shared" si="15"/>
        <v>250</v>
      </c>
      <c r="D24" s="88">
        <f>D10*$B$10</f>
        <v>2.5</v>
      </c>
      <c r="E24" s="88">
        <f t="shared" ref="E24:V24" si="16">E10*$B$10</f>
        <v>0.28637499999999999</v>
      </c>
      <c r="F24" s="88">
        <f t="shared" si="16"/>
        <v>0.30125000000000002</v>
      </c>
      <c r="G24" s="88">
        <f t="shared" si="16"/>
        <v>0.41449999999999998</v>
      </c>
      <c r="H24" s="88">
        <f t="shared" si="16"/>
        <v>5.000000000000001E-3</v>
      </c>
      <c r="I24" s="88">
        <f t="shared" si="16"/>
        <v>1.2500000000000001E-2</v>
      </c>
      <c r="J24" s="88">
        <f t="shared" si="16"/>
        <v>1.2500000000000001E-2</v>
      </c>
      <c r="K24" s="88">
        <f t="shared" si="16"/>
        <v>2.5000000000000001E-4</v>
      </c>
      <c r="L24" s="88">
        <f t="shared" si="16"/>
        <v>1.2500000000000002E-3</v>
      </c>
      <c r="M24" s="88">
        <f t="shared" si="16"/>
        <v>5.000000000000001E-3</v>
      </c>
      <c r="N24" s="88">
        <f t="shared" si="16"/>
        <v>5.000000000000001E-3</v>
      </c>
      <c r="O24" s="88">
        <f t="shared" si="16"/>
        <v>0.05</v>
      </c>
      <c r="P24" s="88">
        <f t="shared" si="16"/>
        <v>0.5</v>
      </c>
      <c r="Q24" s="88">
        <f t="shared" si="16"/>
        <v>6.45</v>
      </c>
      <c r="R24" s="88">
        <f t="shared" si="16"/>
        <v>1.3625</v>
      </c>
      <c r="S24" s="88">
        <f t="shared" si="16"/>
        <v>0</v>
      </c>
      <c r="T24" s="88">
        <f t="shared" si="16"/>
        <v>0</v>
      </c>
      <c r="U24" s="88">
        <f t="shared" si="16"/>
        <v>0</v>
      </c>
      <c r="V24" s="88">
        <f t="shared" si="16"/>
        <v>0</v>
      </c>
    </row>
    <row r="25" spans="1:22" x14ac:dyDescent="0.2">
      <c r="A25" s="85">
        <v>9</v>
      </c>
      <c r="B25" s="86">
        <f t="shared" ref="B25:C25" si="17">B11</f>
        <v>0.1</v>
      </c>
      <c r="C25" s="87">
        <f t="shared" si="17"/>
        <v>225</v>
      </c>
      <c r="D25" s="88">
        <f>D11*$B$11</f>
        <v>22.5</v>
      </c>
      <c r="E25" s="88">
        <f t="shared" ref="E25:V25" si="18">E11*$B$11</f>
        <v>4.8042270000000009</v>
      </c>
      <c r="F25" s="88">
        <f t="shared" si="18"/>
        <v>1.3962937500000001</v>
      </c>
      <c r="G25" s="88">
        <f t="shared" si="18"/>
        <v>0.89905050000000009</v>
      </c>
      <c r="H25" s="88">
        <f t="shared" si="18"/>
        <v>0.113625</v>
      </c>
      <c r="I25" s="88">
        <f t="shared" si="18"/>
        <v>8.0324999999999994E-2</v>
      </c>
      <c r="J25" s="88">
        <f t="shared" si="18"/>
        <v>1.1250000000000001E-2</v>
      </c>
      <c r="K25" s="88">
        <f t="shared" si="18"/>
        <v>2.2500000000000005E-4</v>
      </c>
      <c r="L25" s="88">
        <f t="shared" si="18"/>
        <v>1.1250000000000001E-3</v>
      </c>
      <c r="M25" s="88">
        <f t="shared" si="18"/>
        <v>1.6875000000000001E-2</v>
      </c>
      <c r="N25" s="88">
        <f t="shared" si="18"/>
        <v>2.8800000000000006E-2</v>
      </c>
      <c r="O25" s="88">
        <f t="shared" si="18"/>
        <v>0.33075000000000004</v>
      </c>
      <c r="P25" s="88">
        <f t="shared" si="18"/>
        <v>2.4525000000000001</v>
      </c>
      <c r="Q25" s="88">
        <f t="shared" si="18"/>
        <v>1.0507500000000003</v>
      </c>
      <c r="R25" s="88">
        <f t="shared" si="18"/>
        <v>4.8318750000000001</v>
      </c>
      <c r="S25" s="88">
        <f t="shared" si="18"/>
        <v>0</v>
      </c>
      <c r="T25" s="88">
        <f t="shared" si="18"/>
        <v>0</v>
      </c>
      <c r="U25" s="88">
        <f t="shared" si="18"/>
        <v>0</v>
      </c>
      <c r="V25" s="88">
        <f t="shared" si="18"/>
        <v>0</v>
      </c>
    </row>
    <row r="26" spans="1:22" x14ac:dyDescent="0.2">
      <c r="A26" s="85">
        <v>10</v>
      </c>
      <c r="B26" s="86">
        <f t="shared" ref="B26:C26" si="19">B12</f>
        <v>0.1</v>
      </c>
      <c r="C26" s="87">
        <f t="shared" si="19"/>
        <v>250</v>
      </c>
      <c r="D26" s="88">
        <f>D12*$B$12</f>
        <v>2.5</v>
      </c>
      <c r="E26" s="88">
        <f t="shared" ref="E26:V26" si="20">E12*$B$12</f>
        <v>1.4719674999999999</v>
      </c>
      <c r="F26" s="88">
        <f t="shared" si="20"/>
        <v>3.4342500000000005</v>
      </c>
      <c r="G26" s="88">
        <f t="shared" si="20"/>
        <v>0.48081999999999997</v>
      </c>
      <c r="H26" s="88">
        <f t="shared" si="20"/>
        <v>5.000000000000001E-3</v>
      </c>
      <c r="I26" s="88">
        <f t="shared" si="20"/>
        <v>1.8249999999999999E-2</v>
      </c>
      <c r="J26" s="88">
        <f t="shared" si="20"/>
        <v>1.2500000000000001E-2</v>
      </c>
      <c r="K26" s="88">
        <f t="shared" si="20"/>
        <v>2.5000000000000001E-4</v>
      </c>
      <c r="L26" s="88">
        <f t="shared" si="20"/>
        <v>1.2500000000000002E-3</v>
      </c>
      <c r="M26" s="88">
        <f t="shared" si="20"/>
        <v>5.000000000000001E-3</v>
      </c>
      <c r="N26" s="88">
        <f t="shared" si="20"/>
        <v>5.5000000000000005E-3</v>
      </c>
      <c r="O26" s="88">
        <f t="shared" si="20"/>
        <v>7.825E-2</v>
      </c>
      <c r="P26" s="88">
        <f t="shared" si="20"/>
        <v>0.5</v>
      </c>
      <c r="Q26" s="88">
        <f t="shared" si="20"/>
        <v>0.375</v>
      </c>
      <c r="R26" s="88">
        <f t="shared" si="20"/>
        <v>1.76875</v>
      </c>
      <c r="S26" s="88">
        <f t="shared" si="20"/>
        <v>0</v>
      </c>
      <c r="T26" s="88">
        <f t="shared" si="20"/>
        <v>0</v>
      </c>
      <c r="U26" s="88">
        <f t="shared" si="20"/>
        <v>0</v>
      </c>
      <c r="V26" s="88">
        <f t="shared" si="20"/>
        <v>0</v>
      </c>
    </row>
    <row r="27" spans="1:22" s="90" customFormat="1" ht="15.75" x14ac:dyDescent="0.25">
      <c r="A27" s="163" t="s">
        <v>85</v>
      </c>
      <c r="B27" s="163"/>
      <c r="C27" s="163"/>
      <c r="D27" s="89">
        <f>SUM(D17:D26)</f>
        <v>66.25</v>
      </c>
      <c r="E27" s="89">
        <f t="shared" ref="E27:V27" si="21">SUM(E17:E26)</f>
        <v>27.865433000000003</v>
      </c>
      <c r="F27" s="89">
        <f t="shared" si="21"/>
        <v>13.828579999999999</v>
      </c>
      <c r="G27" s="89">
        <f t="shared" si="21"/>
        <v>9.0518509999999992</v>
      </c>
      <c r="H27" s="89">
        <f t="shared" si="21"/>
        <v>0.19267500000000001</v>
      </c>
      <c r="I27" s="89">
        <f t="shared" si="21"/>
        <v>0.40412500000000001</v>
      </c>
      <c r="J27" s="89">
        <f t="shared" si="21"/>
        <v>0.18700000000000006</v>
      </c>
      <c r="K27" s="89">
        <f t="shared" si="21"/>
        <v>2.4499999999999999E-3</v>
      </c>
      <c r="L27" s="89">
        <f t="shared" si="21"/>
        <v>1.2250000000000004E-2</v>
      </c>
      <c r="M27" s="89">
        <f t="shared" si="21"/>
        <v>6.1375000000000013E-2</v>
      </c>
      <c r="N27" s="89">
        <f t="shared" si="21"/>
        <v>8.4675000000000014E-2</v>
      </c>
      <c r="O27" s="89">
        <f t="shared" si="21"/>
        <v>54.101875</v>
      </c>
      <c r="P27" s="89">
        <f t="shared" si="21"/>
        <v>11.58825</v>
      </c>
      <c r="Q27" s="89">
        <f t="shared" si="21"/>
        <v>63.74825000000002</v>
      </c>
      <c r="R27" s="89">
        <f t="shared" si="21"/>
        <v>62.233124999999987</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526c40320b39f87b89b318a915ba253b">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c02edc008cc23bda93555de437b0f114"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REGU-415-1630687</_dlc_DocId>
    <_dlc_DocIdUrl xmlns="9be56660-2c31-41ef-bc00-23e72f632f2a">
      <Url>https://cyfoethnaturiolcymru.sharepoint.com/teams/Regulatory/Permitting/_layouts/15/DocIdRedir.aspx?ID=REGU-415-1630687</Url>
      <Description>REGU-415-1630687</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Holme Farm, Marsh Lane, Ince, Cheshire, CH2 4NR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2023-05-04T23:00:00+00:00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John Willis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9F694D-FE54-46D2-8A3C-162ADF1AC5CF}"/>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3.xml><?xml version="1.0" encoding="utf-8"?>
<ds:datastoreItem xmlns:ds="http://schemas.openxmlformats.org/officeDocument/2006/customXml" ds:itemID="{2A1AF7F1-9E99-412E-8109-999AA80EA607}"/>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2023-04-28T12:57:58Z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c80d3309-4c15-4e9a-a2a0-fd4af37f755b</vt:lpwstr>
  </property>
  <property fmtid="{D5CDD505-2E9C-101B-9397-08002B2CF9AE}" pid="4" name="Order">
    <vt:r8>163068700</vt:r8>
  </property>
</Properties>
</file>