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1494/"/>
    </mc:Choice>
  </mc:AlternateContent>
  <xr:revisionPtr revIDLastSave="0" documentId="13_ncr:1_{9E1D0AF0-FBF6-4FB7-8B72-EDE038A6AE75}" xr6:coauthVersionLast="47" xr6:coauthVersionMax="47" xr10:uidLastSave="{00000000-0000-0000-0000-000000000000}"/>
  <bookViews>
    <workbookView xWindow="-110" yWindow="-110" windowWidth="19420" windowHeight="10420" tabRatio="870" xr2:uid="{00000000-000D-0000-FFFF-FFFF00000000}"/>
  </bookViews>
  <sheets>
    <sheet name="Dairy Partners" sheetId="1" r:id="rId1"/>
    <sheet name="Volac" sheetId="21" r:id="rId2"/>
    <sheet name="Penderyn whiskey"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O65" i="1" l="1"/>
  <c r="P65" i="1"/>
  <c r="Q65" i="1"/>
  <c r="R65" i="1"/>
  <c r="S65" i="1"/>
  <c r="T65" i="1"/>
  <c r="U65"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5" i="20"/>
  <c r="B4" i="20"/>
  <c r="B3" i="20"/>
  <c r="R7" i="19"/>
  <c r="R21" i="19" s="1"/>
  <c r="J7" i="19"/>
  <c r="J21" i="19" s="1"/>
  <c r="T10" i="19"/>
  <c r="T24" i="19" s="1"/>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U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U63" i="27" l="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O20" i="27" s="1"/>
  <c r="E11" i="19"/>
  <c r="E25" i="19" s="1"/>
  <c r="Q7" i="19"/>
  <c r="Q21" i="19" s="1"/>
  <c r="P10" i="19"/>
  <c r="P24" i="19" s="1"/>
  <c r="I7" i="19"/>
  <c r="I21" i="19" s="1"/>
  <c r="D8" i="19"/>
  <c r="D22" i="19" s="1"/>
  <c r="L8" i="19"/>
  <c r="L22" i="19" s="1"/>
  <c r="T8" i="19"/>
  <c r="T22" i="19" s="1"/>
  <c r="O4" i="20"/>
  <c r="P4" i="19"/>
  <c r="P18" i="19" s="1"/>
  <c r="H6" i="19"/>
  <c r="H20" i="19" s="1"/>
  <c r="P6" i="19"/>
  <c r="P20" i="19" s="1"/>
  <c r="G4" i="20"/>
  <c r="H4" i="19"/>
  <c r="H18" i="19" s="1"/>
  <c r="G12" i="19"/>
  <c r="G26" i="19" s="1"/>
  <c r="O12" i="19"/>
  <c r="O26" i="19" s="1"/>
  <c r="I4" i="20"/>
  <c r="J4" i="19"/>
  <c r="J18" i="19" s="1"/>
  <c r="I59" i="21"/>
  <c r="J17" i="21"/>
  <c r="J19" i="21" s="1"/>
  <c r="J20" i="21" s="1"/>
  <c r="J21" i="21"/>
  <c r="J23" i="21" s="1"/>
  <c r="J24" i="21" s="1"/>
  <c r="P12" i="19"/>
  <c r="P26" i="19" s="1"/>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Q19" i="21" s="1"/>
  <c r="I17" i="21"/>
  <c r="I19" i="21" s="1"/>
  <c r="I20" i="21" s="1"/>
  <c r="I21" i="21"/>
  <c r="D59" i="27"/>
  <c r="E17" i="27"/>
  <c r="E19" i="27" s="1"/>
  <c r="E20" i="27" s="1"/>
  <c r="L59" i="27"/>
  <c r="M17" i="27"/>
  <c r="M19" i="27" s="1"/>
  <c r="M20" i="27" s="1"/>
  <c r="T59" i="27"/>
  <c r="U17" i="27"/>
  <c r="U19" i="27" s="1"/>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23" i="21" s="1"/>
  <c r="H24" i="21" s="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G19" i="21" s="1"/>
  <c r="G20" i="21"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H19" i="27" s="1"/>
  <c r="H20" i="27" s="1"/>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M23" i="21" s="1"/>
  <c r="M24" i="21" s="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R19" i="27"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S58" i="21"/>
  <c r="S61" i="21" s="1"/>
  <c r="C58" i="21"/>
  <c r="C61"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R58" i="27"/>
  <c r="R61" i="27" s="1"/>
  <c r="R64" i="27" s="1"/>
  <c r="L21" i="27"/>
  <c r="L23" i="27" s="1"/>
  <c r="L24" i="27" s="1"/>
  <c r="T21" i="27"/>
  <c r="P58" i="21"/>
  <c r="P61" i="21" s="1"/>
  <c r="H58" i="21"/>
  <c r="H61" i="21" s="1"/>
  <c r="R57" i="21"/>
  <c r="D58" i="27"/>
  <c r="D61" i="27" s="1"/>
  <c r="L58" i="27"/>
  <c r="L61" i="27" s="1"/>
  <c r="T58" i="27"/>
  <c r="T61" i="27" s="1"/>
  <c r="T64" i="27" s="1"/>
  <c r="T65" i="27" s="1"/>
  <c r="J57" i="21"/>
  <c r="H59" i="21"/>
  <c r="R21" i="27"/>
  <c r="R23" i="27" s="1"/>
  <c r="R24"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Q58" i="27"/>
  <c r="Q61" i="27" s="1"/>
  <c r="Q64" i="27" s="1"/>
  <c r="H57" i="27"/>
  <c r="F59" i="27"/>
  <c r="P19" i="21"/>
  <c r="P23" i="27"/>
  <c r="P24" i="27" s="1"/>
  <c r="N57" i="27"/>
  <c r="H59" i="27"/>
  <c r="Q58" i="21"/>
  <c r="Q61" i="21" s="1"/>
  <c r="Q64" i="21" s="1"/>
  <c r="I58" i="21"/>
  <c r="I61" i="21" s="1"/>
  <c r="C58" i="27"/>
  <c r="C61" i="27" s="1"/>
  <c r="C64" i="27" s="1"/>
  <c r="K58" i="27"/>
  <c r="K61" i="27" s="1"/>
  <c r="K64" i="27" s="1"/>
  <c r="S58" i="27"/>
  <c r="S61" i="27" s="1"/>
  <c r="S64" i="27" s="1"/>
  <c r="P57" i="27"/>
  <c r="N59" i="27"/>
  <c r="M19" i="21"/>
  <c r="M20" i="21" s="1"/>
  <c r="G57" i="21"/>
  <c r="P59" i="27"/>
  <c r="B58" i="27"/>
  <c r="B61" i="27" s="1"/>
  <c r="D5" i="20"/>
  <c r="D4" i="20"/>
  <c r="E5" i="20"/>
  <c r="E4" i="20"/>
  <c r="Q23" i="27"/>
  <c r="Q24" i="27" s="1"/>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P64" i="21"/>
  <c r="P65" i="21" s="1"/>
  <c r="A33" i="21"/>
  <c r="A37" i="21"/>
  <c r="A41" i="21"/>
  <c r="A45" i="21"/>
  <c r="A49" i="21"/>
  <c r="E58" i="21"/>
  <c r="E61" i="21" s="1"/>
  <c r="M58" i="21"/>
  <c r="M61" i="21" s="1"/>
  <c r="U58" i="21"/>
  <c r="U61" i="21" s="1"/>
  <c r="S19" i="21"/>
  <c r="I23" i="21"/>
  <c r="I24" i="21" s="1"/>
  <c r="C57" i="21"/>
  <c r="K57" i="21"/>
  <c r="S57" i="21"/>
  <c r="R23" i="21"/>
  <c r="R24"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7" l="1"/>
  <c r="R65" i="21"/>
  <c r="O65" i="21"/>
  <c r="U64" i="21"/>
  <c r="S65" i="27"/>
  <c r="Q65" i="27"/>
  <c r="T65" i="21"/>
  <c r="C65" i="27"/>
  <c r="Q65" i="21"/>
  <c r="R65" i="27"/>
  <c r="C23" i="21"/>
  <c r="C24" i="21" s="1"/>
  <c r="L65" i="21"/>
  <c r="J64" i="27"/>
  <c r="J65" i="27" s="1"/>
  <c r="E65" i="27"/>
  <c r="U66" i="21"/>
  <c r="U65" i="21"/>
  <c r="D65" i="21"/>
  <c r="K65" i="21"/>
  <c r="I64" i="27"/>
  <c r="I65" i="27" s="1"/>
  <c r="D64" i="27"/>
  <c r="D65" i="27" s="1"/>
  <c r="C64" i="21"/>
  <c r="C65" i="21" s="1"/>
  <c r="N66" i="21"/>
  <c r="N65" i="21"/>
  <c r="P64" i="27"/>
  <c r="P65" i="27" s="1"/>
  <c r="G64" i="21"/>
  <c r="S64" i="21"/>
  <c r="E64" i="21"/>
  <c r="F64" i="21"/>
  <c r="J64" i="21"/>
  <c r="H64" i="21"/>
  <c r="H65" i="21" s="1"/>
  <c r="M64" i="27"/>
  <c r="H64" i="27"/>
  <c r="O66" i="21"/>
  <c r="L64" i="27"/>
  <c r="M64" i="21"/>
  <c r="M65" i="21" s="1"/>
  <c r="I64" i="21"/>
  <c r="U64" i="27"/>
  <c r="S66" i="27"/>
  <c r="B64" i="27"/>
  <c r="B64" i="21"/>
  <c r="O64" i="27"/>
  <c r="N64" i="27"/>
  <c r="Q66" i="21"/>
  <c r="P66" i="21"/>
  <c r="K66" i="27"/>
  <c r="R66" i="27"/>
  <c r="C66" i="27"/>
  <c r="J66" i="27"/>
  <c r="G64" i="27"/>
  <c r="F64" i="27"/>
  <c r="T66" i="27"/>
  <c r="T66" i="21"/>
  <c r="L66" i="21"/>
  <c r="S64" i="1"/>
  <c r="R64" i="1"/>
  <c r="Q64" i="1"/>
  <c r="U64" i="1"/>
  <c r="P64" i="1"/>
  <c r="E66" i="27"/>
  <c r="Q66" i="27"/>
  <c r="I66" i="27"/>
  <c r="K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F65" i="1" l="1"/>
  <c r="G65" i="1"/>
  <c r="L65" i="1"/>
  <c r="I65" i="1"/>
  <c r="N65" i="1"/>
  <c r="S66" i="21"/>
  <c r="S65" i="21"/>
  <c r="O66" i="27"/>
  <c r="O65" i="27"/>
  <c r="U66" i="27"/>
  <c r="U65" i="27"/>
  <c r="P66" i="27"/>
  <c r="H65" i="1"/>
  <c r="C65" i="1"/>
  <c r="K65" i="1"/>
  <c r="M65" i="1"/>
  <c r="D65" i="1"/>
  <c r="E65" i="1"/>
  <c r="J65" i="1"/>
  <c r="B65" i="1"/>
  <c r="H66" i="21"/>
  <c r="D66" i="27"/>
  <c r="C66" i="21"/>
  <c r="N66" i="27"/>
  <c r="N65" i="27"/>
  <c r="M66" i="27"/>
  <c r="M65" i="27"/>
  <c r="M66" i="21"/>
  <c r="L66" i="27"/>
  <c r="L65" i="27"/>
  <c r="J66" i="21"/>
  <c r="J65" i="21"/>
  <c r="I66" i="21"/>
  <c r="I65" i="21"/>
  <c r="H66" i="27"/>
  <c r="H65" i="27"/>
  <c r="G66" i="27"/>
  <c r="G65" i="27"/>
  <c r="G66" i="21"/>
  <c r="G65" i="21"/>
  <c r="F66" i="21"/>
  <c r="F65" i="21"/>
  <c r="F66" i="27"/>
  <c r="F65" i="27"/>
  <c r="E66" i="21"/>
  <c r="E65" i="21"/>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<sst xmlns="http://schemas.openxmlformats.org/spreadsheetml/2006/main" count="721" uniqueCount="184">
  <si>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</si>
  <si>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</si>
  <si>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</si>
  <si>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</si>
  <si>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</si>
  <si>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</si>
  <si>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</si>
  <si>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</si>
  <si>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</si>
  <si>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</si>
  <si>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</si>
  <si>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</si>
  <si>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</si>
  <si>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</si>
  <si>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</si>
  <si>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</si>
  <si>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</si>
  <si>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</si>
  <si>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</si>
  <si>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</si>
  <si>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</si>
  <si>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</si>
  <si>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</si>
  <si>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</si>
  <si>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</si>
  <si>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</si>
  <si>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</si>
  <si>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</si>
  <si>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</si>
  <si>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</si>
  <si>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</si>
  <si>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</si>
  <si>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</si>
  <si>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</si>
  <si>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</si>
  <si>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</si>
  <si>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</si>
  <si>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</si>
  <si>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</si>
  <si>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</si>
  <si>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</si>
  <si>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</si>
  <si>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</si>
  <si>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</si>
  <si>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</si>
  <si>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</si>
  <si>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</si>
  <si>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</si>
  <si>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</si>
  <si>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</si>
  <si>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</si>
  <si>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</si>
  <si>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</si>
  <si>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</si>
  <si>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</si>
  <si>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</si>
  <si>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</si>
  <si>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</si>
  <si>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</si>
  <si>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</si>
  <si>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</si>
  <si>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</si>
  <si>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</si>
  <si>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</si>
  <si>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</si>
  <si>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</si>
  <si>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</si>
  <si>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</si>
  <si>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</si>
  <si>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</si>
  <si>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</si>
  <si>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</si>
  <si>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</si>
  <si>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</si>
  <si>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</si>
  <si>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</si>
  <si>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</si>
  <si>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</si>
  <si>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</si>
  <si>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</si>
  <si>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</si>
  <si>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</si>
  <si>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</si>
  <si>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</si>
  <si>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</si>
  <si>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</si>
  <si>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</si>
  <si>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</si>
  <si>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</si>
  <si>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</si>
  <si>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</si>
  <si>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</si>
  <si>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</si>
  <si>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</si>
  <si>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</si>
  <si>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</si>
  <si>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</si>
  <si>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</si>
  <si>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</si>
  <si>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</si>
  <si>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</si>
  <si>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</si>
  <si>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</si>
  <si>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</si>
  <si>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</si>
  <si>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</si>
  <si>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</si>
  <si>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</si>
  <si>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</si>
  <si>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</si>
  <si>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</si>
  <si>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</si>
  <si>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</si>
  <si>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</si>
  <si>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</si>
  <si>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</si>
  <si>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</si>
  <si>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</si>
  <si>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</si>
  <si>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</si>
  <si>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</si>
  <si>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</si>
  <si>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</si>
  <si>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</si>
  <si>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</si>
  <si>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</si>
  <si>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</si>
  <si>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</si>
  <si>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</si>
  <si>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</si>
  <si>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</si>
  <si>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</si>
  <si>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</si>
  <si>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</si>
  <si>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</si>
  <si>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</si>
  <si>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</si>
  <si>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</si>
  <si>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</si>
  <si>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</si>
  <si>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</si>
  <si>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</si>
  <si>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</si>
  <si>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</si>
  <si>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</si>
  <si>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</si>
  <si>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</si>
  <si>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</si>
  <si>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</si>
  <si>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</si>
  <si>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</si>
  <si>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</si>
  <si>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</si>
  <si>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</si>
  <si>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</si>
  <si>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</si>
  <si>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</si>
  <si>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</si>
  <si>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</si>
  <si>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</si>
  <si>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PAN-021494</t>
  </si>
  <si>
    <t>AB3891CX</t>
  </si>
  <si>
    <t>Mr Daniel &amp; Mrs Carys James</t>
  </si>
  <si>
    <t>Bryn farm, Ferwig, Cardigan  SA43 1PL</t>
  </si>
  <si>
    <t>Owen Clee</t>
  </si>
  <si>
    <t>02 05 02</t>
  </si>
  <si>
    <t>02 07 02</t>
  </si>
  <si>
    <t>Dairy products industry
sludges</t>
  </si>
  <si>
    <t>Spent wash from spirits
distillation</t>
  </si>
  <si>
    <t>Bryn 3</t>
  </si>
  <si>
    <t>Bryn 4</t>
  </si>
  <si>
    <t>Bryn 5</t>
  </si>
  <si>
    <t>Bryn 7</t>
  </si>
  <si>
    <t>Bryn 8</t>
  </si>
  <si>
    <t>Bryn 10</t>
  </si>
  <si>
    <t>Bryn 11</t>
  </si>
  <si>
    <t>Bryn 12</t>
  </si>
  <si>
    <t>Bryn 13</t>
  </si>
  <si>
    <t xml:space="preserve">Bryn 14 </t>
  </si>
  <si>
    <t>Pencefen 3</t>
  </si>
  <si>
    <t>Pencefen 5</t>
  </si>
  <si>
    <t>Pencefen 4</t>
  </si>
  <si>
    <t>Moderate</t>
  </si>
  <si>
    <t>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</si>
</sst>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0">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27">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5" dataDxfId="93" headerRowBorderDxfId="94" tableBorderDxfId="92" totalsRowBorderDxfId="91">
  <autoFilter ref="AI1:AN26" xr:uid="{F8B5EC87-3095-445A-A980-2CFAA0A7B9A2}"/>
  <sortState xmlns:xlrd2="http://schemas.microsoft.com/office/spreadsheetml/2017/richdata2" ref="AI2:AL25">
    <sortCondition ref="AL1:AL25"/>
  </sortState>
  <tableColumns count="6">
    <tableColumn id="1" xr3:uid="{360F44E4-7249-415F-8D5E-41D249F9A162}" name="Crop" dataDxfId="90"/>
    <tableColumn id="2" xr3:uid="{55E07717-B4EC-4E8A-B9A9-34F3CF85E32D}" name="P Offtake" dataDxfId="89"/>
    <tableColumn id="3" xr3:uid="{7B25FA52-8104-4FE3-AED4-B53CBFDF89B2}" name="K Offtake" dataDxfId="88"/>
    <tableColumn id="4" xr3:uid="{0DBAE461-2D09-43C8-9342-3980D552AE4D}" name="Order" dataDxfId="87"/>
    <tableColumn id="5" xr3:uid="{52CACE7B-0CBA-46FC-9F24-02CBD6100239}" name="Lime pH requirement" dataDxfId="86"/>
    <tableColumn id="6" xr3:uid="{F1432630-9B16-4266-8147-CE754A715307}" name="Column1" dataDxfId="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3" dataDxfId="51" headerRowBorderDxfId="52" tableBorderDxfId="50" totalsRowBorderDxfId="49">
  <autoFilter ref="AI1:AN26" xr:uid="{F8B5EC87-3095-445A-A980-2CFAA0A7B9A2}"/>
  <sortState xmlns:xlrd2="http://schemas.microsoft.com/office/spreadsheetml/2017/richdata2" ref="AI2:AL25">
    <sortCondition ref="AL1:AL25"/>
  </sortState>
  <tableColumns count="6">
    <tableColumn id="1" xr3:uid="{7E96A84B-948F-445F-BD6E-30CC8E6E6DD1}" name="Crop" dataDxfId="48"/>
    <tableColumn id="2" xr3:uid="{12657DDB-F680-47DE-ABB1-8675D5F91E41}" name="P Offtake" dataDxfId="47"/>
    <tableColumn id="3" xr3:uid="{DEB99109-D325-4F98-8A71-E70C03433437}" name="K Offtake" dataDxfId="46"/>
    <tableColumn id="4" xr3:uid="{E96A561F-7E7F-4FB3-97AA-0B35D8C8E93A}" name="Order" dataDxfId="45"/>
    <tableColumn id="5" xr3:uid="{181DD475-0A71-4C52-AF1A-8BFF46F5A827}" name="Lime pH requirement" dataDxfId="44"/>
    <tableColumn id="6" xr3:uid="{AC3FA7E8-D76B-43A3-B715-04446DFF63C6}" name="Column1" dataDxfId="4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1" t="s">
        <v>41</v>
      </c>
      <c r="B1" s="121"/>
      <c r="C1" s="140" t="s">
        <v>160</v>
      </c>
      <c r="D1" s="138"/>
      <c r="E1" s="93" t="s">
        <v>45</v>
      </c>
      <c r="F1" s="96">
        <v>49.2</v>
      </c>
      <c r="G1" s="122" t="s">
        <v>43</v>
      </c>
      <c r="H1" s="123"/>
      <c r="I1" s="96">
        <v>5.43</v>
      </c>
      <c r="J1" s="121" t="s">
        <v>153</v>
      </c>
      <c r="K1" s="121"/>
      <c r="L1" s="96">
        <v>91</v>
      </c>
      <c r="AB1" s="18"/>
      <c r="AC1" s="18"/>
      <c r="AD1" s="30" t="s">
        <v>126</v>
      </c>
      <c r="AE1" s="17"/>
      <c r="AF1" s="17"/>
      <c r="AG1" s="18"/>
      <c r="AH1" s="18"/>
      <c r="AI1" s="40" t="s">
        <v>79</v>
      </c>
      <c r="AJ1" s="41" t="s">
        <v>94</v>
      </c>
      <c r="AK1" s="42" t="s">
        <v>95</v>
      </c>
      <c r="AL1" s="43" t="s">
        <v>125</v>
      </c>
      <c r="AM1" s="43" t="s">
        <v>131</v>
      </c>
      <c r="AN1" s="43" t="s">
        <v>111</v>
      </c>
    </row>
    <row r="2" spans="1:40" ht="13" x14ac:dyDescent="0.3">
      <c r="A2" s="121" t="s">
        <v>87</v>
      </c>
      <c r="B2" s="121"/>
      <c r="C2" s="135" t="s">
        <v>161</v>
      </c>
      <c r="D2" s="136"/>
      <c r="E2" s="93" t="s">
        <v>109</v>
      </c>
      <c r="F2" s="96" t="s">
        <v>165</v>
      </c>
      <c r="G2" s="141" t="s">
        <v>110</v>
      </c>
      <c r="H2" s="142"/>
      <c r="I2" s="96">
        <v>461</v>
      </c>
      <c r="J2" s="121" t="s">
        <v>158</v>
      </c>
      <c r="K2" s="121"/>
      <c r="L2" s="96">
        <v>0.19</v>
      </c>
      <c r="AB2" s="30" t="s">
        <v>56</v>
      </c>
      <c r="AC2" s="17"/>
      <c r="AD2" s="30" t="s">
        <v>70</v>
      </c>
      <c r="AE2" s="17"/>
      <c r="AF2" s="17"/>
      <c r="AG2" s="44" t="s">
        <v>76</v>
      </c>
      <c r="AH2" s="18"/>
      <c r="AI2" s="45" t="s">
        <v>126</v>
      </c>
      <c r="AJ2" s="46">
        <v>0</v>
      </c>
      <c r="AK2" s="47">
        <v>0</v>
      </c>
      <c r="AL2" s="10">
        <v>0</v>
      </c>
      <c r="AM2" s="11">
        <v>0</v>
      </c>
      <c r="AN2" s="11">
        <v>0</v>
      </c>
    </row>
    <row r="3" spans="1:40" ht="13" x14ac:dyDescent="0.25">
      <c r="A3" s="122" t="s">
        <v>42</v>
      </c>
      <c r="B3" s="123"/>
      <c r="C3" s="135" t="s">
        <v>162</v>
      </c>
      <c r="D3" s="136"/>
      <c r="E3" s="93" t="s">
        <v>108</v>
      </c>
      <c r="F3" s="31" t="s">
        <v>77</v>
      </c>
      <c r="G3" s="121" t="s">
        <v>159</v>
      </c>
      <c r="H3" s="121"/>
      <c r="I3" s="96">
        <v>14060</v>
      </c>
      <c r="J3" s="122" t="s">
        <v>154</v>
      </c>
      <c r="K3" s="123"/>
      <c r="L3" s="96">
        <f>(L1/(L2*10000))*100</f>
        <v>4.7894736842105257</v>
      </c>
      <c r="AB3" s="30" t="s">
        <v>57</v>
      </c>
      <c r="AC3" s="17"/>
      <c r="AD3" s="30" t="s">
        <v>71</v>
      </c>
      <c r="AE3" s="17"/>
      <c r="AF3" s="17"/>
      <c r="AG3" s="44" t="s">
        <v>77</v>
      </c>
      <c r="AH3" s="18"/>
      <c r="AI3" s="48" t="s">
        <v>113</v>
      </c>
      <c r="AJ3" s="49">
        <v>1.7</v>
      </c>
      <c r="AK3" s="50">
        <v>6</v>
      </c>
      <c r="AL3" s="51">
        <v>1</v>
      </c>
      <c r="AM3" s="11">
        <v>6.2</v>
      </c>
      <c r="AN3" s="11" t="s">
        <v>112</v>
      </c>
    </row>
    <row r="4" spans="1:40" ht="25" x14ac:dyDescent="0.25">
      <c r="A4" s="121" t="s">
        <v>0</v>
      </c>
      <c r="B4" s="121"/>
      <c r="C4" s="137" t="s">
        <v>163</v>
      </c>
      <c r="D4" s="138"/>
      <c r="E4" s="94" t="s">
        <v>1</v>
      </c>
      <c r="F4" s="119" t="s">
        <v>167</v>
      </c>
      <c r="G4" s="121"/>
      <c r="H4" s="121"/>
      <c r="I4" s="96"/>
      <c r="J4" s="122"/>
      <c r="K4" s="123"/>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1" t="s">
        <v>47</v>
      </c>
      <c r="B5" s="121"/>
      <c r="C5" s="139" t="s">
        <v>164</v>
      </c>
      <c r="D5" s="139"/>
      <c r="E5" s="94"/>
      <c r="F5" s="95"/>
      <c r="G5" s="121"/>
      <c r="H5" s="121"/>
      <c r="I5" s="96"/>
      <c r="J5" s="122"/>
      <c r="K5" s="123"/>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1" t="s">
        <v>2</v>
      </c>
      <c r="B8" s="121"/>
      <c r="C8" s="15" t="s">
        <v>169</v>
      </c>
      <c r="D8" s="15" t="s">
        <v>170</v>
      </c>
      <c r="E8" s="15" t="s">
        <v>171</v>
      </c>
      <c r="F8" s="15" t="s">
        <v>172</v>
      </c>
      <c r="G8" s="15" t="s">
        <v>173</v>
      </c>
      <c r="H8" s="15" t="s">
        <v>174</v>
      </c>
      <c r="I8" s="15" t="s">
        <v>175</v>
      </c>
      <c r="J8" s="15" t="s">
        <v>176</v>
      </c>
      <c r="K8" s="15" t="s">
        <v>177</v>
      </c>
      <c r="L8" s="15" t="s">
        <v>178</v>
      </c>
      <c r="M8" s="15" t="s">
        <v>179</v>
      </c>
      <c r="N8" s="15" t="s">
        <v>181</v>
      </c>
      <c r="O8" s="15" t="s">
        <v>180</v>
      </c>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1" t="s">
        <v>3</v>
      </c>
      <c r="B9" s="121"/>
      <c r="C9" s="15" t="s">
        <v>182</v>
      </c>
      <c r="D9" s="15" t="s">
        <v>183</v>
      </c>
      <c r="E9" s="15" t="s">
        <v>183</v>
      </c>
      <c r="F9" s="15" t="s">
        <v>182</v>
      </c>
      <c r="G9" s="15">
        <v>1</v>
      </c>
      <c r="H9" s="15" t="s">
        <v>182</v>
      </c>
      <c r="I9" s="15" t="s">
        <v>182</v>
      </c>
      <c r="J9" s="15" t="s">
        <v>182</v>
      </c>
      <c r="K9" s="15" t="s">
        <v>182</v>
      </c>
      <c r="L9" s="15" t="s">
        <v>182</v>
      </c>
      <c r="M9" s="15" t="s">
        <v>182</v>
      </c>
      <c r="N9" s="15" t="s">
        <v>182</v>
      </c>
      <c r="O9" s="15" t="s">
        <v>182</v>
      </c>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1" t="s">
        <v>4</v>
      </c>
      <c r="B10" s="121"/>
      <c r="C10" s="15">
        <v>6.4</v>
      </c>
      <c r="D10" s="15">
        <v>6.1</v>
      </c>
      <c r="E10" s="15">
        <v>6.8</v>
      </c>
      <c r="F10" s="15">
        <v>6.8</v>
      </c>
      <c r="G10" s="15">
        <v>6.9</v>
      </c>
      <c r="H10" s="15">
        <v>6.4</v>
      </c>
      <c r="I10" s="15">
        <v>6.6</v>
      </c>
      <c r="J10" s="15">
        <v>6.6</v>
      </c>
      <c r="K10" s="15">
        <v>6.8</v>
      </c>
      <c r="L10" s="15">
        <v>7.1</v>
      </c>
      <c r="M10" s="15">
        <v>6.5</v>
      </c>
      <c r="N10" s="15">
        <v>6.5</v>
      </c>
      <c r="O10" s="15">
        <v>6.5</v>
      </c>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1" t="s">
        <v>5</v>
      </c>
      <c r="B11" s="121"/>
      <c r="C11" s="15">
        <v>3</v>
      </c>
      <c r="D11" s="15">
        <v>3</v>
      </c>
      <c r="E11" s="15">
        <v>2</v>
      </c>
      <c r="F11" s="15">
        <v>3</v>
      </c>
      <c r="G11" s="15">
        <v>3</v>
      </c>
      <c r="H11" s="15">
        <v>3</v>
      </c>
      <c r="I11" s="15">
        <v>3</v>
      </c>
      <c r="J11" s="15">
        <v>3</v>
      </c>
      <c r="K11" s="15">
        <v>2</v>
      </c>
      <c r="L11" s="15">
        <v>3</v>
      </c>
      <c r="M11" s="15">
        <v>3</v>
      </c>
      <c r="N11" s="15">
        <v>3</v>
      </c>
      <c r="O11" s="15">
        <v>3</v>
      </c>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1" t="s">
        <v>6</v>
      </c>
      <c r="B12" s="121"/>
      <c r="C12" s="15">
        <v>2</v>
      </c>
      <c r="D12" s="15">
        <v>1</v>
      </c>
      <c r="E12" s="15">
        <v>1</v>
      </c>
      <c r="F12" s="15">
        <v>1</v>
      </c>
      <c r="G12" s="15">
        <v>2</v>
      </c>
      <c r="H12" s="15">
        <v>2</v>
      </c>
      <c r="I12" s="15">
        <v>2</v>
      </c>
      <c r="J12" s="15">
        <v>3</v>
      </c>
      <c r="K12" s="15">
        <v>2</v>
      </c>
      <c r="L12" s="15">
        <v>1</v>
      </c>
      <c r="M12" s="15">
        <v>3</v>
      </c>
      <c r="N12" s="15">
        <v>3</v>
      </c>
      <c r="O12" s="15">
        <v>3</v>
      </c>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1" t="s">
        <v>7</v>
      </c>
      <c r="B13" s="121"/>
      <c r="C13" s="15">
        <v>2</v>
      </c>
      <c r="D13" s="15">
        <v>0</v>
      </c>
      <c r="E13" s="15">
        <v>1</v>
      </c>
      <c r="F13" s="15">
        <v>1</v>
      </c>
      <c r="G13" s="15">
        <v>2</v>
      </c>
      <c r="H13" s="15">
        <v>2</v>
      </c>
      <c r="I13" s="15">
        <v>2</v>
      </c>
      <c r="J13" s="15">
        <v>2</v>
      </c>
      <c r="K13" s="15">
        <v>2</v>
      </c>
      <c r="L13" s="15">
        <v>1</v>
      </c>
      <c r="M13" s="15">
        <v>2</v>
      </c>
      <c r="N13" s="15">
        <v>2</v>
      </c>
      <c r="O13" s="15">
        <v>3</v>
      </c>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3" t="s">
        <v>8</v>
      </c>
      <c r="B14" s="133"/>
      <c r="C14" s="100" t="s">
        <v>113</v>
      </c>
      <c r="D14" s="100" t="s">
        <v>113</v>
      </c>
      <c r="E14" s="100" t="s">
        <v>113</v>
      </c>
      <c r="F14" s="100" t="s">
        <v>113</v>
      </c>
      <c r="G14" s="100" t="s">
        <v>68</v>
      </c>
      <c r="H14" s="100" t="s">
        <v>113</v>
      </c>
      <c r="I14" s="100" t="s">
        <v>113</v>
      </c>
      <c r="J14" s="100" t="s">
        <v>113</v>
      </c>
      <c r="K14" s="100" t="s">
        <v>113</v>
      </c>
      <c r="L14" s="100" t="s">
        <v>113</v>
      </c>
      <c r="M14" s="100" t="s">
        <v>113</v>
      </c>
      <c r="N14" s="100" t="s">
        <v>113</v>
      </c>
      <c r="O14" s="100" t="s">
        <v>113</v>
      </c>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2" t="s">
        <v>9</v>
      </c>
      <c r="B15" s="132"/>
      <c r="C15" s="15">
        <v>38</v>
      </c>
      <c r="D15" s="15">
        <v>38</v>
      </c>
      <c r="E15" s="15">
        <v>38</v>
      </c>
      <c r="F15" s="15">
        <v>38</v>
      </c>
      <c r="G15" s="15">
        <v>6.5</v>
      </c>
      <c r="H15" s="15">
        <v>38</v>
      </c>
      <c r="I15" s="15">
        <v>38</v>
      </c>
      <c r="J15" s="15">
        <v>38</v>
      </c>
      <c r="K15" s="15">
        <v>38</v>
      </c>
      <c r="L15" s="15">
        <v>38</v>
      </c>
      <c r="M15" s="15">
        <v>38</v>
      </c>
      <c r="N15" s="15">
        <v>38</v>
      </c>
      <c r="O15" s="15">
        <v>38</v>
      </c>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4" t="s">
        <v>44</v>
      </c>
      <c r="B16" s="134"/>
      <c r="C16" s="101" t="s">
        <v>72</v>
      </c>
      <c r="D16" s="101" t="s">
        <v>70</v>
      </c>
      <c r="E16" s="101" t="s">
        <v>70</v>
      </c>
      <c r="F16" s="101" t="s">
        <v>70</v>
      </c>
      <c r="G16" s="101" t="s">
        <v>72</v>
      </c>
      <c r="H16" s="101" t="s">
        <v>72</v>
      </c>
      <c r="I16" s="101" t="s">
        <v>72</v>
      </c>
      <c r="J16" s="101" t="s">
        <v>72</v>
      </c>
      <c r="K16" s="101" t="s">
        <v>72</v>
      </c>
      <c r="L16" s="101" t="s">
        <v>72</v>
      </c>
      <c r="M16" s="101" t="s">
        <v>72</v>
      </c>
      <c r="N16" s="101" t="s">
        <v>72</v>
      </c>
      <c r="O16" s="101" t="s">
        <v>72</v>
      </c>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64.599999999999994</v>
      </c>
      <c r="D17" s="28">
        <f t="shared" ref="D17:V17" si="0">(VLOOKUP(D$14,$AI2:$AK26,2,FALSE))*D$15</f>
        <v>64.599999999999994</v>
      </c>
      <c r="E17" s="28">
        <f t="shared" si="0"/>
        <v>64.599999999999994</v>
      </c>
      <c r="F17" s="28">
        <f t="shared" si="0"/>
        <v>64.599999999999994</v>
      </c>
      <c r="G17" s="28">
        <f t="shared" si="0"/>
        <v>55.25</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64.970469000000008</v>
      </c>
      <c r="D18" s="16">
        <f>$D32</f>
        <v>64.970469000000008</v>
      </c>
      <c r="E18" s="16">
        <f>$D33</f>
        <v>64.970469000000008</v>
      </c>
      <c r="F18" s="16">
        <f>$D34</f>
        <v>64.970469000000008</v>
      </c>
      <c r="G18" s="16">
        <f>$D35</f>
        <v>54.612858000000003</v>
      </c>
      <c r="H18" s="16">
        <f>$D36</f>
        <v>64.970469000000008</v>
      </c>
      <c r="I18" s="16">
        <f>$D37</f>
        <v>64.970469000000008</v>
      </c>
      <c r="J18" s="16">
        <f>$D38</f>
        <v>64.970469000000008</v>
      </c>
      <c r="K18" s="16">
        <f>$D39</f>
        <v>39.547241999999997</v>
      </c>
      <c r="L18" s="16">
        <f>$D40</f>
        <v>64.970469000000008</v>
      </c>
      <c r="M18" s="16">
        <f>$D41</f>
        <v>64.970469000000008</v>
      </c>
      <c r="N18" s="16">
        <f>$D42</f>
        <v>64.970469000000008</v>
      </c>
      <c r="O18" s="16">
        <f>$D43</f>
        <v>64.970469000000008</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0.37046900000001415</v>
      </c>
      <c r="D19" s="16">
        <f t="shared" ref="D19:V19" si="1">D18-D17</f>
        <v>0.37046900000001415</v>
      </c>
      <c r="E19" s="16">
        <f t="shared" si="1"/>
        <v>0.37046900000001415</v>
      </c>
      <c r="F19" s="16">
        <f t="shared" si="1"/>
        <v>0.37046900000001415</v>
      </c>
      <c r="G19" s="16">
        <f t="shared" si="1"/>
        <v>-0.63714199999999721</v>
      </c>
      <c r="H19" s="16">
        <f t="shared" si="1"/>
        <v>0.37046900000001415</v>
      </c>
      <c r="I19" s="16">
        <f t="shared" si="1"/>
        <v>0.37046900000001415</v>
      </c>
      <c r="J19" s="16">
        <f t="shared" si="1"/>
        <v>0.37046900000001415</v>
      </c>
      <c r="K19" s="16">
        <f t="shared" si="1"/>
        <v>-25.052757999999997</v>
      </c>
      <c r="L19" s="16">
        <f t="shared" si="1"/>
        <v>0.37046900000001415</v>
      </c>
      <c r="M19" s="16">
        <f t="shared" si="1"/>
        <v>0.37046900000001415</v>
      </c>
      <c r="N19" s="16">
        <f t="shared" si="1"/>
        <v>0.37046900000001415</v>
      </c>
      <c r="O19" s="16">
        <f t="shared" si="1"/>
        <v>0.37046900000001415</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DECREASE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228</v>
      </c>
      <c r="D21" s="28">
        <f t="shared" ref="D21:V21" si="2">(VLOOKUP(D$14,$AI2:$AK26,3,FALSE))*D$15</f>
        <v>228</v>
      </c>
      <c r="E21" s="28">
        <f t="shared" si="2"/>
        <v>228</v>
      </c>
      <c r="F21" s="28">
        <f t="shared" si="2"/>
        <v>228</v>
      </c>
      <c r="G21" s="28">
        <f t="shared" si="2"/>
        <v>78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18.624480000000002</v>
      </c>
      <c r="D22" s="16">
        <f>$E32</f>
        <v>18.624480000000002</v>
      </c>
      <c r="E22" s="16">
        <f>$E33</f>
        <v>18.624480000000002</v>
      </c>
      <c r="F22" s="16">
        <f>$E34</f>
        <v>18.624480000000002</v>
      </c>
      <c r="G22" s="16">
        <f>$E35</f>
        <v>15.655360000000002</v>
      </c>
      <c r="H22" s="16">
        <f>$E36</f>
        <v>18.624480000000002</v>
      </c>
      <c r="I22" s="16">
        <f>$E37</f>
        <v>18.624480000000002</v>
      </c>
      <c r="J22" s="16">
        <f>$E38</f>
        <v>18.624480000000002</v>
      </c>
      <c r="K22" s="16">
        <f>$E39</f>
        <v>11.336639999999999</v>
      </c>
      <c r="L22" s="16">
        <f>$E40</f>
        <v>18.624480000000002</v>
      </c>
      <c r="M22" s="16">
        <f>$E41</f>
        <v>18.624480000000002</v>
      </c>
      <c r="N22" s="16">
        <f>$E42</f>
        <v>18.624480000000002</v>
      </c>
      <c r="O22" s="16">
        <f>$E43</f>
        <v>18.624480000000002</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-209.37551999999999</v>
      </c>
      <c r="D23" s="16">
        <f t="shared" ref="D23:V23" si="3">D22-D21</f>
        <v>-209.37551999999999</v>
      </c>
      <c r="E23" s="16">
        <f t="shared" si="3"/>
        <v>-209.37551999999999</v>
      </c>
      <c r="F23" s="16">
        <f t="shared" si="3"/>
        <v>-209.37551999999999</v>
      </c>
      <c r="G23" s="16">
        <f t="shared" si="3"/>
        <v>-62.344639999999998</v>
      </c>
      <c r="H23" s="16">
        <f t="shared" si="3"/>
        <v>-209.37551999999999</v>
      </c>
      <c r="I23" s="16">
        <f t="shared" si="3"/>
        <v>-209.37551999999999</v>
      </c>
      <c r="J23" s="16">
        <f t="shared" si="3"/>
        <v>-209.37551999999999</v>
      </c>
      <c r="K23" s="16">
        <f t="shared" si="3"/>
        <v>-216.66336000000001</v>
      </c>
      <c r="L23" s="16">
        <f t="shared" si="3"/>
        <v>-209.37551999999999</v>
      </c>
      <c r="M23" s="16">
        <f t="shared" si="3"/>
        <v>-209.37551999999999</v>
      </c>
      <c r="N23" s="16">
        <f t="shared" si="3"/>
        <v>-209.37551999999999</v>
      </c>
      <c r="O23" s="16">
        <f t="shared" si="3"/>
        <v>-209.37551999999999</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t="s">
        <v>54</v>
      </c>
    </row>
    <row r="28" spans="1:40" s="57" customFormat="1" x14ac:dyDescent="0.35">
      <c r="A28" s="108"/>
      <c r="B28" s="24">
        <v>4.41</v>
      </c>
      <c r="C28" s="15">
        <v>0.19</v>
      </c>
      <c r="D28" s="15">
        <v>411</v>
      </c>
      <c r="E28" s="15">
        <v>224</v>
      </c>
      <c r="F28" s="15">
        <v>40.9</v>
      </c>
      <c r="G28" s="15">
        <v>0.2</v>
      </c>
      <c r="H28" s="15">
        <v>1.32</v>
      </c>
      <c r="I28" s="15">
        <v>0.5</v>
      </c>
      <c r="J28" s="15">
        <v>0.01</v>
      </c>
      <c r="K28" s="15">
        <v>0.05</v>
      </c>
      <c r="L28" s="15">
        <v>0.2</v>
      </c>
      <c r="M28" s="15">
        <v>0.3</v>
      </c>
      <c r="N28" s="15"/>
      <c r="O28" s="15"/>
      <c r="P28" s="15">
        <v>339</v>
      </c>
      <c r="Q28" s="15">
        <v>148</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3</v>
      </c>
      <c r="B31" s="15">
        <v>69</v>
      </c>
      <c r="C31" s="77">
        <f>IF(C$27="%w/w SAR",((C$28*10)*$B31),IF(C$27="%w/w DM",(((C$28*10)*($B$28/100))*$B31),IF(C$27="kg/t SAR",(C$28*$B31),IF(C$27="kg/t DM",((C$28*($B$28/100))*$B31),IF(C$27="mg/kg SAR",((C$28*0.001)*$B31),IF(C$27="mg/kg DM",(((C$28*0.001)*($B$28/100))*$B31),0))))))</f>
        <v>131.1</v>
      </c>
      <c r="D31" s="77">
        <f>(IF(D$27="%w/w SAR",((D$28*10)*$B31),IF(D$27="%w/w DM",(((D$28*10)*($B$28/100))*$B31),IF(D$27="kg/t SAR",(D$28*$B31),IF(D$27="kg/t DM",((D$28*($B$28/100))*$B31),IF(D$27="mg/kg SAR",((D$28*0.001)*$B31),IF(D$27="mg/kg DM",(((D$28*0.001)*($B$28/100))*$B31),"0")))))))*2.291</f>
        <v>64.970469000000008</v>
      </c>
      <c r="E31" s="77">
        <f>(IF(E$27="%w/w SAR",((E$28*10)*$B31),IF(E$27="%w/w DM",(((E$28*10)*($B$28/100))*$B31),IF(E$27="kg/t SAR",(E$28*$B31),IF(E$27="kg/t DM",((E$28*($B$28/100))*$B31),IF(E$27="mg/kg SAR",((E$28*0.001)*$B31),IF(E$27="mg/kg DM",(((E$28*0.001)*($B$28/100))*$B31),"0")))))))*1.205</f>
        <v>18.624480000000002</v>
      </c>
      <c r="F31" s="77">
        <f>(IF(F$27="%w/w SAR",((F$28*10)*$B31),IF(F$27="%w/w DM",(((F$28*10)*($B$28/100))*$B31),IF(F$27="kg/t SAR",(F$28*$B31),IF(F$27="kg/t DM",((F$28*($B$28/100))*$B31),IF(F$27="mg/kg SAR",((F$28*0.001)*$B31),IF(F$27="mg/kg DM",(((F$28*0.001)*($B$28/100))*$B31),"0")))))))*1.658</f>
        <v>4.6790417999999994</v>
      </c>
      <c r="G31" s="77">
        <f t="shared" ref="G31:P31" si="5">IF(G$27="%w/w SAR",((G$28*10)*$B31),IF(G$27="%w/w DM",(((G$28*10)*($B$28/100))*$B31),IF(G$27="kg/t SAR",(G$28*$B31),IF(G$27="kg/t DM",((G$28*($B$28/100))*$B31),IF(G$27="mg/kg SAR",((G$28*0.001)*$B31),IF(G$27="mg/kg DM",(((G$28*0.001)*($B$28/100))*$B31),0))))))</f>
        <v>1.3800000000000002E-2</v>
      </c>
      <c r="H31" s="77">
        <f t="shared" si="5"/>
        <v>9.1079999999999994E-2</v>
      </c>
      <c r="I31" s="77">
        <f t="shared" si="5"/>
        <v>3.4500000000000003E-2</v>
      </c>
      <c r="J31" s="77">
        <f t="shared" si="5"/>
        <v>6.9000000000000008E-4</v>
      </c>
      <c r="K31" s="77">
        <f t="shared" si="5"/>
        <v>3.4500000000000004E-3</v>
      </c>
      <c r="L31" s="77">
        <f t="shared" si="5"/>
        <v>1.3800000000000002E-2</v>
      </c>
      <c r="M31" s="77">
        <f t="shared" si="5"/>
        <v>2.07E-2</v>
      </c>
      <c r="N31" s="77">
        <f t="shared" si="5"/>
        <v>0</v>
      </c>
      <c r="O31" s="77">
        <f t="shared" si="5"/>
        <v>0</v>
      </c>
      <c r="P31" s="77">
        <f t="shared" si="5"/>
        <v>23.391000000000002</v>
      </c>
      <c r="Q31" s="77">
        <f>(IF(Q$27="%w/w SAR",((Q$28*10)*$B31),IF(Q$27="%w/w DM",(((Q$28*10)*($B$28/100))*$B31),IF(Q$27="kg/t SAR",(Q$28*$B31),IF(Q$27="kg/t DM",((Q$28*($B$28/100))*$B31),IF(Q$27="mg/kg SAR",((Q$28*0.001)*$B31),IF(Q$27="mg/kg DM",(((Q$28*0.001)*($B$28/100))*$B31),0)))))))*2.5</f>
        <v>25.53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4</v>
      </c>
      <c r="B32" s="15">
        <v>69</v>
      </c>
      <c r="C32" s="77">
        <f t="shared" ref="C32:C50" si="6">IF(C$27="%w/w SAR",((C$28*10)*$B32),IF(C$27="%w/w DM",(((C$28*10)*($B$28/100))*$B32),IF(C$27="kg/t SAR",(C$28*$B32),IF(C$27="kg/t DM",((C$28*($B$28/100))*$B32),IF(C$27="mg/kg SAR",((C$28*0.001)*$B32),IF(C$27="mg/kg DM",(((C$28*0.001)*($B$28/100))*$B32),0))))))</f>
        <v>131.1</v>
      </c>
      <c r="D32" s="77">
        <f t="shared" ref="D32:D50" si="7">(IF(D$27="%w/w SAR",((D$28*10)*$B32),IF(D$27="%w/w DM",(((D$28*10)*($B$28/100))*$B32),IF(D$27="kg/t SAR",(D$28*$B32),IF(D$27="kg/t DM",((D$28*($B$28/100))*$B32),IF(D$27="mg/kg SAR",((D$28*0.001)*$B32),IF(D$27="mg/kg DM",(((D$28*0.001)*($B$28/100))*$B32),"0")))))))*2.291</f>
        <v>64.970469000000008</v>
      </c>
      <c r="E32" s="77">
        <f t="shared" ref="E32:E50" si="8">(IF(E$27="%w/w SAR",((E$28*10)*$B32),IF(E$27="%w/w DM",(((E$28*10)*($B$28/100))*$B32),IF(E$27="kg/t SAR",(E$28*$B32),IF(E$27="kg/t DM",((E$28*($B$28/100))*$B32),IF(E$27="mg/kg SAR",((E$28*0.001)*$B32),IF(E$27="mg/kg DM",(((E$28*0.001)*($B$28/100))*$B32),"0")))))))*1.205</f>
        <v>18.624480000000002</v>
      </c>
      <c r="F32" s="77">
        <f t="shared" ref="F32:F50" si="9">(IF(F$27="%w/w SAR",((F$28*10)*$B32),IF(F$27="%w/w DM",(((F$28*10)*($B$28/100))*$B32),IF(F$27="kg/t SAR",(F$28*$B32),IF(F$27="kg/t DM",((F$28*($B$28/100))*$B32),IF(F$27="mg/kg SAR",((F$28*0.001)*$B32),IF(F$27="mg/kg DM",(((F$28*0.001)*($B$28/100))*$B32),"0")))))))*1.658</f>
        <v>4.6790417999999994</v>
      </c>
      <c r="G32" s="77">
        <f t="shared" ref="G32:P50" si="10">IF(G$27="%w/w SAR",((G$28*10)*$B32),IF(G$27="%w/w DM",(((G$28*10)*($B$28/100))*$B32),IF(G$27="kg/t SAR",(G$28*$B32),IF(G$27="kg/t DM",((G$28*($B$28/100))*$B32),IF(G$27="mg/kg SAR",((G$28*0.001)*$B32),IF(G$27="mg/kg DM",(((G$28*0.001)*($B$28/100))*$B32),0))))))</f>
        <v>1.3800000000000002E-2</v>
      </c>
      <c r="H32" s="77">
        <f t="shared" si="10"/>
        <v>9.1079999999999994E-2</v>
      </c>
      <c r="I32" s="77">
        <f t="shared" si="10"/>
        <v>3.4500000000000003E-2</v>
      </c>
      <c r="J32" s="77">
        <f t="shared" si="10"/>
        <v>6.9000000000000008E-4</v>
      </c>
      <c r="K32" s="77">
        <f t="shared" si="10"/>
        <v>3.4500000000000004E-3</v>
      </c>
      <c r="L32" s="77">
        <f t="shared" si="10"/>
        <v>1.3800000000000002E-2</v>
      </c>
      <c r="M32" s="77">
        <f t="shared" si="10"/>
        <v>2.07E-2</v>
      </c>
      <c r="N32" s="77">
        <f t="shared" si="10"/>
        <v>0</v>
      </c>
      <c r="O32" s="77">
        <f t="shared" si="10"/>
        <v>0</v>
      </c>
      <c r="P32" s="77">
        <f t="shared" si="10"/>
        <v>23.391000000000002</v>
      </c>
      <c r="Q32" s="77">
        <f t="shared" ref="Q32:Q50" si="11">(IF(Q$27="%w/w SAR",((Q$28*10)*$B32),IF(Q$27="%w/w DM",(((Q$28*10)*($B$28/100))*$B32),IF(Q$27="kg/t SAR",(Q$28*$B32),IF(Q$27="kg/t DM",((Q$28*($B$28/100))*$B32),IF(Q$27="mg/kg SAR",((Q$28*0.001)*$B32),IF(Q$27="mg/kg DM",(((Q$28*0.001)*($B$28/100))*$B32),0)))))))*2.5</f>
        <v>25.53</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Bryn 5</v>
      </c>
      <c r="B33" s="15">
        <v>69</v>
      </c>
      <c r="C33" s="77">
        <f t="shared" si="6"/>
        <v>131.1</v>
      </c>
      <c r="D33" s="77">
        <f t="shared" si="7"/>
        <v>64.970469000000008</v>
      </c>
      <c r="E33" s="77">
        <f t="shared" si="8"/>
        <v>18.624480000000002</v>
      </c>
      <c r="F33" s="77">
        <f t="shared" si="9"/>
        <v>4.6790417999999994</v>
      </c>
      <c r="G33" s="77">
        <f t="shared" si="10"/>
        <v>1.3800000000000002E-2</v>
      </c>
      <c r="H33" s="77">
        <f t="shared" si="10"/>
        <v>9.1079999999999994E-2</v>
      </c>
      <c r="I33" s="77">
        <f t="shared" si="10"/>
        <v>3.4500000000000003E-2</v>
      </c>
      <c r="J33" s="77">
        <f t="shared" si="10"/>
        <v>6.9000000000000008E-4</v>
      </c>
      <c r="K33" s="77">
        <f t="shared" si="10"/>
        <v>3.4500000000000004E-3</v>
      </c>
      <c r="L33" s="77">
        <f t="shared" si="10"/>
        <v>1.3800000000000002E-2</v>
      </c>
      <c r="M33" s="77">
        <f t="shared" si="10"/>
        <v>2.07E-2</v>
      </c>
      <c r="N33" s="77">
        <f t="shared" si="10"/>
        <v>0</v>
      </c>
      <c r="O33" s="77">
        <f t="shared" si="10"/>
        <v>0</v>
      </c>
      <c r="P33" s="77">
        <f t="shared" si="10"/>
        <v>23.391000000000002</v>
      </c>
      <c r="Q33" s="77">
        <f t="shared" si="11"/>
        <v>25.53</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Bryn 7</v>
      </c>
      <c r="B34" s="15">
        <v>69</v>
      </c>
      <c r="C34" s="77">
        <f t="shared" si="6"/>
        <v>131.1</v>
      </c>
      <c r="D34" s="77">
        <f t="shared" si="7"/>
        <v>64.970469000000008</v>
      </c>
      <c r="E34" s="77">
        <f t="shared" si="8"/>
        <v>18.624480000000002</v>
      </c>
      <c r="F34" s="77">
        <f t="shared" si="9"/>
        <v>4.6790417999999994</v>
      </c>
      <c r="G34" s="77">
        <f t="shared" si="10"/>
        <v>1.3800000000000002E-2</v>
      </c>
      <c r="H34" s="77">
        <f t="shared" si="10"/>
        <v>9.1079999999999994E-2</v>
      </c>
      <c r="I34" s="77">
        <f t="shared" si="10"/>
        <v>3.4500000000000003E-2</v>
      </c>
      <c r="J34" s="77">
        <f t="shared" si="10"/>
        <v>6.9000000000000008E-4</v>
      </c>
      <c r="K34" s="77">
        <f t="shared" si="10"/>
        <v>3.4500000000000004E-3</v>
      </c>
      <c r="L34" s="77">
        <f t="shared" si="10"/>
        <v>1.3800000000000002E-2</v>
      </c>
      <c r="M34" s="77">
        <f t="shared" si="10"/>
        <v>2.07E-2</v>
      </c>
      <c r="N34" s="77">
        <f t="shared" si="10"/>
        <v>0</v>
      </c>
      <c r="O34" s="77">
        <f t="shared" si="10"/>
        <v>0</v>
      </c>
      <c r="P34" s="77">
        <f t="shared" si="10"/>
        <v>23.391000000000002</v>
      </c>
      <c r="Q34" s="77">
        <f t="shared" si="11"/>
        <v>25.53</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Bryn 8</v>
      </c>
      <c r="B35" s="15">
        <v>58</v>
      </c>
      <c r="C35" s="77">
        <f t="shared" si="6"/>
        <v>110.19999999999999</v>
      </c>
      <c r="D35" s="77">
        <f t="shared" si="7"/>
        <v>54.612858000000003</v>
      </c>
      <c r="E35" s="77">
        <f t="shared" si="8"/>
        <v>15.655360000000002</v>
      </c>
      <c r="F35" s="77">
        <f t="shared" si="9"/>
        <v>3.9331075999999996</v>
      </c>
      <c r="G35" s="77">
        <f t="shared" si="10"/>
        <v>1.1600000000000001E-2</v>
      </c>
      <c r="H35" s="77">
        <f t="shared" si="10"/>
        <v>7.6560000000000003E-2</v>
      </c>
      <c r="I35" s="77">
        <f t="shared" si="10"/>
        <v>2.9000000000000001E-2</v>
      </c>
      <c r="J35" s="77">
        <f t="shared" si="10"/>
        <v>5.8E-4</v>
      </c>
      <c r="K35" s="77">
        <f t="shared" si="10"/>
        <v>2.9000000000000002E-3</v>
      </c>
      <c r="L35" s="77">
        <f t="shared" si="10"/>
        <v>1.1600000000000001E-2</v>
      </c>
      <c r="M35" s="77">
        <f t="shared" si="10"/>
        <v>1.7399999999999999E-2</v>
      </c>
      <c r="N35" s="77">
        <f t="shared" si="10"/>
        <v>0</v>
      </c>
      <c r="O35" s="77">
        <f t="shared" si="10"/>
        <v>0</v>
      </c>
      <c r="P35" s="77">
        <f t="shared" si="10"/>
        <v>19.662000000000003</v>
      </c>
      <c r="Q35" s="77">
        <f t="shared" si="11"/>
        <v>21.46</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Bryn 10</v>
      </c>
      <c r="B36" s="15">
        <v>69</v>
      </c>
      <c r="C36" s="77">
        <f t="shared" si="6"/>
        <v>131.1</v>
      </c>
      <c r="D36" s="77">
        <f t="shared" si="7"/>
        <v>64.970469000000008</v>
      </c>
      <c r="E36" s="77">
        <f t="shared" si="8"/>
        <v>18.624480000000002</v>
      </c>
      <c r="F36" s="77">
        <f t="shared" si="9"/>
        <v>4.6790417999999994</v>
      </c>
      <c r="G36" s="77">
        <f t="shared" si="10"/>
        <v>1.3800000000000002E-2</v>
      </c>
      <c r="H36" s="77">
        <f t="shared" si="10"/>
        <v>9.1079999999999994E-2</v>
      </c>
      <c r="I36" s="77">
        <f t="shared" si="10"/>
        <v>3.4500000000000003E-2</v>
      </c>
      <c r="J36" s="77">
        <f t="shared" si="10"/>
        <v>6.9000000000000008E-4</v>
      </c>
      <c r="K36" s="77">
        <f t="shared" si="10"/>
        <v>3.4500000000000004E-3</v>
      </c>
      <c r="L36" s="77">
        <f t="shared" si="10"/>
        <v>1.3800000000000002E-2</v>
      </c>
      <c r="M36" s="77">
        <f t="shared" si="10"/>
        <v>2.07E-2</v>
      </c>
      <c r="N36" s="77">
        <f t="shared" si="10"/>
        <v>0</v>
      </c>
      <c r="O36" s="77">
        <f t="shared" si="10"/>
        <v>0</v>
      </c>
      <c r="P36" s="77">
        <f t="shared" si="10"/>
        <v>23.391000000000002</v>
      </c>
      <c r="Q36" s="77">
        <f t="shared" si="11"/>
        <v>25.53</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Bryn 11</v>
      </c>
      <c r="B37" s="15">
        <v>69</v>
      </c>
      <c r="C37" s="77">
        <f t="shared" si="6"/>
        <v>131.1</v>
      </c>
      <c r="D37" s="77">
        <f t="shared" si="7"/>
        <v>64.970469000000008</v>
      </c>
      <c r="E37" s="77">
        <f t="shared" si="8"/>
        <v>18.624480000000002</v>
      </c>
      <c r="F37" s="77">
        <f t="shared" si="9"/>
        <v>4.6790417999999994</v>
      </c>
      <c r="G37" s="77">
        <f t="shared" si="10"/>
        <v>1.3800000000000002E-2</v>
      </c>
      <c r="H37" s="77">
        <f t="shared" si="10"/>
        <v>9.1079999999999994E-2</v>
      </c>
      <c r="I37" s="77">
        <f t="shared" si="10"/>
        <v>3.4500000000000003E-2</v>
      </c>
      <c r="J37" s="77">
        <f t="shared" si="10"/>
        <v>6.9000000000000008E-4</v>
      </c>
      <c r="K37" s="77">
        <f t="shared" si="10"/>
        <v>3.4500000000000004E-3</v>
      </c>
      <c r="L37" s="77">
        <f t="shared" si="10"/>
        <v>1.3800000000000002E-2</v>
      </c>
      <c r="M37" s="77">
        <f t="shared" si="10"/>
        <v>2.07E-2</v>
      </c>
      <c r="N37" s="77">
        <f t="shared" si="10"/>
        <v>0</v>
      </c>
      <c r="O37" s="77">
        <f t="shared" si="10"/>
        <v>0</v>
      </c>
      <c r="P37" s="77">
        <f t="shared" si="10"/>
        <v>23.391000000000002</v>
      </c>
      <c r="Q37" s="77">
        <f t="shared" si="11"/>
        <v>25.53</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Bryn 12</v>
      </c>
      <c r="B38" s="15">
        <v>69</v>
      </c>
      <c r="C38" s="77">
        <f t="shared" si="6"/>
        <v>131.1</v>
      </c>
      <c r="D38" s="77">
        <f t="shared" si="7"/>
        <v>64.970469000000008</v>
      </c>
      <c r="E38" s="77">
        <f t="shared" si="8"/>
        <v>18.624480000000002</v>
      </c>
      <c r="F38" s="77">
        <f t="shared" si="9"/>
        <v>4.6790417999999994</v>
      </c>
      <c r="G38" s="77">
        <f t="shared" si="10"/>
        <v>1.3800000000000002E-2</v>
      </c>
      <c r="H38" s="77">
        <f t="shared" si="10"/>
        <v>9.1079999999999994E-2</v>
      </c>
      <c r="I38" s="77">
        <f t="shared" si="10"/>
        <v>3.4500000000000003E-2</v>
      </c>
      <c r="J38" s="77">
        <f t="shared" si="10"/>
        <v>6.9000000000000008E-4</v>
      </c>
      <c r="K38" s="77">
        <f t="shared" si="10"/>
        <v>3.4500000000000004E-3</v>
      </c>
      <c r="L38" s="77">
        <f t="shared" si="10"/>
        <v>1.3800000000000002E-2</v>
      </c>
      <c r="M38" s="77">
        <f t="shared" si="10"/>
        <v>2.07E-2</v>
      </c>
      <c r="N38" s="77">
        <f t="shared" si="10"/>
        <v>0</v>
      </c>
      <c r="O38" s="77">
        <f t="shared" si="10"/>
        <v>0</v>
      </c>
      <c r="P38" s="77">
        <f t="shared" si="10"/>
        <v>23.391000000000002</v>
      </c>
      <c r="Q38" s="77">
        <f t="shared" si="11"/>
        <v>25.53</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Bryn 13</v>
      </c>
      <c r="B39" s="15">
        <v>42</v>
      </c>
      <c r="C39" s="77">
        <f t="shared" si="6"/>
        <v>79.8</v>
      </c>
      <c r="D39" s="77">
        <f t="shared" si="7"/>
        <v>39.547241999999997</v>
      </c>
      <c r="E39" s="77">
        <f t="shared" si="8"/>
        <v>11.336639999999999</v>
      </c>
      <c r="F39" s="77">
        <f t="shared" si="9"/>
        <v>2.8481123999999998</v>
      </c>
      <c r="G39" s="77">
        <f t="shared" si="10"/>
        <v>8.4000000000000012E-3</v>
      </c>
      <c r="H39" s="77">
        <f t="shared" si="10"/>
        <v>5.5440000000000003E-2</v>
      </c>
      <c r="I39" s="77">
        <f t="shared" si="10"/>
        <v>2.1000000000000001E-2</v>
      </c>
      <c r="J39" s="77">
        <f t="shared" si="10"/>
        <v>4.2000000000000002E-4</v>
      </c>
      <c r="K39" s="77">
        <f t="shared" si="10"/>
        <v>2.1000000000000003E-3</v>
      </c>
      <c r="L39" s="77">
        <f t="shared" si="10"/>
        <v>8.4000000000000012E-3</v>
      </c>
      <c r="M39" s="77">
        <f t="shared" si="10"/>
        <v>1.2599999999999998E-2</v>
      </c>
      <c r="N39" s="77">
        <f t="shared" si="10"/>
        <v>0</v>
      </c>
      <c r="O39" s="77">
        <f t="shared" si="10"/>
        <v>0</v>
      </c>
      <c r="P39" s="77">
        <f t="shared" si="10"/>
        <v>14.238000000000001</v>
      </c>
      <c r="Q39" s="77">
        <f t="shared" si="11"/>
        <v>15.54</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 xml:space="preserve">Bryn 14 </v>
      </c>
      <c r="B40" s="15">
        <v>69</v>
      </c>
      <c r="C40" s="77">
        <f t="shared" si="6"/>
        <v>131.1</v>
      </c>
      <c r="D40" s="77">
        <f t="shared" si="7"/>
        <v>64.970469000000008</v>
      </c>
      <c r="E40" s="77">
        <f t="shared" si="8"/>
        <v>18.624480000000002</v>
      </c>
      <c r="F40" s="77">
        <f t="shared" si="9"/>
        <v>4.6790417999999994</v>
      </c>
      <c r="G40" s="77">
        <f t="shared" si="10"/>
        <v>1.3800000000000002E-2</v>
      </c>
      <c r="H40" s="77">
        <f t="shared" si="10"/>
        <v>9.1079999999999994E-2</v>
      </c>
      <c r="I40" s="77">
        <f t="shared" si="10"/>
        <v>3.4500000000000003E-2</v>
      </c>
      <c r="J40" s="77">
        <f t="shared" si="10"/>
        <v>6.9000000000000008E-4</v>
      </c>
      <c r="K40" s="77">
        <f t="shared" si="10"/>
        <v>3.4500000000000004E-3</v>
      </c>
      <c r="L40" s="77">
        <f t="shared" si="10"/>
        <v>1.3800000000000002E-2</v>
      </c>
      <c r="M40" s="77">
        <f t="shared" si="10"/>
        <v>2.07E-2</v>
      </c>
      <c r="N40" s="77">
        <f t="shared" si="10"/>
        <v>0</v>
      </c>
      <c r="O40" s="77">
        <f t="shared" si="10"/>
        <v>0</v>
      </c>
      <c r="P40" s="77">
        <f t="shared" si="10"/>
        <v>23.391000000000002</v>
      </c>
      <c r="Q40" s="77">
        <f t="shared" si="11"/>
        <v>25.53</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Pencefen 3</v>
      </c>
      <c r="B41" s="15">
        <v>69</v>
      </c>
      <c r="C41" s="77">
        <f t="shared" si="6"/>
        <v>131.1</v>
      </c>
      <c r="D41" s="77">
        <f t="shared" si="7"/>
        <v>64.970469000000008</v>
      </c>
      <c r="E41" s="77">
        <f t="shared" si="8"/>
        <v>18.624480000000002</v>
      </c>
      <c r="F41" s="77">
        <f t="shared" si="9"/>
        <v>4.6790417999999994</v>
      </c>
      <c r="G41" s="77">
        <f t="shared" si="10"/>
        <v>1.3800000000000002E-2</v>
      </c>
      <c r="H41" s="77">
        <f t="shared" si="10"/>
        <v>9.1079999999999994E-2</v>
      </c>
      <c r="I41" s="77">
        <f t="shared" si="10"/>
        <v>3.4500000000000003E-2</v>
      </c>
      <c r="J41" s="77">
        <f t="shared" si="10"/>
        <v>6.9000000000000008E-4</v>
      </c>
      <c r="K41" s="77">
        <f t="shared" si="10"/>
        <v>3.4500000000000004E-3</v>
      </c>
      <c r="L41" s="77">
        <f t="shared" si="10"/>
        <v>1.3800000000000002E-2</v>
      </c>
      <c r="M41" s="77">
        <f t="shared" si="10"/>
        <v>2.07E-2</v>
      </c>
      <c r="N41" s="77">
        <f t="shared" si="10"/>
        <v>0</v>
      </c>
      <c r="O41" s="77">
        <f t="shared" si="10"/>
        <v>0</v>
      </c>
      <c r="P41" s="77">
        <f t="shared" si="10"/>
        <v>23.391000000000002</v>
      </c>
      <c r="Q41" s="77">
        <f t="shared" si="11"/>
        <v>25.53</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t="str">
        <f>N8</f>
        <v>Pencefen 4</v>
      </c>
      <c r="B42" s="15">
        <v>69</v>
      </c>
      <c r="C42" s="77">
        <f t="shared" si="6"/>
        <v>131.1</v>
      </c>
      <c r="D42" s="77">
        <f t="shared" si="7"/>
        <v>64.970469000000008</v>
      </c>
      <c r="E42" s="77">
        <f t="shared" si="8"/>
        <v>18.624480000000002</v>
      </c>
      <c r="F42" s="77">
        <f t="shared" si="9"/>
        <v>4.6790417999999994</v>
      </c>
      <c r="G42" s="77">
        <f t="shared" si="10"/>
        <v>1.3800000000000002E-2</v>
      </c>
      <c r="H42" s="77">
        <f t="shared" si="10"/>
        <v>9.1079999999999994E-2</v>
      </c>
      <c r="I42" s="77">
        <f t="shared" si="10"/>
        <v>3.4500000000000003E-2</v>
      </c>
      <c r="J42" s="77">
        <f t="shared" si="10"/>
        <v>6.9000000000000008E-4</v>
      </c>
      <c r="K42" s="77">
        <f t="shared" si="10"/>
        <v>3.4500000000000004E-3</v>
      </c>
      <c r="L42" s="77">
        <f t="shared" si="10"/>
        <v>1.3800000000000002E-2</v>
      </c>
      <c r="M42" s="77">
        <f t="shared" si="10"/>
        <v>2.07E-2</v>
      </c>
      <c r="N42" s="77">
        <f t="shared" si="10"/>
        <v>0</v>
      </c>
      <c r="O42" s="77">
        <f t="shared" si="10"/>
        <v>0</v>
      </c>
      <c r="P42" s="77">
        <f t="shared" si="10"/>
        <v>23.391000000000002</v>
      </c>
      <c r="Q42" s="77">
        <f t="shared" si="11"/>
        <v>25.53</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t="str">
        <f>O8</f>
        <v>Pencefen 5</v>
      </c>
      <c r="B43" s="15">
        <v>69</v>
      </c>
      <c r="C43" s="77">
        <f t="shared" si="6"/>
        <v>131.1</v>
      </c>
      <c r="D43" s="77">
        <f t="shared" si="7"/>
        <v>64.970469000000008</v>
      </c>
      <c r="E43" s="77">
        <f t="shared" si="8"/>
        <v>18.624480000000002</v>
      </c>
      <c r="F43" s="77">
        <f t="shared" si="9"/>
        <v>4.6790417999999994</v>
      </c>
      <c r="G43" s="77">
        <f t="shared" si="10"/>
        <v>1.3800000000000002E-2</v>
      </c>
      <c r="H43" s="77">
        <f t="shared" si="10"/>
        <v>9.1079999999999994E-2</v>
      </c>
      <c r="I43" s="77">
        <f t="shared" si="10"/>
        <v>3.4500000000000003E-2</v>
      </c>
      <c r="J43" s="77">
        <f t="shared" si="10"/>
        <v>6.9000000000000008E-4</v>
      </c>
      <c r="K43" s="77">
        <f t="shared" si="10"/>
        <v>3.4500000000000004E-3</v>
      </c>
      <c r="L43" s="77">
        <f t="shared" si="10"/>
        <v>1.3800000000000002E-2</v>
      </c>
      <c r="M43" s="77">
        <f t="shared" si="10"/>
        <v>2.07E-2</v>
      </c>
      <c r="N43" s="77">
        <f t="shared" si="10"/>
        <v>0</v>
      </c>
      <c r="O43" s="77">
        <f t="shared" si="10"/>
        <v>0</v>
      </c>
      <c r="P43" s="77">
        <f t="shared" si="10"/>
        <v>23.391000000000002</v>
      </c>
      <c r="Q43" s="77">
        <f t="shared" si="11"/>
        <v>25.53</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3</v>
      </c>
      <c r="C57" s="8" t="str">
        <f t="shared" ref="C57:U57" si="13">D8</f>
        <v>Bryn 4</v>
      </c>
      <c r="D57" s="8" t="str">
        <f t="shared" si="13"/>
        <v>Bryn 5</v>
      </c>
      <c r="E57" s="8" t="str">
        <f t="shared" si="13"/>
        <v>Bryn 7</v>
      </c>
      <c r="F57" s="8" t="str">
        <f t="shared" si="13"/>
        <v>Bryn 8</v>
      </c>
      <c r="G57" s="8" t="str">
        <f t="shared" si="13"/>
        <v>Bryn 10</v>
      </c>
      <c r="H57" s="8" t="str">
        <f t="shared" si="13"/>
        <v>Bryn 11</v>
      </c>
      <c r="I57" s="8" t="str">
        <f t="shared" si="13"/>
        <v>Bryn 12</v>
      </c>
      <c r="J57" s="8" t="str">
        <f t="shared" si="13"/>
        <v>Bryn 13</v>
      </c>
      <c r="K57" s="8" t="str">
        <f t="shared" si="13"/>
        <v xml:space="preserve">Bryn 14 </v>
      </c>
      <c r="L57" s="8" t="str">
        <f t="shared" si="13"/>
        <v>Pencefen 3</v>
      </c>
      <c r="M57" s="8" t="str">
        <f t="shared" si="13"/>
        <v>Pencefen 4</v>
      </c>
      <c r="N57" s="8" t="str">
        <f t="shared" si="13"/>
        <v>Pencefen 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Sandy I Grass</v>
      </c>
      <c r="D58" s="13" t="str">
        <f>E16&amp;" I "&amp;(VLOOKUP(E14,Table24[],6,FALSE))</f>
        <v>Sandy I Grass</v>
      </c>
      <c r="E58" s="13" t="str">
        <f>F16&amp;" I "&amp;(VLOOKUP(F14,Table24[],6,FALSE))</f>
        <v>Sandy I Grass</v>
      </c>
      <c r="F58" s="13" t="str">
        <f>G16&amp;" I "&amp;(VLOOKUP(G14,Table24[],6,FALSE))</f>
        <v>Medium/Clay I Arable</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6.7</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6.4</v>
      </c>
      <c r="C60" s="76">
        <f t="shared" ref="C60:U60" si="14">D10</f>
        <v>6.1</v>
      </c>
      <c r="D60" s="76">
        <f t="shared" si="14"/>
        <v>6.8</v>
      </c>
      <c r="E60" s="76">
        <f t="shared" si="14"/>
        <v>6.8</v>
      </c>
      <c r="F60" s="76">
        <f t="shared" si="14"/>
        <v>6.9</v>
      </c>
      <c r="G60" s="76">
        <f t="shared" si="14"/>
        <v>6.4</v>
      </c>
      <c r="H60" s="76">
        <f t="shared" si="14"/>
        <v>6.6</v>
      </c>
      <c r="I60" s="76">
        <f t="shared" si="14"/>
        <v>6.6</v>
      </c>
      <c r="J60" s="76">
        <f t="shared" si="14"/>
        <v>6.8</v>
      </c>
      <c r="K60" s="76">
        <f t="shared" si="14"/>
        <v>7.1</v>
      </c>
      <c r="L60" s="76">
        <f t="shared" si="14"/>
        <v>6.5</v>
      </c>
      <c r="M60" s="76">
        <f t="shared" si="14"/>
        <v>6.5</v>
      </c>
      <c r="N60" s="76">
        <f t="shared" si="14"/>
        <v>6.5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4.5</v>
      </c>
      <c r="D61" s="76">
        <f t="shared" si="15"/>
        <v>4.5</v>
      </c>
      <c r="E61" s="76">
        <f t="shared" si="15"/>
        <v>4.5</v>
      </c>
      <c r="F61" s="76">
        <f t="shared" si="15"/>
        <v>8</v>
      </c>
      <c r="G61" s="76">
        <f t="shared" si="15"/>
        <v>6</v>
      </c>
      <c r="H61" s="76">
        <f t="shared" si="15"/>
        <v>6</v>
      </c>
      <c r="I61" s="76">
        <f t="shared" si="15"/>
        <v>6</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69</v>
      </c>
      <c r="C62" s="77">
        <f>B32</f>
        <v>69</v>
      </c>
      <c r="D62" s="77">
        <f>B33</f>
        <v>69</v>
      </c>
      <c r="E62" s="77">
        <f>B34</f>
        <v>69</v>
      </c>
      <c r="F62" s="77">
        <f>B35</f>
        <v>58</v>
      </c>
      <c r="G62" s="77">
        <f>B36</f>
        <v>69</v>
      </c>
      <c r="H62" s="77">
        <f>B37</f>
        <v>69</v>
      </c>
      <c r="I62" s="77">
        <f>B38</f>
        <v>69</v>
      </c>
      <c r="J62" s="77">
        <f>B39</f>
        <v>42</v>
      </c>
      <c r="K62" s="77">
        <f>B40</f>
        <v>69</v>
      </c>
      <c r="L62" s="77">
        <f>B41</f>
        <v>69</v>
      </c>
      <c r="M62" s="77">
        <f>B42</f>
        <v>69</v>
      </c>
      <c r="N62" s="77">
        <f>B43</f>
        <v>69</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0.4500000000000024</v>
      </c>
      <c r="D64" s="77">
        <f t="shared" si="17"/>
        <v>-2.6999999999999984</v>
      </c>
      <c r="E64" s="77">
        <f t="shared" si="17"/>
        <v>-2.6999999999999984</v>
      </c>
      <c r="F64" s="77">
        <f t="shared" si="17"/>
        <v>-1.6000000000000014</v>
      </c>
      <c r="G64" s="77">
        <f t="shared" si="17"/>
        <v>-1.2000000000000011</v>
      </c>
      <c r="H64" s="77">
        <f t="shared" si="17"/>
        <v>-2.3999999999999968</v>
      </c>
      <c r="I64" s="77">
        <f t="shared" si="17"/>
        <v>-2.3999999999999968</v>
      </c>
      <c r="J64" s="77">
        <f t="shared" si="17"/>
        <v>-3.5999999999999979</v>
      </c>
      <c r="K64" s="77">
        <f t="shared" si="17"/>
        <v>-5.3999999999999968</v>
      </c>
      <c r="L64" s="77">
        <f t="shared" si="17"/>
        <v>-1.7999999999999989</v>
      </c>
      <c r="M64" s="77">
        <f t="shared" si="17"/>
        <v>-1.7999999999999989</v>
      </c>
      <c r="N64" s="77">
        <f t="shared" si="17"/>
        <v>-1.7999999999999989</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-0.4500000000000024</v>
      </c>
      <c r="D65" s="77">
        <f t="shared" si="18"/>
        <v>2.6999999999999984</v>
      </c>
      <c r="E65" s="77">
        <f t="shared" si="18"/>
        <v>2.6999999999999984</v>
      </c>
      <c r="F65" s="77">
        <f t="shared" si="18"/>
        <v>1.6000000000000014</v>
      </c>
      <c r="G65" s="77">
        <f t="shared" si="18"/>
        <v>1.2000000000000011</v>
      </c>
      <c r="H65" s="77">
        <f t="shared" si="18"/>
        <v>2.3999999999999968</v>
      </c>
      <c r="I65" s="77">
        <f t="shared" si="18"/>
        <v>2.3999999999999968</v>
      </c>
      <c r="J65" s="77">
        <f t="shared" si="18"/>
        <v>3.5999999999999979</v>
      </c>
      <c r="K65" s="77">
        <f t="shared" si="18"/>
        <v>5.3999999999999968</v>
      </c>
      <c r="L65" s="77">
        <f t="shared" si="18"/>
        <v>1.7999999999999989</v>
      </c>
      <c r="M65" s="77">
        <f t="shared" si="18"/>
        <v>1.7999999999999989</v>
      </c>
      <c r="N65" s="77">
        <f t="shared" si="18"/>
        <v>1.7999999999999989</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26" priority="43" operator="equal">
      <formula>"DECREASE"</formula>
    </cfRule>
    <cfRule type="cellIs" dxfId="125" priority="44" operator="equal">
      <formula>"INCREASE"</formula>
    </cfRule>
  </conditionalFormatting>
  <conditionalFormatting sqref="B62:U66 B31:B50">
    <cfRule type="cellIs" dxfId="124" priority="42" operator="greaterThan">
      <formula>$B$51</formula>
    </cfRule>
  </conditionalFormatting>
  <conditionalFormatting sqref="C31:C50">
    <cfRule type="cellIs" dxfId="123" priority="41" operator="greaterThan">
      <formula>$C$51</formula>
    </cfRule>
  </conditionalFormatting>
  <conditionalFormatting sqref="C18:V18">
    <cfRule type="cellIs" dxfId="122" priority="37" operator="equal">
      <formula>0</formula>
    </cfRule>
  </conditionalFormatting>
  <conditionalFormatting sqref="C17:V17">
    <cfRule type="cellIs" dxfId="121" priority="35" operator="equal">
      <formula>0</formula>
    </cfRule>
  </conditionalFormatting>
  <conditionalFormatting sqref="C19:V19">
    <cfRule type="cellIs" dxfId="120" priority="34" operator="equal">
      <formula>0</formula>
    </cfRule>
  </conditionalFormatting>
  <conditionalFormatting sqref="G31:G50">
    <cfRule type="cellIs" dxfId="119" priority="31" operator="greaterThan">
      <formula>$G$51</formula>
    </cfRule>
  </conditionalFormatting>
  <conditionalFormatting sqref="H31:H50">
    <cfRule type="cellIs" dxfId="118" priority="30" operator="greaterThan">
      <formula>$H$51</formula>
    </cfRule>
  </conditionalFormatting>
  <conditionalFormatting sqref="I31:I50">
    <cfRule type="cellIs" dxfId="117" priority="29" operator="greaterThan">
      <formula>$I$51</formula>
    </cfRule>
  </conditionalFormatting>
  <conditionalFormatting sqref="K31:K50">
    <cfRule type="cellIs" dxfId="116" priority="27" operator="greaterThan">
      <formula>$K$51</formula>
    </cfRule>
  </conditionalFormatting>
  <conditionalFormatting sqref="L31:L50">
    <cfRule type="cellIs" dxfId="115" priority="26" operator="greaterThan">
      <formula>$L$51</formula>
    </cfRule>
  </conditionalFormatting>
  <conditionalFormatting sqref="M31:M50">
    <cfRule type="cellIs" dxfId="114" priority="25" operator="greaterThan">
      <formula>$M$51</formula>
    </cfRule>
  </conditionalFormatting>
  <conditionalFormatting sqref="P31:P50">
    <cfRule type="cellIs" dxfId="113" priority="24" operator="greaterThan">
      <formula>$P$51</formula>
    </cfRule>
  </conditionalFormatting>
  <conditionalFormatting sqref="R31:R50">
    <cfRule type="cellIs" dxfId="112" priority="23" operator="greaterThan">
      <formula>$R$51</formula>
    </cfRule>
  </conditionalFormatting>
  <conditionalFormatting sqref="S31:S50">
    <cfRule type="cellIs" dxfId="111" priority="22" operator="greaterThan">
      <formula>$S$51</formula>
    </cfRule>
  </conditionalFormatting>
  <conditionalFormatting sqref="T31:T50">
    <cfRule type="cellIs" dxfId="110" priority="21" operator="greaterThan">
      <formula>$T$51</formula>
    </cfRule>
  </conditionalFormatting>
  <conditionalFormatting sqref="U31:U50">
    <cfRule type="cellIs" dxfId="109" priority="20" operator="greaterThan">
      <formula>$U$51</formula>
    </cfRule>
  </conditionalFormatting>
  <conditionalFormatting sqref="C22:V22">
    <cfRule type="cellIs" dxfId="108" priority="18" operator="equal">
      <formula>0</formula>
    </cfRule>
  </conditionalFormatting>
  <conditionalFormatting sqref="C24:V24">
    <cfRule type="cellIs" dxfId="107" priority="16" operator="equal">
      <formula>"DECREASE"</formula>
    </cfRule>
    <cfRule type="cellIs" dxfId="106" priority="17" operator="equal">
      <formula>"INCREASE"</formula>
    </cfRule>
  </conditionalFormatting>
  <conditionalFormatting sqref="C23:V23">
    <cfRule type="cellIs" dxfId="105" priority="15" operator="equal">
      <formula>0</formula>
    </cfRule>
  </conditionalFormatting>
  <conditionalFormatting sqref="I1">
    <cfRule type="cellIs" dxfId="104" priority="11" operator="between">
      <formula>0.1</formula>
      <formula>5</formula>
    </cfRule>
  </conditionalFormatting>
  <conditionalFormatting sqref="I2">
    <cfRule type="cellIs" dxfId="103" priority="10" operator="greaterThan">
      <formula>5000.1</formula>
    </cfRule>
  </conditionalFormatting>
  <conditionalFormatting sqref="I3">
    <cfRule type="cellIs" dxfId="102" priority="9" operator="greaterThan">
      <formula>40000.01</formula>
    </cfRule>
  </conditionalFormatting>
  <conditionalFormatting sqref="C21:V21">
    <cfRule type="cellIs" dxfId="101" priority="8" operator="equal">
      <formula>0</formula>
    </cfRule>
  </conditionalFormatting>
  <conditionalFormatting sqref="B66:U66">
    <cfRule type="cellIs" dxfId="100" priority="4" operator="equal">
      <formula>"UNDER"</formula>
    </cfRule>
    <cfRule type="cellIs" dxfId="99" priority="5" operator="equal">
      <formula>"OVER"</formula>
    </cfRule>
  </conditionalFormatting>
  <conditionalFormatting sqref="J31:J50">
    <cfRule type="cellIs" dxfId="98" priority="3" operator="greaterThan">
      <formula>$J$51</formula>
    </cfRule>
  </conditionalFormatting>
  <conditionalFormatting sqref="L3">
    <cfRule type="cellIs" dxfId="97" priority="1" operator="lessThan">
      <formula>30</formula>
    </cfRule>
    <cfRule type="cellIs" dxfId="96"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O25" zoomScale="90" zoomScaleNormal="90" workbookViewId="0">
      <selection activeCell="B40" sqref="B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3" t="str">
        <f>'Dairy Partners'!C1:D1</f>
        <v>PAN-021494</v>
      </c>
      <c r="D1" s="144"/>
      <c r="E1" s="93" t="s">
        <v>45</v>
      </c>
      <c r="F1" s="39">
        <f>'Dairy Partners'!F1</f>
        <v>49.2</v>
      </c>
      <c r="G1" s="122" t="s">
        <v>43</v>
      </c>
      <c r="H1" s="123"/>
      <c r="I1" s="118">
        <v>7.1</v>
      </c>
      <c r="J1" s="121" t="s">
        <v>153</v>
      </c>
      <c r="K1" s="121"/>
      <c r="L1" s="97">
        <v>101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5" t="str">
        <f>'Dairy Partners'!C2:D2</f>
        <v>AB3891CX</v>
      </c>
      <c r="D2" s="146"/>
      <c r="E2" s="93" t="s">
        <v>109</v>
      </c>
      <c r="F2" s="96" t="s">
        <v>165</v>
      </c>
      <c r="G2" s="141" t="s">
        <v>110</v>
      </c>
      <c r="H2" s="142"/>
      <c r="I2" s="118">
        <v>830</v>
      </c>
      <c r="J2" s="121" t="s">
        <v>158</v>
      </c>
      <c r="K2" s="121"/>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5" t="str">
        <f>'Dairy Partners'!C3:D3</f>
        <v>Mr Daniel &amp; Mrs Carys James</v>
      </c>
      <c r="D3" s="146"/>
      <c r="E3" s="93" t="s">
        <v>108</v>
      </c>
      <c r="F3" s="31" t="s">
        <v>77</v>
      </c>
      <c r="G3" s="121" t="s">
        <v>159</v>
      </c>
      <c r="H3" s="121"/>
      <c r="I3" s="118">
        <v>200</v>
      </c>
      <c r="J3" s="122" t="s">
        <v>154</v>
      </c>
      <c r="K3" s="123"/>
      <c r="L3" s="97">
        <f>(L1/(L2*10000))*100</f>
        <v>14.428571428571427</v>
      </c>
      <c r="AB3" s="30" t="s">
        <v>57</v>
      </c>
      <c r="AC3" s="17"/>
      <c r="AD3" s="30" t="s">
        <v>71</v>
      </c>
      <c r="AE3" s="17"/>
      <c r="AF3" s="17"/>
      <c r="AG3" s="44" t="s">
        <v>77</v>
      </c>
      <c r="AH3" s="18"/>
      <c r="AI3" s="48" t="s">
        <v>113</v>
      </c>
      <c r="AJ3" s="49">
        <v>1.7</v>
      </c>
      <c r="AK3" s="50">
        <v>6</v>
      </c>
      <c r="AL3" s="51">
        <v>1</v>
      </c>
      <c r="AM3" s="11">
        <v>6.2</v>
      </c>
      <c r="AN3" s="11" t="s">
        <v>112</v>
      </c>
    </row>
    <row r="4" spans="1:41" ht="25" x14ac:dyDescent="0.25">
      <c r="A4" s="121" t="s">
        <v>0</v>
      </c>
      <c r="B4" s="121"/>
      <c r="C4" s="143" t="str">
        <f>'Dairy Partners'!C4:D4</f>
        <v>Bryn farm, Ferwig, Cardigan  SA43 1PL</v>
      </c>
      <c r="D4" s="144"/>
      <c r="E4" s="94" t="s">
        <v>1</v>
      </c>
      <c r="F4" s="120" t="s">
        <v>167</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3" t="str">
        <f>'Dairy Partners'!C5:D5</f>
        <v>Owen Clee</v>
      </c>
      <c r="D5" s="144"/>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t="str">
        <f>'Dairy Partners'!C8</f>
        <v>Bryn 3</v>
      </c>
      <c r="D8" s="60" t="str">
        <f>'Dairy Partners'!D8</f>
        <v>Bryn 4</v>
      </c>
      <c r="E8" s="60" t="str">
        <f>'Dairy Partners'!E8</f>
        <v>Bryn 5</v>
      </c>
      <c r="F8" s="60" t="str">
        <f>'Dairy Partners'!F8</f>
        <v>Bryn 7</v>
      </c>
      <c r="G8" s="60" t="str">
        <f>'Dairy Partners'!G8</f>
        <v>Bryn 8</v>
      </c>
      <c r="H8" s="60" t="str">
        <f>'Dairy Partners'!H8</f>
        <v>Bryn 10</v>
      </c>
      <c r="I8" s="60" t="str">
        <f>'Dairy Partners'!I8</f>
        <v>Bryn 11</v>
      </c>
      <c r="J8" s="60" t="str">
        <f>'Dairy Partners'!J8</f>
        <v>Bryn 12</v>
      </c>
      <c r="K8" s="60" t="str">
        <f>'Dairy Partners'!K8</f>
        <v>Bryn 13</v>
      </c>
      <c r="L8" s="60" t="str">
        <f>'Dairy Partners'!L8</f>
        <v xml:space="preserve">Bryn 14 </v>
      </c>
      <c r="M8" s="60" t="str">
        <f>'Dairy Partners'!M8</f>
        <v>Pencefen 3</v>
      </c>
      <c r="N8" s="60" t="str">
        <f>'Dairy Partners'!N8</f>
        <v>Pencefen 4</v>
      </c>
      <c r="O8" s="60" t="str">
        <f>'Dairy Partners'!O8</f>
        <v>Pencefen 5</v>
      </c>
      <c r="P8" s="60">
        <f>'Dairy Partners'!P8</f>
        <v>0</v>
      </c>
      <c r="Q8" s="60">
        <f>'Dairy Partners'!Q8</f>
        <v>0</v>
      </c>
      <c r="R8" s="60">
        <f>'Dairy Partners'!R8</f>
        <v>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'Dairy Partners'!C9</f>
        <v>Moderate</v>
      </c>
      <c r="D9" s="60" t="str">
        <f>'Dairy Partners'!D9</f>
        <v>Low</v>
      </c>
      <c r="E9" s="60" t="str">
        <f>'Dairy Partners'!E9</f>
        <v>Low</v>
      </c>
      <c r="F9" s="60" t="str">
        <f>'Dairy Partners'!F9</f>
        <v>Moderate</v>
      </c>
      <c r="G9" s="60">
        <f>'Dairy Partners'!G9</f>
        <v>1</v>
      </c>
      <c r="H9" s="60" t="str">
        <f>'Dairy Partners'!H9</f>
        <v>Moderate</v>
      </c>
      <c r="I9" s="60" t="str">
        <f>'Dairy Partners'!I9</f>
        <v>Moderate</v>
      </c>
      <c r="J9" s="60" t="str">
        <f>'Dairy Partners'!J9</f>
        <v>Moderate</v>
      </c>
      <c r="K9" s="60" t="str">
        <f>'Dairy Partners'!K9</f>
        <v>Moderate</v>
      </c>
      <c r="L9" s="60" t="str">
        <f>'Dairy Partners'!L9</f>
        <v>Moderate</v>
      </c>
      <c r="M9" s="60" t="str">
        <f>'Dairy Partners'!M9</f>
        <v>Moderate</v>
      </c>
      <c r="N9" s="60" t="str">
        <f>'Dairy Partners'!N9</f>
        <v>Moderate</v>
      </c>
      <c r="O9" s="60" t="str">
        <f>'Dairy Partners'!O9</f>
        <v>Moderate</v>
      </c>
      <c r="P9" s="60">
        <f>'Dairy Partners'!P9</f>
        <v>0</v>
      </c>
      <c r="Q9" s="60">
        <f>'Dairy Partners'!Q9</f>
        <v>0</v>
      </c>
      <c r="R9" s="60">
        <f>'Dairy Partners'!R9</f>
        <v>0</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'Dairy Partners'!C10</f>
        <v>6.4</v>
      </c>
      <c r="D10" s="60">
        <f>'Dairy Partners'!D10</f>
        <v>6.1</v>
      </c>
      <c r="E10" s="60">
        <f>'Dairy Partners'!E10</f>
        <v>6.8</v>
      </c>
      <c r="F10" s="60">
        <f>'Dairy Partners'!F10</f>
        <v>6.8</v>
      </c>
      <c r="G10" s="60">
        <f>'Dairy Partners'!G10</f>
        <v>6.9</v>
      </c>
      <c r="H10" s="60">
        <f>'Dairy Partners'!H10</f>
        <v>6.4</v>
      </c>
      <c r="I10" s="60">
        <f>'Dairy Partners'!I10</f>
        <v>6.6</v>
      </c>
      <c r="J10" s="60">
        <f>'Dairy Partners'!J10</f>
        <v>6.6</v>
      </c>
      <c r="K10" s="60">
        <f>'Dairy Partners'!K10</f>
        <v>6.8</v>
      </c>
      <c r="L10" s="60">
        <f>'Dairy Partners'!L10</f>
        <v>7.1</v>
      </c>
      <c r="M10" s="60">
        <f>'Dairy Partners'!M10</f>
        <v>6.5</v>
      </c>
      <c r="N10" s="60">
        <f>'Dairy Partners'!N10</f>
        <v>6.5</v>
      </c>
      <c r="O10" s="60">
        <f>'Dairy Partners'!O10</f>
        <v>6.5</v>
      </c>
      <c r="P10" s="60">
        <f>'Dairy Partners'!P10</f>
        <v>0</v>
      </c>
      <c r="Q10" s="60">
        <f>'Dairy Partners'!Q10</f>
        <v>0</v>
      </c>
      <c r="R10" s="60">
        <f>'Dairy Partners'!R10</f>
        <v>0</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'Dairy Partners'!C11</f>
        <v>3</v>
      </c>
      <c r="D11" s="60">
        <f>'Dairy Partners'!D11</f>
        <v>3</v>
      </c>
      <c r="E11" s="60">
        <f>'Dairy Partners'!E11</f>
        <v>2</v>
      </c>
      <c r="F11" s="60">
        <f>'Dairy Partners'!F11</f>
        <v>3</v>
      </c>
      <c r="G11" s="60">
        <f>'Dairy Partners'!G11</f>
        <v>3</v>
      </c>
      <c r="H11" s="60">
        <f>'Dairy Partners'!H11</f>
        <v>3</v>
      </c>
      <c r="I11" s="60">
        <f>'Dairy Partners'!I11</f>
        <v>3</v>
      </c>
      <c r="J11" s="60">
        <f>'Dairy Partners'!J11</f>
        <v>3</v>
      </c>
      <c r="K11" s="60">
        <f>'Dairy Partners'!K11</f>
        <v>2</v>
      </c>
      <c r="L11" s="60">
        <f>'Dairy Partners'!L11</f>
        <v>3</v>
      </c>
      <c r="M11" s="60">
        <f>'Dairy Partners'!M11</f>
        <v>3</v>
      </c>
      <c r="N11" s="60">
        <f>'Dairy Partners'!N11</f>
        <v>3</v>
      </c>
      <c r="O11" s="60">
        <f>'Dairy Partners'!O11</f>
        <v>3</v>
      </c>
      <c r="P11" s="60">
        <f>'Dairy Partners'!P11</f>
        <v>0</v>
      </c>
      <c r="Q11" s="60">
        <f>'Dairy Partners'!Q11</f>
        <v>0</v>
      </c>
      <c r="R11" s="60">
        <f>'Dairy Partners'!R11</f>
        <v>0</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'Dairy Partners'!C12</f>
        <v>2</v>
      </c>
      <c r="D12" s="60">
        <f>'Dairy Partners'!D12</f>
        <v>1</v>
      </c>
      <c r="E12" s="60">
        <f>'Dairy Partners'!E12</f>
        <v>1</v>
      </c>
      <c r="F12" s="60">
        <f>'Dairy Partners'!F12</f>
        <v>1</v>
      </c>
      <c r="G12" s="60">
        <f>'Dairy Partners'!G12</f>
        <v>2</v>
      </c>
      <c r="H12" s="60">
        <f>'Dairy Partners'!H12</f>
        <v>2</v>
      </c>
      <c r="I12" s="60">
        <f>'Dairy Partners'!I12</f>
        <v>2</v>
      </c>
      <c r="J12" s="60">
        <f>'Dairy Partners'!J12</f>
        <v>3</v>
      </c>
      <c r="K12" s="60">
        <f>'Dairy Partners'!K12</f>
        <v>2</v>
      </c>
      <c r="L12" s="60">
        <f>'Dairy Partners'!L12</f>
        <v>1</v>
      </c>
      <c r="M12" s="60">
        <f>'Dairy Partners'!M12</f>
        <v>3</v>
      </c>
      <c r="N12" s="60">
        <f>'Dairy Partners'!N12</f>
        <v>3</v>
      </c>
      <c r="O12" s="60">
        <f>'Dairy Partners'!O12</f>
        <v>3</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'Dairy Partners'!C13</f>
        <v>2</v>
      </c>
      <c r="D13" s="60">
        <f>'Dairy Partners'!D13</f>
        <v>0</v>
      </c>
      <c r="E13" s="60">
        <f>'Dairy Partners'!E13</f>
        <v>1</v>
      </c>
      <c r="F13" s="60">
        <f>'Dairy Partners'!F13</f>
        <v>1</v>
      </c>
      <c r="G13" s="60">
        <f>'Dairy Partners'!G13</f>
        <v>2</v>
      </c>
      <c r="H13" s="60">
        <f>'Dairy Partners'!H13</f>
        <v>2</v>
      </c>
      <c r="I13" s="60">
        <f>'Dairy Partners'!I13</f>
        <v>2</v>
      </c>
      <c r="J13" s="60">
        <f>'Dairy Partners'!J13</f>
        <v>2</v>
      </c>
      <c r="K13" s="60">
        <f>'Dairy Partners'!K13</f>
        <v>2</v>
      </c>
      <c r="L13" s="60">
        <f>'Dairy Partners'!L13</f>
        <v>1</v>
      </c>
      <c r="M13" s="60">
        <f>'Dairy Partners'!M13</f>
        <v>2</v>
      </c>
      <c r="N13" s="60">
        <f>'Dairy Partners'!N13</f>
        <v>2</v>
      </c>
      <c r="O13" s="60">
        <f>'Dairy Partners'!O13</f>
        <v>3</v>
      </c>
      <c r="P13" s="60">
        <f>'Dairy Partners'!P13</f>
        <v>0</v>
      </c>
      <c r="Q13" s="60">
        <f>'Dairy Partners'!Q13</f>
        <v>0</v>
      </c>
      <c r="R13" s="60">
        <f>'Dairy Partners'!R13</f>
        <v>0</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Spring wheat/barley</v>
      </c>
      <c r="H14" s="102" t="str">
        <f>'Dairy Partners'!H14</f>
        <v xml:space="preserve">Grass Silage (25% DM) </v>
      </c>
      <c r="I14" s="102" t="str">
        <f>'Dairy Partners'!I14</f>
        <v xml:space="preserve">Grass Silage (25% DM) </v>
      </c>
      <c r="J14" s="102" t="str">
        <f>'Dairy Partners'!J14</f>
        <v xml:space="preserve">Grass Silage (25% DM) </v>
      </c>
      <c r="K14" s="102" t="str">
        <f>'Dairy Partners'!K14</f>
        <v xml:space="preserve">Grass Silage (25% DM) </v>
      </c>
      <c r="L14" s="102" t="str">
        <f>'Dairy Partners'!L14</f>
        <v xml:space="preserve">Grass Silage (25% DM) </v>
      </c>
      <c r="M14" s="102" t="str">
        <f>'Dairy Partners'!M14</f>
        <v xml:space="preserve">Grass Silage (25% DM) </v>
      </c>
      <c r="N14" s="102" t="str">
        <f>'Dairy Partners'!N14</f>
        <v xml:space="preserve">Grass Silage (25% DM) </v>
      </c>
      <c r="O14" s="102" t="str">
        <f>'Dairy Partners'!O14</f>
        <v xml:space="preserve">Grass Silage (25% DM) </v>
      </c>
      <c r="P14" s="102">
        <f>'Dairy Partners'!P14</f>
        <v>0</v>
      </c>
      <c r="Q14" s="102">
        <f>'Dairy Partners'!Q14</f>
        <v>0</v>
      </c>
      <c r="R14" s="102">
        <f>'Dairy Partners'!R14</f>
        <v>0</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2" t="s">
        <v>9</v>
      </c>
      <c r="B15" s="132"/>
      <c r="C15" s="60">
        <f>'Dairy Partners'!C15</f>
        <v>38</v>
      </c>
      <c r="D15" s="60">
        <f>'Dairy Partners'!D15</f>
        <v>38</v>
      </c>
      <c r="E15" s="60">
        <f>'Dairy Partners'!E15</f>
        <v>38</v>
      </c>
      <c r="F15" s="60">
        <f>'Dairy Partners'!F15</f>
        <v>38</v>
      </c>
      <c r="G15" s="60">
        <f>'Dairy Partners'!G15</f>
        <v>6.5</v>
      </c>
      <c r="H15" s="60">
        <f>'Dairy Partners'!H15</f>
        <v>38</v>
      </c>
      <c r="I15" s="60">
        <f>'Dairy Partners'!I15</f>
        <v>38</v>
      </c>
      <c r="J15" s="60">
        <f>'Dairy Partners'!J15</f>
        <v>38</v>
      </c>
      <c r="K15" s="60">
        <f>'Dairy Partners'!K15</f>
        <v>38</v>
      </c>
      <c r="L15" s="60">
        <f>'Dairy Partners'!L15</f>
        <v>38</v>
      </c>
      <c r="M15" s="60">
        <f>'Dairy Partners'!M15</f>
        <v>38</v>
      </c>
      <c r="N15" s="60">
        <f>'Dairy Partners'!N15</f>
        <v>38</v>
      </c>
      <c r="O15" s="60">
        <f>'Dairy Partners'!O15</f>
        <v>38</v>
      </c>
      <c r="P15" s="60">
        <f>'Dairy Partners'!P15</f>
        <v>0</v>
      </c>
      <c r="Q15" s="60">
        <f>'Dairy Partners'!Q15</f>
        <v>0</v>
      </c>
      <c r="R15" s="60">
        <f>'Dairy Partners'!R15</f>
        <v>0</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'Dairy Partners'!C16</f>
        <v>Medium/Clay</v>
      </c>
      <c r="D16" s="103" t="str">
        <f>'Dairy Partners'!D16</f>
        <v>Sandy</v>
      </c>
      <c r="E16" s="103" t="str">
        <f>'Dairy Partners'!E16</f>
        <v>Sandy</v>
      </c>
      <c r="F16" s="103" t="str">
        <f>'Dairy Partners'!F16</f>
        <v>Sandy</v>
      </c>
      <c r="G16" s="103" t="str">
        <f>'Dairy Partners'!G16</f>
        <v>Medium/Clay</v>
      </c>
      <c r="H16" s="103" t="str">
        <f>'Dairy Partners'!H16</f>
        <v>Medium/Clay</v>
      </c>
      <c r="I16" s="103" t="str">
        <f>'Dairy Partners'!I16</f>
        <v>Medium/Clay</v>
      </c>
      <c r="J16" s="103" t="str">
        <f>'Dairy Partners'!J16</f>
        <v>Medium/Clay</v>
      </c>
      <c r="K16" s="103" t="str">
        <f>'Dairy Partners'!K16</f>
        <v>Medium/Clay</v>
      </c>
      <c r="L16" s="103" t="str">
        <f>'Dairy Partners'!L16</f>
        <v>Medium/Clay</v>
      </c>
      <c r="M16" s="103" t="str">
        <f>'Dairy Partners'!M16</f>
        <v>Medium/Clay</v>
      </c>
      <c r="N16" s="103" t="str">
        <f>'Dairy Partners'!N16</f>
        <v>Medium/Clay</v>
      </c>
      <c r="O16" s="103" t="str">
        <f>'Dairy Partners'!O16</f>
        <v>Medium/Clay</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64.599999999999994</v>
      </c>
      <c r="D17" s="28">
        <f t="shared" ref="D17:V17" si="0">(VLOOKUP(D$14,$AI2:$AK26,2,FALSE))*D$15</f>
        <v>64.599999999999994</v>
      </c>
      <c r="E17" s="28">
        <f t="shared" si="0"/>
        <v>64.599999999999994</v>
      </c>
      <c r="F17" s="28">
        <f t="shared" si="0"/>
        <v>64.599999999999994</v>
      </c>
      <c r="G17" s="28">
        <f t="shared" si="0"/>
        <v>55.25</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64.331280000000007</v>
      </c>
      <c r="D18" s="16">
        <f>$D32</f>
        <v>64.331280000000007</v>
      </c>
      <c r="E18" s="16">
        <f>$D33</f>
        <v>64.331280000000007</v>
      </c>
      <c r="F18" s="16">
        <f>$D34</f>
        <v>64.331280000000007</v>
      </c>
      <c r="G18" s="16">
        <f>$D35</f>
        <v>54.681588000000005</v>
      </c>
      <c r="H18" s="16">
        <f>$D36</f>
        <v>64.331280000000007</v>
      </c>
      <c r="I18" s="16">
        <f>$D37</f>
        <v>64.331280000000007</v>
      </c>
      <c r="J18" s="16">
        <f>$D38</f>
        <v>64.331280000000007</v>
      </c>
      <c r="K18" s="16">
        <f>$D39</f>
        <v>38.598768000000007</v>
      </c>
      <c r="L18" s="16">
        <f>$D40</f>
        <v>64.331280000000007</v>
      </c>
      <c r="M18" s="16">
        <f>$D41</f>
        <v>64.331280000000007</v>
      </c>
      <c r="N18" s="16">
        <f>$D42</f>
        <v>64.331280000000007</v>
      </c>
      <c r="O18" s="16">
        <f>$D43</f>
        <v>64.331280000000007</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-0.26871999999998764</v>
      </c>
      <c r="D19" s="16">
        <f t="shared" ref="D19:V19" si="1">D18-D17</f>
        <v>-0.26871999999998764</v>
      </c>
      <c r="E19" s="16">
        <f t="shared" si="1"/>
        <v>-0.26871999999998764</v>
      </c>
      <c r="F19" s="16">
        <f t="shared" si="1"/>
        <v>-0.26871999999998764</v>
      </c>
      <c r="G19" s="16">
        <f t="shared" si="1"/>
        <v>-0.56841199999999503</v>
      </c>
      <c r="H19" s="16">
        <f t="shared" si="1"/>
        <v>-0.26871999999998764</v>
      </c>
      <c r="I19" s="16">
        <f t="shared" si="1"/>
        <v>-0.26871999999998764</v>
      </c>
      <c r="J19" s="16">
        <f t="shared" si="1"/>
        <v>-0.26871999999998764</v>
      </c>
      <c r="K19" s="16">
        <f t="shared" si="1"/>
        <v>-26.001231999999987</v>
      </c>
      <c r="L19" s="16">
        <f t="shared" si="1"/>
        <v>-0.26871999999998764</v>
      </c>
      <c r="M19" s="16">
        <f t="shared" si="1"/>
        <v>-0.26871999999998764</v>
      </c>
      <c r="N19" s="16">
        <f t="shared" si="1"/>
        <v>-0.26871999999998764</v>
      </c>
      <c r="O19" s="16">
        <f t="shared" si="1"/>
        <v>-0.26871999999998764</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228</v>
      </c>
      <c r="D21" s="28">
        <f t="shared" ref="D21:V21" si="2">(VLOOKUP(D$14,$AI2:$AK26,3,FALSE))*D$15</f>
        <v>228</v>
      </c>
      <c r="E21" s="28">
        <f t="shared" si="2"/>
        <v>228</v>
      </c>
      <c r="F21" s="28">
        <f t="shared" si="2"/>
        <v>228</v>
      </c>
      <c r="G21" s="28">
        <f t="shared" si="2"/>
        <v>78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39.668600000000005</v>
      </c>
      <c r="D22" s="16">
        <f>$E32</f>
        <v>39.668600000000005</v>
      </c>
      <c r="E22" s="16">
        <f>$E33</f>
        <v>39.668600000000005</v>
      </c>
      <c r="F22" s="16">
        <f>$E34</f>
        <v>39.668600000000005</v>
      </c>
      <c r="G22" s="16">
        <f>$E35</f>
        <v>33.718310000000002</v>
      </c>
      <c r="H22" s="16">
        <f>$E36</f>
        <v>39.668600000000005</v>
      </c>
      <c r="I22" s="16">
        <f>$E37</f>
        <v>39.668600000000005</v>
      </c>
      <c r="J22" s="16">
        <f>$E38</f>
        <v>39.668600000000005</v>
      </c>
      <c r="K22" s="16">
        <f>$E39</f>
        <v>23.801160000000003</v>
      </c>
      <c r="L22" s="16">
        <f>$E40</f>
        <v>39.668600000000005</v>
      </c>
      <c r="M22" s="16">
        <f>$E41</f>
        <v>39.668600000000005</v>
      </c>
      <c r="N22" s="16">
        <f>$E42</f>
        <v>39.668600000000005</v>
      </c>
      <c r="O22" s="16">
        <f>$E43</f>
        <v>39.668600000000005</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-188.3314</v>
      </c>
      <c r="D23" s="16">
        <f t="shared" ref="D23:V23" si="3">D22-D21</f>
        <v>-188.3314</v>
      </c>
      <c r="E23" s="16">
        <f t="shared" si="3"/>
        <v>-188.3314</v>
      </c>
      <c r="F23" s="16">
        <f t="shared" si="3"/>
        <v>-188.3314</v>
      </c>
      <c r="G23" s="16">
        <f t="shared" si="3"/>
        <v>-44.281689999999998</v>
      </c>
      <c r="H23" s="16">
        <f t="shared" si="3"/>
        <v>-188.3314</v>
      </c>
      <c r="I23" s="16">
        <f t="shared" si="3"/>
        <v>-188.3314</v>
      </c>
      <c r="J23" s="16">
        <f t="shared" si="3"/>
        <v>-188.3314</v>
      </c>
      <c r="K23" s="16">
        <f t="shared" si="3"/>
        <v>-204.19883999999999</v>
      </c>
      <c r="L23" s="16">
        <f t="shared" si="3"/>
        <v>-188.3314</v>
      </c>
      <c r="M23" s="16">
        <f t="shared" si="3"/>
        <v>-188.3314</v>
      </c>
      <c r="N23" s="16">
        <f t="shared" si="3"/>
        <v>-188.3314</v>
      </c>
      <c r="O23" s="16">
        <f t="shared" si="3"/>
        <v>-188.3314</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 t="shared" ref="C24:V24" si="4">IF($B31="","",IF(C$23&gt;=0,"INCREASE","DECREASE"))</f>
        <v>DECREASE</v>
      </c>
      <c r="D24" s="26" t="str">
        <f t="shared" si="4"/>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1.87</v>
      </c>
      <c r="C28" s="15">
        <v>7.0000000000000007E-2</v>
      </c>
      <c r="D28" s="15">
        <v>702</v>
      </c>
      <c r="E28" s="15">
        <v>823</v>
      </c>
      <c r="F28" s="15">
        <v>158</v>
      </c>
      <c r="G28" s="15">
        <v>0.74</v>
      </c>
      <c r="H28" s="15">
        <v>1.44</v>
      </c>
      <c r="I28" s="15">
        <v>0.5</v>
      </c>
      <c r="J28" s="15">
        <v>0.01</v>
      </c>
      <c r="K28" s="15">
        <v>0.05</v>
      </c>
      <c r="L28" s="15">
        <v>0.24</v>
      </c>
      <c r="M28" s="15">
        <v>0.2</v>
      </c>
      <c r="N28" s="15"/>
      <c r="O28" s="15"/>
      <c r="P28" s="15">
        <v>485</v>
      </c>
      <c r="Q28" s="15">
        <v>157</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3</v>
      </c>
      <c r="B31" s="15">
        <v>40</v>
      </c>
      <c r="C31" s="77">
        <f t="shared" ref="C31:C50" si="5">IF(C$27="%w/w SAR",((C$28*10)*$B31),IF(C$27="%w/w DM",(((C$28*10)*($B$28/100))*$B31),IF(C$27="kg/t SAR",(C$28*$B31),IF(C$27="kg/t DM",((C$28*($B$28/100))*$B31),IF(C$27="mg/kg SAR",((C$28*0.001)*$B31),IF(C$27="mg/kg DM",(((C$28*0.001)*($B$28/100))*$B31),0))))))</f>
        <v>28.000000000000004</v>
      </c>
      <c r="D31" s="77">
        <f t="shared" ref="D31:D50" si="6">(IF(D$27="%w/w SAR",((D$28*10)*$B31),IF(D$27="%w/w DM",(((D$28*10)*($B$28/100))*$B31),IF(D$27="kg/t SAR",(D$28*$B31),IF(D$27="kg/t DM",((D$28*($B$28/100))*$B31),IF(D$27="mg/kg SAR",((D$28*0.001)*$B31),IF(D$27="mg/kg DM",(((D$28*0.001)*($B$28/100))*$B31),"0")))))))*2.291</f>
        <v>64.331280000000007</v>
      </c>
      <c r="E31" s="77">
        <f t="shared" ref="E31:E50" si="7">(IF(E$27="%w/w SAR",((E$28*10)*$B31),IF(E$27="%w/w DM",(((E$28*10)*($B$28/100))*$B31),IF(E$27="kg/t SAR",(E$28*$B31),IF(E$27="kg/t DM",((E$28*($B$28/100))*$B31),IF(E$27="mg/kg SAR",((E$28*0.001)*$B31),IF(E$27="mg/kg DM",(((E$28*0.001)*($B$28/100))*$B31),"0")))))))*1.205</f>
        <v>39.668600000000005</v>
      </c>
      <c r="F31" s="77">
        <f t="shared" ref="F31:F50" si="8">(IF(F$27="%w/w SAR",((F$28*10)*$B31),IF(F$27="%w/w DM",(((F$28*10)*($B$28/100))*$B31),IF(F$27="kg/t SAR",(F$28*$B31),IF(F$27="kg/t DM",((F$28*($B$28/100))*$B31),IF(F$27="mg/kg SAR",((F$28*0.001)*$B31),IF(F$27="mg/kg DM",(((F$28*0.001)*($B$28/100))*$B31),"0")))))))*1.658</f>
        <v>10.47856</v>
      </c>
      <c r="G31" s="77">
        <f t="shared" ref="G31:P40" si="9">IF(G$27="%w/w SAR",((G$28*10)*$B31),IF(G$27="%w/w DM",(((G$28*10)*($B$28/100))*$B31),IF(G$27="kg/t SAR",(G$28*$B31),IF(G$27="kg/t DM",((G$28*($B$28/100))*$B31),IF(G$27="mg/kg SAR",((G$28*0.001)*$B31),IF(G$27="mg/kg DM",(((G$28*0.001)*($B$28/100))*$B31),0))))))</f>
        <v>2.9600000000000001E-2</v>
      </c>
      <c r="H31" s="77">
        <f t="shared" si="9"/>
        <v>5.7599999999999998E-2</v>
      </c>
      <c r="I31" s="77">
        <f t="shared" si="9"/>
        <v>0.02</v>
      </c>
      <c r="J31" s="77">
        <f t="shared" si="9"/>
        <v>4.0000000000000002E-4</v>
      </c>
      <c r="K31" s="77">
        <f t="shared" si="9"/>
        <v>2E-3</v>
      </c>
      <c r="L31" s="77">
        <f t="shared" si="9"/>
        <v>9.6000000000000009E-3</v>
      </c>
      <c r="M31" s="77">
        <f t="shared" si="9"/>
        <v>8.0000000000000002E-3</v>
      </c>
      <c r="N31" s="77">
        <f t="shared" si="9"/>
        <v>0</v>
      </c>
      <c r="O31" s="77">
        <f t="shared" si="9"/>
        <v>0</v>
      </c>
      <c r="P31" s="77">
        <f t="shared" si="9"/>
        <v>19.399999999999999</v>
      </c>
      <c r="Q31" s="77">
        <f t="shared" ref="Q31:Q50" si="10">(IF(Q$27="%w/w SAR",((Q$28*10)*$B31),IF(Q$27="%w/w DM",(((Q$28*10)*($B$28/100))*$B31),IF(Q$27="kg/t SAR",(Q$28*$B31),IF(Q$27="kg/t DM",((Q$28*($B$28/100))*$B31),IF(Q$27="mg/kg SAR",((Q$28*0.001)*$B31),IF(Q$27="mg/kg DM",(((Q$28*0.001)*($B$28/100))*$B31),0)))))))*2.5</f>
        <v>15.700000000000001</v>
      </c>
      <c r="R31" s="77">
        <f t="shared" ref="R31:U50" si="11">IF(R$27="%w/w SAR",((R$28*10)*$B31),IF(R$27="%w/w DM",(((R$28*10)*($B$28/100))*$B31),IF(R$27="kg/t SAR",(R$28*$B31),IF(R$27="kg/t DM",((R$28*($B$28/100))*$B31),IF(R$27="mg/kg SAR",((R$28*0.001)*$B31),IF(R$27="mg/kg DM",(((R$28*0.001)*($B$28/100))*$B31),0))))))</f>
        <v>0</v>
      </c>
      <c r="S31" s="77">
        <f t="shared" si="11"/>
        <v>0</v>
      </c>
      <c r="T31" s="77">
        <f t="shared" si="11"/>
        <v>0</v>
      </c>
      <c r="U31" s="77">
        <f t="shared" si="11"/>
        <v>0</v>
      </c>
      <c r="AB31" s="59"/>
      <c r="AC31" s="59"/>
      <c r="AD31" s="59"/>
      <c r="AE31" s="59"/>
      <c r="AF31" s="59"/>
      <c r="AG31" s="59"/>
      <c r="AH31" s="59"/>
      <c r="AI31" s="59"/>
    </row>
    <row r="32" spans="1:40" s="72" customFormat="1" ht="13" x14ac:dyDescent="0.35">
      <c r="A32" s="13" t="str">
        <f>D8</f>
        <v>Bryn 4</v>
      </c>
      <c r="B32" s="15">
        <v>40</v>
      </c>
      <c r="C32" s="77">
        <f t="shared" si="5"/>
        <v>28.000000000000004</v>
      </c>
      <c r="D32" s="77">
        <f t="shared" si="6"/>
        <v>64.331280000000007</v>
      </c>
      <c r="E32" s="77">
        <f t="shared" si="7"/>
        <v>39.668600000000005</v>
      </c>
      <c r="F32" s="77">
        <f t="shared" si="8"/>
        <v>10.47856</v>
      </c>
      <c r="G32" s="77">
        <f t="shared" si="9"/>
        <v>2.9600000000000001E-2</v>
      </c>
      <c r="H32" s="77">
        <f t="shared" si="9"/>
        <v>5.7599999999999998E-2</v>
      </c>
      <c r="I32" s="77">
        <f t="shared" si="9"/>
        <v>0.02</v>
      </c>
      <c r="J32" s="77">
        <f t="shared" si="9"/>
        <v>4.0000000000000002E-4</v>
      </c>
      <c r="K32" s="77">
        <f t="shared" si="9"/>
        <v>2E-3</v>
      </c>
      <c r="L32" s="77">
        <f t="shared" si="9"/>
        <v>9.6000000000000009E-3</v>
      </c>
      <c r="M32" s="77">
        <f t="shared" si="9"/>
        <v>8.0000000000000002E-3</v>
      </c>
      <c r="N32" s="77">
        <f t="shared" si="9"/>
        <v>0</v>
      </c>
      <c r="O32" s="77">
        <f t="shared" si="9"/>
        <v>0</v>
      </c>
      <c r="P32" s="77">
        <f t="shared" si="9"/>
        <v>19.399999999999999</v>
      </c>
      <c r="Q32" s="77">
        <f t="shared" si="10"/>
        <v>15.700000000000001</v>
      </c>
      <c r="R32" s="77">
        <f t="shared" si="11"/>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5</v>
      </c>
      <c r="B33" s="15">
        <v>40</v>
      </c>
      <c r="C33" s="77">
        <f t="shared" si="5"/>
        <v>28.000000000000004</v>
      </c>
      <c r="D33" s="77">
        <f t="shared" si="6"/>
        <v>64.331280000000007</v>
      </c>
      <c r="E33" s="77">
        <f t="shared" si="7"/>
        <v>39.668600000000005</v>
      </c>
      <c r="F33" s="77">
        <f t="shared" si="8"/>
        <v>10.47856</v>
      </c>
      <c r="G33" s="77">
        <f t="shared" si="9"/>
        <v>2.9600000000000001E-2</v>
      </c>
      <c r="H33" s="77">
        <f t="shared" si="9"/>
        <v>5.7599999999999998E-2</v>
      </c>
      <c r="I33" s="77">
        <f t="shared" si="9"/>
        <v>0.02</v>
      </c>
      <c r="J33" s="77">
        <f t="shared" si="9"/>
        <v>4.0000000000000002E-4</v>
      </c>
      <c r="K33" s="77">
        <f t="shared" si="9"/>
        <v>2E-3</v>
      </c>
      <c r="L33" s="77">
        <f t="shared" si="9"/>
        <v>9.6000000000000009E-3</v>
      </c>
      <c r="M33" s="77">
        <f t="shared" si="9"/>
        <v>8.0000000000000002E-3</v>
      </c>
      <c r="N33" s="77">
        <f t="shared" si="9"/>
        <v>0</v>
      </c>
      <c r="O33" s="77">
        <f t="shared" si="9"/>
        <v>0</v>
      </c>
      <c r="P33" s="77">
        <f t="shared" si="9"/>
        <v>19.399999999999999</v>
      </c>
      <c r="Q33" s="77">
        <f t="shared" si="10"/>
        <v>15.700000000000001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7</v>
      </c>
      <c r="B34" s="15">
        <v>40</v>
      </c>
      <c r="C34" s="77">
        <f t="shared" si="5"/>
        <v>28.000000000000004</v>
      </c>
      <c r="D34" s="77">
        <f t="shared" si="6"/>
        <v>64.331280000000007</v>
      </c>
      <c r="E34" s="77">
        <f t="shared" si="7"/>
        <v>39.668600000000005</v>
      </c>
      <c r="F34" s="77">
        <f t="shared" si="8"/>
        <v>10.47856</v>
      </c>
      <c r="G34" s="77">
        <f t="shared" si="9"/>
        <v>2.9600000000000001E-2</v>
      </c>
      <c r="H34" s="77">
        <f t="shared" si="9"/>
        <v>5.7599999999999998E-2</v>
      </c>
      <c r="I34" s="77">
        <f t="shared" si="9"/>
        <v>0.02</v>
      </c>
      <c r="J34" s="77">
        <f t="shared" si="9"/>
        <v>4.0000000000000002E-4</v>
      </c>
      <c r="K34" s="77">
        <f t="shared" si="9"/>
        <v>2E-3</v>
      </c>
      <c r="L34" s="77">
        <f t="shared" si="9"/>
        <v>9.6000000000000009E-3</v>
      </c>
      <c r="M34" s="77">
        <f t="shared" si="9"/>
        <v>8.0000000000000002E-3</v>
      </c>
      <c r="N34" s="77">
        <f t="shared" si="9"/>
        <v>0</v>
      </c>
      <c r="O34" s="77">
        <f t="shared" si="9"/>
        <v>0</v>
      </c>
      <c r="P34" s="77">
        <f t="shared" si="9"/>
        <v>19.399999999999999</v>
      </c>
      <c r="Q34" s="77">
        <f t="shared" si="10"/>
        <v>15.700000000000001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8</v>
      </c>
      <c r="B35" s="15">
        <v>34</v>
      </c>
      <c r="C35" s="77">
        <f t="shared" si="5"/>
        <v>23.8</v>
      </c>
      <c r="D35" s="77">
        <f t="shared" si="6"/>
        <v>54.681588000000005</v>
      </c>
      <c r="E35" s="77">
        <f t="shared" si="7"/>
        <v>33.718310000000002</v>
      </c>
      <c r="F35" s="77">
        <f t="shared" si="8"/>
        <v>8.9067759999999989</v>
      </c>
      <c r="G35" s="77">
        <f t="shared" si="9"/>
        <v>2.5159999999999998E-2</v>
      </c>
      <c r="H35" s="77">
        <f t="shared" si="9"/>
        <v>4.8959999999999997E-2</v>
      </c>
      <c r="I35" s="77">
        <f t="shared" si="9"/>
        <v>1.7000000000000001E-2</v>
      </c>
      <c r="J35" s="77">
        <f t="shared" si="9"/>
        <v>3.4000000000000002E-4</v>
      </c>
      <c r="K35" s="77">
        <f t="shared" si="9"/>
        <v>1.7000000000000001E-3</v>
      </c>
      <c r="L35" s="77">
        <f t="shared" si="9"/>
        <v>8.1600000000000006E-3</v>
      </c>
      <c r="M35" s="77">
        <f t="shared" si="9"/>
        <v>6.8000000000000005E-3</v>
      </c>
      <c r="N35" s="77">
        <f t="shared" si="9"/>
        <v>0</v>
      </c>
      <c r="O35" s="77">
        <f t="shared" si="9"/>
        <v>0</v>
      </c>
      <c r="P35" s="77">
        <f t="shared" si="9"/>
        <v>16.489999999999998</v>
      </c>
      <c r="Q35" s="77">
        <f t="shared" si="10"/>
        <v>13.345000000000001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10</v>
      </c>
      <c r="B36" s="15">
        <v>40</v>
      </c>
      <c r="C36" s="77">
        <f t="shared" si="5"/>
        <v>28.000000000000004</v>
      </c>
      <c r="D36" s="77">
        <f t="shared" si="6"/>
        <v>64.331280000000007</v>
      </c>
      <c r="E36" s="77">
        <f t="shared" si="7"/>
        <v>39.668600000000005</v>
      </c>
      <c r="F36" s="77">
        <f t="shared" si="8"/>
        <v>10.47856</v>
      </c>
      <c r="G36" s="77">
        <f t="shared" si="9"/>
        <v>2.9600000000000001E-2</v>
      </c>
      <c r="H36" s="77">
        <f t="shared" si="9"/>
        <v>5.7599999999999998E-2</v>
      </c>
      <c r="I36" s="77">
        <f t="shared" si="9"/>
        <v>0.02</v>
      </c>
      <c r="J36" s="77">
        <f t="shared" si="9"/>
        <v>4.0000000000000002E-4</v>
      </c>
      <c r="K36" s="77">
        <f t="shared" si="9"/>
        <v>2E-3</v>
      </c>
      <c r="L36" s="77">
        <f t="shared" si="9"/>
        <v>9.6000000000000009E-3</v>
      </c>
      <c r="M36" s="77">
        <f t="shared" si="9"/>
        <v>8.0000000000000002E-3</v>
      </c>
      <c r="N36" s="77">
        <f t="shared" si="9"/>
        <v>0</v>
      </c>
      <c r="O36" s="77">
        <f t="shared" si="9"/>
        <v>0</v>
      </c>
      <c r="P36" s="77">
        <f t="shared" si="9"/>
        <v>19.399999999999999</v>
      </c>
      <c r="Q36" s="77">
        <f t="shared" si="10"/>
        <v>15.700000000000001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11</v>
      </c>
      <c r="B37" s="15">
        <v>40</v>
      </c>
      <c r="C37" s="77">
        <f t="shared" si="5"/>
        <v>28.000000000000004</v>
      </c>
      <c r="D37" s="77">
        <f t="shared" si="6"/>
        <v>64.331280000000007</v>
      </c>
      <c r="E37" s="77">
        <f t="shared" si="7"/>
        <v>39.668600000000005</v>
      </c>
      <c r="F37" s="77">
        <f t="shared" si="8"/>
        <v>10.47856</v>
      </c>
      <c r="G37" s="77">
        <f t="shared" si="9"/>
        <v>2.9600000000000001E-2</v>
      </c>
      <c r="H37" s="77">
        <f t="shared" si="9"/>
        <v>5.7599999999999998E-2</v>
      </c>
      <c r="I37" s="77">
        <f t="shared" si="9"/>
        <v>0.02</v>
      </c>
      <c r="J37" s="77">
        <f t="shared" si="9"/>
        <v>4.0000000000000002E-4</v>
      </c>
      <c r="K37" s="77">
        <f t="shared" si="9"/>
        <v>2E-3</v>
      </c>
      <c r="L37" s="77">
        <f t="shared" si="9"/>
        <v>9.6000000000000009E-3</v>
      </c>
      <c r="M37" s="77">
        <f t="shared" si="9"/>
        <v>8.0000000000000002E-3</v>
      </c>
      <c r="N37" s="77">
        <f t="shared" si="9"/>
        <v>0</v>
      </c>
      <c r="O37" s="77">
        <f t="shared" si="9"/>
        <v>0</v>
      </c>
      <c r="P37" s="77">
        <f t="shared" si="9"/>
        <v>19.399999999999999</v>
      </c>
      <c r="Q37" s="77">
        <f t="shared" si="10"/>
        <v>15.700000000000001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Bryn 12</v>
      </c>
      <c r="B38" s="15">
        <v>40</v>
      </c>
      <c r="C38" s="77">
        <f t="shared" si="5"/>
        <v>28.000000000000004</v>
      </c>
      <c r="D38" s="77">
        <f t="shared" si="6"/>
        <v>64.331280000000007</v>
      </c>
      <c r="E38" s="77">
        <f t="shared" si="7"/>
        <v>39.668600000000005</v>
      </c>
      <c r="F38" s="77">
        <f t="shared" si="8"/>
        <v>10.47856</v>
      </c>
      <c r="G38" s="77">
        <f t="shared" si="9"/>
        <v>2.9600000000000001E-2</v>
      </c>
      <c r="H38" s="77">
        <f t="shared" si="9"/>
        <v>5.7599999999999998E-2</v>
      </c>
      <c r="I38" s="77">
        <f t="shared" si="9"/>
        <v>0.02</v>
      </c>
      <c r="J38" s="77">
        <f t="shared" si="9"/>
        <v>4.0000000000000002E-4</v>
      </c>
      <c r="K38" s="77">
        <f t="shared" si="9"/>
        <v>2E-3</v>
      </c>
      <c r="L38" s="77">
        <f t="shared" si="9"/>
        <v>9.6000000000000009E-3</v>
      </c>
      <c r="M38" s="77">
        <f t="shared" si="9"/>
        <v>8.0000000000000002E-3</v>
      </c>
      <c r="N38" s="77">
        <f t="shared" si="9"/>
        <v>0</v>
      </c>
      <c r="O38" s="77">
        <f t="shared" si="9"/>
        <v>0</v>
      </c>
      <c r="P38" s="77">
        <f t="shared" si="9"/>
        <v>19.399999999999999</v>
      </c>
      <c r="Q38" s="77">
        <f t="shared" si="10"/>
        <v>15.700000000000001</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Bryn 13</v>
      </c>
      <c r="B39" s="15">
        <v>24</v>
      </c>
      <c r="C39" s="77">
        <f t="shared" si="5"/>
        <v>16.8</v>
      </c>
      <c r="D39" s="77">
        <f t="shared" si="6"/>
        <v>38.598768000000007</v>
      </c>
      <c r="E39" s="77">
        <f t="shared" si="7"/>
        <v>23.801160000000003</v>
      </c>
      <c r="F39" s="77">
        <f t="shared" si="8"/>
        <v>6.2871359999999994</v>
      </c>
      <c r="G39" s="77">
        <f t="shared" si="9"/>
        <v>1.7759999999999998E-2</v>
      </c>
      <c r="H39" s="77">
        <f t="shared" si="9"/>
        <v>3.4559999999999994E-2</v>
      </c>
      <c r="I39" s="77">
        <f t="shared" si="9"/>
        <v>1.2E-2</v>
      </c>
      <c r="J39" s="77">
        <f t="shared" si="9"/>
        <v>2.4000000000000003E-4</v>
      </c>
      <c r="K39" s="77">
        <f t="shared" si="9"/>
        <v>1.2000000000000001E-3</v>
      </c>
      <c r="L39" s="77">
        <f t="shared" si="9"/>
        <v>5.7600000000000004E-3</v>
      </c>
      <c r="M39" s="77">
        <f t="shared" si="9"/>
        <v>4.8000000000000004E-3</v>
      </c>
      <c r="N39" s="77">
        <f t="shared" si="9"/>
        <v>0</v>
      </c>
      <c r="O39" s="77">
        <f t="shared" si="9"/>
        <v>0</v>
      </c>
      <c r="P39" s="77">
        <f t="shared" si="9"/>
        <v>11.64</v>
      </c>
      <c r="Q39" s="77">
        <f t="shared" si="10"/>
        <v>9.42</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 xml:space="preserve">Bryn 14 </v>
      </c>
      <c r="B40" s="15">
        <v>40</v>
      </c>
      <c r="C40" s="77">
        <f t="shared" si="5"/>
        <v>28.000000000000004</v>
      </c>
      <c r="D40" s="77">
        <f t="shared" si="6"/>
        <v>64.331280000000007</v>
      </c>
      <c r="E40" s="77">
        <f t="shared" si="7"/>
        <v>39.668600000000005</v>
      </c>
      <c r="F40" s="77">
        <f t="shared" si="8"/>
        <v>10.47856</v>
      </c>
      <c r="G40" s="77">
        <f t="shared" si="9"/>
        <v>2.9600000000000001E-2</v>
      </c>
      <c r="H40" s="77">
        <f t="shared" si="9"/>
        <v>5.7599999999999998E-2</v>
      </c>
      <c r="I40" s="77">
        <f t="shared" si="9"/>
        <v>0.02</v>
      </c>
      <c r="J40" s="77">
        <f t="shared" si="9"/>
        <v>4.0000000000000002E-4</v>
      </c>
      <c r="K40" s="77">
        <f t="shared" si="9"/>
        <v>2E-3</v>
      </c>
      <c r="L40" s="77">
        <f t="shared" si="9"/>
        <v>9.6000000000000009E-3</v>
      </c>
      <c r="M40" s="77">
        <f t="shared" si="9"/>
        <v>8.0000000000000002E-3</v>
      </c>
      <c r="N40" s="77">
        <f t="shared" si="9"/>
        <v>0</v>
      </c>
      <c r="O40" s="77">
        <f t="shared" si="9"/>
        <v>0</v>
      </c>
      <c r="P40" s="77">
        <f t="shared" si="9"/>
        <v>19.399999999999999</v>
      </c>
      <c r="Q40" s="77">
        <f t="shared" si="10"/>
        <v>15.700000000000001</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Pencefen 3</v>
      </c>
      <c r="B41" s="15">
        <v>40</v>
      </c>
      <c r="C41" s="77">
        <f t="shared" si="5"/>
        <v>28.000000000000004</v>
      </c>
      <c r="D41" s="77">
        <f t="shared" si="6"/>
        <v>64.331280000000007</v>
      </c>
      <c r="E41" s="77">
        <f t="shared" si="7"/>
        <v>39.668600000000005</v>
      </c>
      <c r="F41" s="77">
        <f t="shared" si="8"/>
        <v>10.47856</v>
      </c>
      <c r="G41" s="77">
        <f t="shared" ref="G41:P50" si="12">IF(G$27="%w/w SAR",((G$28*10)*$B41),IF(G$27="%w/w DM",(((G$28*10)*($B$28/100))*$B41),IF(G$27="kg/t SAR",(G$28*$B41),IF(G$27="kg/t DM",((G$28*($B$28/100))*$B41),IF(G$27="mg/kg SAR",((G$28*0.001)*$B41),IF(G$27="mg/kg DM",(((G$28*0.001)*($B$28/100))*$B41),0))))))</f>
        <v>2.9600000000000001E-2</v>
      </c>
      <c r="H41" s="77">
        <f t="shared" si="12"/>
        <v>5.7599999999999998E-2</v>
      </c>
      <c r="I41" s="77">
        <f t="shared" si="12"/>
        <v>0.02</v>
      </c>
      <c r="J41" s="77">
        <f t="shared" si="12"/>
        <v>4.0000000000000002E-4</v>
      </c>
      <c r="K41" s="77">
        <f t="shared" si="12"/>
        <v>2E-3</v>
      </c>
      <c r="L41" s="77">
        <f t="shared" si="12"/>
        <v>9.6000000000000009E-3</v>
      </c>
      <c r="M41" s="77">
        <f t="shared" si="12"/>
        <v>8.0000000000000002E-3</v>
      </c>
      <c r="N41" s="77">
        <f t="shared" si="12"/>
        <v>0</v>
      </c>
      <c r="O41" s="77">
        <f t="shared" si="12"/>
        <v>0</v>
      </c>
      <c r="P41" s="77">
        <f t="shared" si="12"/>
        <v>19.399999999999999</v>
      </c>
      <c r="Q41" s="77">
        <f t="shared" si="10"/>
        <v>15.700000000000001</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Pencefen 4</v>
      </c>
      <c r="B42" s="15">
        <v>40</v>
      </c>
      <c r="C42" s="77">
        <f t="shared" si="5"/>
        <v>28.000000000000004</v>
      </c>
      <c r="D42" s="77">
        <f t="shared" si="6"/>
        <v>64.331280000000007</v>
      </c>
      <c r="E42" s="77">
        <f t="shared" si="7"/>
        <v>39.668600000000005</v>
      </c>
      <c r="F42" s="77">
        <f t="shared" si="8"/>
        <v>10.47856</v>
      </c>
      <c r="G42" s="77">
        <f t="shared" si="12"/>
        <v>2.9600000000000001E-2</v>
      </c>
      <c r="H42" s="77">
        <f t="shared" si="12"/>
        <v>5.7599999999999998E-2</v>
      </c>
      <c r="I42" s="77">
        <f t="shared" si="12"/>
        <v>0.02</v>
      </c>
      <c r="J42" s="77">
        <f t="shared" si="12"/>
        <v>4.0000000000000002E-4</v>
      </c>
      <c r="K42" s="77">
        <f t="shared" si="12"/>
        <v>2E-3</v>
      </c>
      <c r="L42" s="77">
        <f t="shared" si="12"/>
        <v>9.6000000000000009E-3</v>
      </c>
      <c r="M42" s="77">
        <f t="shared" si="12"/>
        <v>8.0000000000000002E-3</v>
      </c>
      <c r="N42" s="77">
        <f t="shared" si="12"/>
        <v>0</v>
      </c>
      <c r="O42" s="77">
        <f t="shared" si="12"/>
        <v>0</v>
      </c>
      <c r="P42" s="77">
        <f t="shared" si="12"/>
        <v>19.399999999999999</v>
      </c>
      <c r="Q42" s="77">
        <f t="shared" si="10"/>
        <v>15.700000000000001</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Pencefen 5</v>
      </c>
      <c r="B43" s="15">
        <v>40</v>
      </c>
      <c r="C43" s="77">
        <f t="shared" si="5"/>
        <v>28.000000000000004</v>
      </c>
      <c r="D43" s="77">
        <f t="shared" si="6"/>
        <v>64.331280000000007</v>
      </c>
      <c r="E43" s="77">
        <f t="shared" si="7"/>
        <v>39.668600000000005</v>
      </c>
      <c r="F43" s="77">
        <f t="shared" si="8"/>
        <v>10.47856</v>
      </c>
      <c r="G43" s="77">
        <f t="shared" si="12"/>
        <v>2.9600000000000001E-2</v>
      </c>
      <c r="H43" s="77">
        <f t="shared" si="12"/>
        <v>5.7599999999999998E-2</v>
      </c>
      <c r="I43" s="77">
        <f t="shared" si="12"/>
        <v>0.02</v>
      </c>
      <c r="J43" s="77">
        <f t="shared" si="12"/>
        <v>4.0000000000000002E-4</v>
      </c>
      <c r="K43" s="77">
        <f t="shared" si="12"/>
        <v>2E-3</v>
      </c>
      <c r="L43" s="77">
        <f t="shared" si="12"/>
        <v>9.6000000000000009E-3</v>
      </c>
      <c r="M43" s="77">
        <f t="shared" si="12"/>
        <v>8.0000000000000002E-3</v>
      </c>
      <c r="N43" s="77">
        <f t="shared" si="12"/>
        <v>0</v>
      </c>
      <c r="O43" s="77">
        <f t="shared" si="12"/>
        <v>0</v>
      </c>
      <c r="P43" s="77">
        <f t="shared" si="12"/>
        <v>19.399999999999999</v>
      </c>
      <c r="Q43" s="77">
        <f t="shared" si="10"/>
        <v>15.700000000000001</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5"/>
        <v>0</v>
      </c>
      <c r="D44" s="77">
        <f t="shared" si="6"/>
        <v>0</v>
      </c>
      <c r="E44" s="77">
        <f t="shared" si="7"/>
        <v>0</v>
      </c>
      <c r="F44" s="77">
        <f t="shared" si="8"/>
        <v>0</v>
      </c>
      <c r="G44" s="77">
        <f t="shared" si="12"/>
        <v>0</v>
      </c>
      <c r="H44" s="77">
        <f t="shared" si="12"/>
        <v>0</v>
      </c>
      <c r="I44" s="77">
        <f t="shared" si="12"/>
        <v>0</v>
      </c>
      <c r="J44" s="77">
        <f t="shared" si="12"/>
        <v>0</v>
      </c>
      <c r="K44" s="77">
        <f t="shared" si="12"/>
        <v>0</v>
      </c>
      <c r="L44" s="77">
        <f t="shared" si="12"/>
        <v>0</v>
      </c>
      <c r="M44" s="77">
        <f t="shared" si="12"/>
        <v>0</v>
      </c>
      <c r="N44" s="77">
        <f t="shared" si="12"/>
        <v>0</v>
      </c>
      <c r="O44" s="77">
        <f t="shared" si="12"/>
        <v>0</v>
      </c>
      <c r="P44" s="77">
        <f t="shared" si="12"/>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5"/>
        <v>0</v>
      </c>
      <c r="D45" s="77">
        <f t="shared" si="6"/>
        <v>0</v>
      </c>
      <c r="E45" s="77">
        <f t="shared" si="7"/>
        <v>0</v>
      </c>
      <c r="F45" s="77">
        <f t="shared" si="8"/>
        <v>0</v>
      </c>
      <c r="G45" s="77">
        <f t="shared" si="12"/>
        <v>0</v>
      </c>
      <c r="H45" s="77">
        <f t="shared" si="12"/>
        <v>0</v>
      </c>
      <c r="I45" s="77">
        <f t="shared" si="12"/>
        <v>0</v>
      </c>
      <c r="J45" s="77">
        <f t="shared" si="12"/>
        <v>0</v>
      </c>
      <c r="K45" s="77">
        <f t="shared" si="12"/>
        <v>0</v>
      </c>
      <c r="L45" s="77">
        <f t="shared" si="12"/>
        <v>0</v>
      </c>
      <c r="M45" s="77">
        <f t="shared" si="12"/>
        <v>0</v>
      </c>
      <c r="N45" s="77">
        <f t="shared" si="12"/>
        <v>0</v>
      </c>
      <c r="O45" s="77">
        <f t="shared" si="12"/>
        <v>0</v>
      </c>
      <c r="P45" s="77">
        <f t="shared" si="12"/>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5"/>
        <v>0</v>
      </c>
      <c r="D46" s="77">
        <f t="shared" si="6"/>
        <v>0</v>
      </c>
      <c r="E46" s="77">
        <f t="shared" si="7"/>
        <v>0</v>
      </c>
      <c r="F46" s="77">
        <f t="shared" si="8"/>
        <v>0</v>
      </c>
      <c r="G46" s="77">
        <f t="shared" si="12"/>
        <v>0</v>
      </c>
      <c r="H46" s="77">
        <f t="shared" si="12"/>
        <v>0</v>
      </c>
      <c r="I46" s="77">
        <f t="shared" si="12"/>
        <v>0</v>
      </c>
      <c r="J46" s="77">
        <f t="shared" si="12"/>
        <v>0</v>
      </c>
      <c r="K46" s="77">
        <f t="shared" si="12"/>
        <v>0</v>
      </c>
      <c r="L46" s="77">
        <f t="shared" si="12"/>
        <v>0</v>
      </c>
      <c r="M46" s="77">
        <f t="shared" si="12"/>
        <v>0</v>
      </c>
      <c r="N46" s="77">
        <f t="shared" si="12"/>
        <v>0</v>
      </c>
      <c r="O46" s="77">
        <f t="shared" si="12"/>
        <v>0</v>
      </c>
      <c r="P46" s="77">
        <f t="shared" si="12"/>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5"/>
        <v>0</v>
      </c>
      <c r="D47" s="77">
        <f t="shared" si="6"/>
        <v>0</v>
      </c>
      <c r="E47" s="77">
        <f t="shared" si="7"/>
        <v>0</v>
      </c>
      <c r="F47" s="77">
        <f t="shared" si="8"/>
        <v>0</v>
      </c>
      <c r="G47" s="77">
        <f t="shared" si="12"/>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5"/>
        <v>0</v>
      </c>
      <c r="D48" s="77">
        <f t="shared" si="6"/>
        <v>0</v>
      </c>
      <c r="E48" s="77">
        <f t="shared" si="7"/>
        <v>0</v>
      </c>
      <c r="F48" s="77">
        <f t="shared" si="8"/>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5"/>
        <v>0</v>
      </c>
      <c r="D49" s="77">
        <f t="shared" si="6"/>
        <v>0</v>
      </c>
      <c r="E49" s="77">
        <f t="shared" si="7"/>
        <v>0</v>
      </c>
      <c r="F49" s="77">
        <f t="shared" si="8"/>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5"/>
        <v>0</v>
      </c>
      <c r="D50" s="98">
        <f t="shared" si="6"/>
        <v>0</v>
      </c>
      <c r="E50" s="98">
        <f t="shared" si="7"/>
        <v>0</v>
      </c>
      <c r="F50" s="98">
        <f t="shared" si="8"/>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3</v>
      </c>
      <c r="C57" s="8" t="str">
        <f t="shared" ref="C57:U57" si="13">D8</f>
        <v>Bryn 4</v>
      </c>
      <c r="D57" s="8" t="str">
        <f t="shared" si="13"/>
        <v>Bryn 5</v>
      </c>
      <c r="E57" s="8" t="str">
        <f t="shared" si="13"/>
        <v>Bryn 7</v>
      </c>
      <c r="F57" s="8" t="str">
        <f t="shared" si="13"/>
        <v>Bryn 8</v>
      </c>
      <c r="G57" s="8" t="str">
        <f t="shared" si="13"/>
        <v>Bryn 10</v>
      </c>
      <c r="H57" s="8" t="str">
        <f t="shared" si="13"/>
        <v>Bryn 11</v>
      </c>
      <c r="I57" s="8" t="str">
        <f t="shared" si="13"/>
        <v>Bryn 12</v>
      </c>
      <c r="J57" s="8" t="str">
        <f t="shared" si="13"/>
        <v>Bryn 13</v>
      </c>
      <c r="K57" s="8" t="str">
        <f t="shared" si="13"/>
        <v xml:space="preserve">Bryn 14 </v>
      </c>
      <c r="L57" s="8" t="str">
        <f t="shared" si="13"/>
        <v>Pencefen 3</v>
      </c>
      <c r="M57" s="8" t="str">
        <f t="shared" si="13"/>
        <v>Pencefen 4</v>
      </c>
      <c r="N57" s="8" t="str">
        <f t="shared" si="13"/>
        <v>Pencefen 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Sandy I Grass</v>
      </c>
      <c r="D58" s="13" t="str">
        <f>E16&amp;" I "&amp;(VLOOKUP(E14,Table245[],6,FALSE))</f>
        <v>Sandy I Grass</v>
      </c>
      <c r="E58" s="13" t="str">
        <f>F16&amp;" I "&amp;(VLOOKUP(F14,Table245[],6,FALSE))</f>
        <v>Sandy I Grass</v>
      </c>
      <c r="F58" s="13" t="str">
        <f>G16&amp;" I "&amp;(VLOOKUP(G14,Table245[],6,FALSE))</f>
        <v>Medium/Clay I Arable</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6.7</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6.4</v>
      </c>
      <c r="C60" s="76">
        <f t="shared" ref="C60:U60" si="14">D10</f>
        <v>6.1</v>
      </c>
      <c r="D60" s="76">
        <f t="shared" si="14"/>
        <v>6.8</v>
      </c>
      <c r="E60" s="76">
        <f t="shared" si="14"/>
        <v>6.8</v>
      </c>
      <c r="F60" s="76">
        <f t="shared" si="14"/>
        <v>6.9</v>
      </c>
      <c r="G60" s="76">
        <f t="shared" si="14"/>
        <v>6.4</v>
      </c>
      <c r="H60" s="76">
        <f t="shared" si="14"/>
        <v>6.6</v>
      </c>
      <c r="I60" s="76">
        <f t="shared" si="14"/>
        <v>6.6</v>
      </c>
      <c r="J60" s="76">
        <f t="shared" si="14"/>
        <v>6.8</v>
      </c>
      <c r="K60" s="76">
        <f t="shared" si="14"/>
        <v>7.1</v>
      </c>
      <c r="L60" s="76">
        <f t="shared" si="14"/>
        <v>6.5</v>
      </c>
      <c r="M60" s="76">
        <f t="shared" si="14"/>
        <v>6.5</v>
      </c>
      <c r="N60" s="76">
        <f t="shared" si="14"/>
        <v>6.5</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4.5</v>
      </c>
      <c r="D61" s="76">
        <f t="shared" si="15"/>
        <v>4.5</v>
      </c>
      <c r="E61" s="76">
        <f t="shared" si="15"/>
        <v>4.5</v>
      </c>
      <c r="F61" s="76">
        <f t="shared" si="15"/>
        <v>8</v>
      </c>
      <c r="G61" s="76">
        <f t="shared" si="15"/>
        <v>6</v>
      </c>
      <c r="H61" s="76">
        <f t="shared" si="15"/>
        <v>6</v>
      </c>
      <c r="I61" s="76">
        <f t="shared" si="15"/>
        <v>6</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40</v>
      </c>
      <c r="C62" s="77">
        <f>B32</f>
        <v>40</v>
      </c>
      <c r="D62" s="77">
        <f>B33</f>
        <v>40</v>
      </c>
      <c r="E62" s="77">
        <f>B34</f>
        <v>40</v>
      </c>
      <c r="F62" s="77">
        <f>B35</f>
        <v>34</v>
      </c>
      <c r="G62" s="77">
        <f>B36</f>
        <v>40</v>
      </c>
      <c r="H62" s="77">
        <f>B37</f>
        <v>40</v>
      </c>
      <c r="I62" s="77">
        <f>B38</f>
        <v>40</v>
      </c>
      <c r="J62" s="77">
        <f>B39</f>
        <v>24</v>
      </c>
      <c r="K62" s="77">
        <f>B40</f>
        <v>40</v>
      </c>
      <c r="L62" s="77">
        <f>B41</f>
        <v>40</v>
      </c>
      <c r="M62" s="77">
        <f>B42</f>
        <v>40</v>
      </c>
      <c r="N62" s="77">
        <f>B43</f>
        <v>40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-1.2000000000000011</v>
      </c>
      <c r="C64" s="77">
        <f t="shared" ref="C64:U64" si="17">(C59-C60)*C61</f>
        <v>0.4500000000000024</v>
      </c>
      <c r="D64" s="77">
        <f t="shared" si="17"/>
        <v>-2.6999999999999984</v>
      </c>
      <c r="E64" s="77">
        <f t="shared" si="17"/>
        <v>-2.6999999999999984</v>
      </c>
      <c r="F64" s="77">
        <f t="shared" si="17"/>
        <v>-1.6000000000000014</v>
      </c>
      <c r="G64" s="77">
        <f t="shared" si="17"/>
        <v>-1.2000000000000011</v>
      </c>
      <c r="H64" s="77">
        <f t="shared" si="17"/>
        <v>-2.3999999999999968</v>
      </c>
      <c r="I64" s="77">
        <f t="shared" si="17"/>
        <v>-2.3999999999999968</v>
      </c>
      <c r="J64" s="77">
        <f t="shared" si="17"/>
        <v>-3.5999999999999979</v>
      </c>
      <c r="K64" s="77">
        <f t="shared" si="17"/>
        <v>-5.3999999999999968</v>
      </c>
      <c r="L64" s="77">
        <f t="shared" si="17"/>
        <v>-1.7999999999999989</v>
      </c>
      <c r="M64" s="77">
        <f t="shared" si="17"/>
        <v>-1.7999999999999989</v>
      </c>
      <c r="N64" s="77">
        <f t="shared" si="17"/>
        <v>-1.7999999999999989</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1.2000000000000011</v>
      </c>
      <c r="C65" s="77">
        <f t="shared" ref="C65:U65" si="18">C63-C64</f>
        <v>-0.4500000000000024</v>
      </c>
      <c r="D65" s="77">
        <f t="shared" si="18"/>
        <v>2.6999999999999984</v>
      </c>
      <c r="E65" s="77">
        <f t="shared" si="18"/>
        <v>2.6999999999999984</v>
      </c>
      <c r="F65" s="77">
        <f t="shared" si="18"/>
        <v>1.6000000000000014</v>
      </c>
      <c r="G65" s="77">
        <f t="shared" si="18"/>
        <v>1.2000000000000011</v>
      </c>
      <c r="H65" s="77">
        <f t="shared" si="18"/>
        <v>2.3999999999999968</v>
      </c>
      <c r="I65" s="77">
        <f t="shared" si="18"/>
        <v>2.3999999999999968</v>
      </c>
      <c r="J65" s="77">
        <f t="shared" si="18"/>
        <v>3.5999999999999979</v>
      </c>
      <c r="K65" s="77">
        <f t="shared" si="18"/>
        <v>5.3999999999999968</v>
      </c>
      <c r="L65" s="77">
        <f t="shared" si="18"/>
        <v>1.7999999999999989</v>
      </c>
      <c r="M65" s="77">
        <f t="shared" si="18"/>
        <v>1.7999999999999989</v>
      </c>
      <c r="N65" s="77">
        <f t="shared" si="18"/>
        <v>1.7999999999999989</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4" priority="37" operator="equal">
      <formula>"DECREASE"</formula>
    </cfRule>
    <cfRule type="cellIs" dxfId="83" priority="38" operator="equal">
      <formula>"INCREASE"</formula>
    </cfRule>
  </conditionalFormatting>
  <conditionalFormatting sqref="B62:U66 B31:B50">
    <cfRule type="cellIs" dxfId="82" priority="36" operator="greaterThan">
      <formula>$B$51</formula>
    </cfRule>
  </conditionalFormatting>
  <conditionalFormatting sqref="C31:C50">
    <cfRule type="cellIs" dxfId="81" priority="35" operator="greaterThan">
      <formula>$C$51</formula>
    </cfRule>
  </conditionalFormatting>
  <conditionalFormatting sqref="C18:V18">
    <cfRule type="cellIs" dxfId="80" priority="34" operator="equal">
      <formula>0</formula>
    </cfRule>
  </conditionalFormatting>
  <conditionalFormatting sqref="C17:V17">
    <cfRule type="cellIs" dxfId="79" priority="33" operator="equal">
      <formula>0</formula>
    </cfRule>
  </conditionalFormatting>
  <conditionalFormatting sqref="C19:V19">
    <cfRule type="cellIs" dxfId="78" priority="32" operator="equal">
      <formula>0</formula>
    </cfRule>
  </conditionalFormatting>
  <conditionalFormatting sqref="G31:G50">
    <cfRule type="cellIs" dxfId="77" priority="31" operator="greaterThan">
      <formula>$G$51</formula>
    </cfRule>
  </conditionalFormatting>
  <conditionalFormatting sqref="H31:H50">
    <cfRule type="cellIs" dxfId="76" priority="30" operator="greaterThan">
      <formula>$H$51</formula>
    </cfRule>
  </conditionalFormatting>
  <conditionalFormatting sqref="I31:I50">
    <cfRule type="cellIs" dxfId="75" priority="29" operator="greaterThan">
      <formula>$I$51</formula>
    </cfRule>
  </conditionalFormatting>
  <conditionalFormatting sqref="K31:K50">
    <cfRule type="cellIs" dxfId="74" priority="28" operator="greaterThan">
      <formula>$K$51</formula>
    </cfRule>
  </conditionalFormatting>
  <conditionalFormatting sqref="L31:L50">
    <cfRule type="cellIs" dxfId="73" priority="27" operator="greaterThan">
      <formula>$L$51</formula>
    </cfRule>
  </conditionalFormatting>
  <conditionalFormatting sqref="M31:M50">
    <cfRule type="cellIs" dxfId="72" priority="26" operator="greaterThan">
      <formula>$M$51</formula>
    </cfRule>
  </conditionalFormatting>
  <conditionalFormatting sqref="P31:P50">
    <cfRule type="cellIs" dxfId="71" priority="25" operator="greaterThan">
      <formula>$P$51</formula>
    </cfRule>
  </conditionalFormatting>
  <conditionalFormatting sqref="R31:R50">
    <cfRule type="cellIs" dxfId="70" priority="24" operator="greaterThan">
      <formula>$R$51</formula>
    </cfRule>
  </conditionalFormatting>
  <conditionalFormatting sqref="S31:S50">
    <cfRule type="cellIs" dxfId="69" priority="23" operator="greaterThan">
      <formula>$S$51</formula>
    </cfRule>
  </conditionalFormatting>
  <conditionalFormatting sqref="T31:T50">
    <cfRule type="cellIs" dxfId="68" priority="22" operator="greaterThan">
      <formula>$T$51</formula>
    </cfRule>
  </conditionalFormatting>
  <conditionalFormatting sqref="U31:U50">
    <cfRule type="cellIs" dxfId="67" priority="21" operator="greaterThan">
      <formula>$U$51</formula>
    </cfRule>
  </conditionalFormatting>
  <conditionalFormatting sqref="C22:V22">
    <cfRule type="cellIs" dxfId="66" priority="20" operator="equal">
      <formula>0</formula>
    </cfRule>
  </conditionalFormatting>
  <conditionalFormatting sqref="C24:V24">
    <cfRule type="cellIs" dxfId="65" priority="18" operator="equal">
      <formula>"DECREASE"</formula>
    </cfRule>
    <cfRule type="cellIs" dxfId="64" priority="19" operator="equal">
      <formula>"INCREASE"</formula>
    </cfRule>
  </conditionalFormatting>
  <conditionalFormatting sqref="C23:V23">
    <cfRule type="cellIs" dxfId="63" priority="17" operator="equal">
      <formula>0</formula>
    </cfRule>
  </conditionalFormatting>
  <conditionalFormatting sqref="C21:V21">
    <cfRule type="cellIs" dxfId="62" priority="13" operator="equal">
      <formula>0</formula>
    </cfRule>
  </conditionalFormatting>
  <conditionalFormatting sqref="B66:U66">
    <cfRule type="cellIs" dxfId="61" priority="11" operator="equal">
      <formula>"UNDER"</formula>
    </cfRule>
    <cfRule type="cellIs" dxfId="60" priority="12" operator="equal">
      <formula>"OVER"</formula>
    </cfRule>
  </conditionalFormatting>
  <conditionalFormatting sqref="J31:J50">
    <cfRule type="cellIs" dxfId="59" priority="8" operator="greaterThan">
      <formula>$J$51</formula>
    </cfRule>
  </conditionalFormatting>
  <conditionalFormatting sqref="L3">
    <cfRule type="cellIs" dxfId="58" priority="4" operator="lessThan">
      <formula>30</formula>
    </cfRule>
    <cfRule type="cellIs" dxfId="57" priority="5" operator="greaterThanOrEqual">
      <formula>30</formula>
    </cfRule>
  </conditionalFormatting>
  <conditionalFormatting sqref="I1">
    <cfRule type="cellIs" dxfId="56" priority="3" operator="between">
      <formula>0.1</formula>
      <formula>5</formula>
    </cfRule>
  </conditionalFormatting>
  <conditionalFormatting sqref="I2">
    <cfRule type="cellIs" dxfId="55" priority="2" operator="greaterThan">
      <formula>5000.1</formula>
    </cfRule>
  </conditionalFormatting>
  <conditionalFormatting sqref="I3">
    <cfRule type="cellIs" dxfId="54"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N28" zoomScale="90" zoomScaleNormal="90" workbookViewId="0">
      <selection activeCell="E20" sqref="E2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3" t="str">
        <f>'Dairy Partners'!C1:D1</f>
        <v>PAN-021494</v>
      </c>
      <c r="D1" s="144"/>
      <c r="E1" s="93" t="s">
        <v>45</v>
      </c>
      <c r="F1" s="39">
        <f>'Dairy Partners'!F1</f>
        <v>49.2</v>
      </c>
      <c r="G1" s="122" t="s">
        <v>43</v>
      </c>
      <c r="H1" s="123"/>
      <c r="I1" s="118">
        <v>4.16</v>
      </c>
      <c r="J1" s="121" t="s">
        <v>153</v>
      </c>
      <c r="K1" s="121"/>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5" t="str">
        <f>'Dairy Partners'!C2:D2</f>
        <v>AB3891CX</v>
      </c>
      <c r="D2" s="146"/>
      <c r="E2" s="93" t="s">
        <v>109</v>
      </c>
      <c r="F2" s="96" t="s">
        <v>166</v>
      </c>
      <c r="G2" s="141" t="s">
        <v>110</v>
      </c>
      <c r="H2" s="142"/>
      <c r="I2" s="118">
        <v>1114</v>
      </c>
      <c r="J2" s="121" t="s">
        <v>158</v>
      </c>
      <c r="K2" s="121"/>
      <c r="L2" s="97">
        <v>0.1</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5" t="str">
        <f>'Dairy Partners'!C3:D3</f>
        <v>Mr Daniel &amp; Mrs Carys James</v>
      </c>
      <c r="D3" s="146"/>
      <c r="E3" s="93" t="s">
        <v>108</v>
      </c>
      <c r="F3" s="31" t="s">
        <v>77</v>
      </c>
      <c r="G3" s="121" t="s">
        <v>159</v>
      </c>
      <c r="H3" s="121"/>
      <c r="I3" s="118"/>
      <c r="J3" s="122" t="s">
        <v>154</v>
      </c>
      <c r="K3" s="123"/>
      <c r="L3" s="97">
        <f>(L1/(L2*10000))*100</f>
        <v>2.5</v>
      </c>
      <c r="AB3" s="30" t="s">
        <v>57</v>
      </c>
      <c r="AC3" s="17"/>
      <c r="AD3" s="30" t="s">
        <v>71</v>
      </c>
      <c r="AE3" s="17"/>
      <c r="AF3" s="17"/>
      <c r="AG3" s="44" t="s">
        <v>77</v>
      </c>
      <c r="AH3" s="18"/>
      <c r="AI3" s="48" t="s">
        <v>113</v>
      </c>
      <c r="AJ3" s="49">
        <v>1.7</v>
      </c>
      <c r="AK3" s="50">
        <v>6</v>
      </c>
      <c r="AL3" s="51">
        <v>1</v>
      </c>
      <c r="AM3" s="11">
        <v>6.2</v>
      </c>
      <c r="AN3" s="11" t="s">
        <v>112</v>
      </c>
    </row>
    <row r="4" spans="1:41" ht="25" x14ac:dyDescent="0.25">
      <c r="A4" s="121" t="s">
        <v>0</v>
      </c>
      <c r="B4" s="121"/>
      <c r="C4" s="143" t="str">
        <f>'Dairy Partners'!C4:D4</f>
        <v>Bryn farm, Ferwig, Cardigan  SA43 1PL</v>
      </c>
      <c r="D4" s="144"/>
      <c r="E4" s="94" t="s">
        <v>1</v>
      </c>
      <c r="F4" s="120" t="s">
        <v>168</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3" t="str">
        <f>'Dairy Partners'!C5:D5</f>
        <v>Owen Clee</v>
      </c>
      <c r="D5" s="144"/>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t="str">
        <f>'Dairy Partners'!C8</f>
        <v>Bryn 3</v>
      </c>
      <c r="D8" s="60" t="str">
        <f>'Dairy Partners'!D8</f>
        <v>Bryn 4</v>
      </c>
      <c r="E8" s="60" t="str">
        <f>'Dairy Partners'!E8</f>
        <v>Bryn 5</v>
      </c>
      <c r="F8" s="60" t="str">
        <f>'Dairy Partners'!F8</f>
        <v>Bryn 7</v>
      </c>
      <c r="G8" s="60" t="str">
        <f>'Dairy Partners'!G8</f>
        <v>Bryn 8</v>
      </c>
      <c r="H8" s="60" t="str">
        <f>'Dairy Partners'!H8</f>
        <v>Bryn 10</v>
      </c>
      <c r="I8" s="60" t="str">
        <f>'Dairy Partners'!I8</f>
        <v>Bryn 11</v>
      </c>
      <c r="J8" s="60" t="str">
        <f>'Dairy Partners'!J8</f>
        <v>Bryn 12</v>
      </c>
      <c r="K8" s="60" t="str">
        <f>'Dairy Partners'!K8</f>
        <v>Bryn 13</v>
      </c>
      <c r="L8" s="60" t="str">
        <f>'Dairy Partners'!L8</f>
        <v xml:space="preserve">Bryn 14 </v>
      </c>
      <c r="M8" s="60" t="str">
        <f>'Dairy Partners'!M8</f>
        <v>Pencefen 3</v>
      </c>
      <c r="N8" s="60" t="str">
        <f>'Dairy Partners'!N8</f>
        <v>Pencefen 4</v>
      </c>
      <c r="O8" s="60" t="str">
        <f>'Dairy Partners'!O8</f>
        <v>Pencefen 5</v>
      </c>
      <c r="P8" s="60">
        <f>'Dairy Partners'!P8</f>
        <v>0</v>
      </c>
      <c r="Q8" s="60">
        <f>'Dairy Partners'!Q8</f>
        <v>0</v>
      </c>
      <c r="R8" s="60">
        <f>'Dairy Partners'!R8</f>
        <v>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t="str">
        <f>'Dairy Partners'!C9</f>
        <v>Moderate</v>
      </c>
      <c r="D9" s="60" t="str">
        <f>'Dairy Partners'!D9</f>
        <v>Low</v>
      </c>
      <c r="E9" s="60" t="str">
        <f>'Dairy Partners'!E9</f>
        <v>Low</v>
      </c>
      <c r="F9" s="60" t="str">
        <f>'Dairy Partners'!F9</f>
        <v>Moderate</v>
      </c>
      <c r="G9" s="60">
        <f>'Dairy Partners'!G9</f>
        <v>1</v>
      </c>
      <c r="H9" s="60" t="str">
        <f>'Dairy Partners'!H9</f>
        <v>Moderate</v>
      </c>
      <c r="I9" s="60" t="str">
        <f>'Dairy Partners'!I9</f>
        <v>Moderate</v>
      </c>
      <c r="J9" s="60" t="str">
        <f>'Dairy Partners'!J9</f>
        <v>Moderate</v>
      </c>
      <c r="K9" s="60" t="str">
        <f>'Dairy Partners'!K9</f>
        <v>Moderate</v>
      </c>
      <c r="L9" s="60" t="str">
        <f>'Dairy Partners'!L9</f>
        <v>Moderate</v>
      </c>
      <c r="M9" s="60" t="str">
        <f>'Dairy Partners'!M9</f>
        <v>Moderate</v>
      </c>
      <c r="N9" s="60" t="str">
        <f>'Dairy Partners'!N9</f>
        <v>Moderate</v>
      </c>
      <c r="O9" s="60" t="str">
        <f>'Dairy Partners'!O9</f>
        <v>Moderate</v>
      </c>
      <c r="P9" s="60">
        <f>'Dairy Partners'!P9</f>
        <v>0</v>
      </c>
      <c r="Q9" s="60">
        <f>'Dairy Partners'!Q9</f>
        <v>0</v>
      </c>
      <c r="R9" s="60">
        <f>'Dairy Partners'!R9</f>
        <v>0</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'Dairy Partners'!C10</f>
        <v>6.4</v>
      </c>
      <c r="D10" s="60">
        <f>'Dairy Partners'!D10</f>
        <v>6.1</v>
      </c>
      <c r="E10" s="60">
        <f>'Dairy Partners'!E10</f>
        <v>6.8</v>
      </c>
      <c r="F10" s="60">
        <f>'Dairy Partners'!F10</f>
        <v>6.8</v>
      </c>
      <c r="G10" s="60">
        <f>'Dairy Partners'!G10</f>
        <v>6.9</v>
      </c>
      <c r="H10" s="60">
        <f>'Dairy Partners'!H10</f>
        <v>6.4</v>
      </c>
      <c r="I10" s="60">
        <f>'Dairy Partners'!I10</f>
        <v>6.6</v>
      </c>
      <c r="J10" s="60">
        <f>'Dairy Partners'!J10</f>
        <v>6.6</v>
      </c>
      <c r="K10" s="60">
        <f>'Dairy Partners'!K10</f>
        <v>6.8</v>
      </c>
      <c r="L10" s="60">
        <f>'Dairy Partners'!L10</f>
        <v>7.1</v>
      </c>
      <c r="M10" s="60">
        <f>'Dairy Partners'!M10</f>
        <v>6.5</v>
      </c>
      <c r="N10" s="60">
        <f>'Dairy Partners'!N10</f>
        <v>6.5</v>
      </c>
      <c r="O10" s="60">
        <f>'Dairy Partners'!O10</f>
        <v>6.5</v>
      </c>
      <c r="P10" s="60">
        <f>'Dairy Partners'!P10</f>
        <v>0</v>
      </c>
      <c r="Q10" s="60">
        <f>'Dairy Partners'!Q10</f>
        <v>0</v>
      </c>
      <c r="R10" s="60">
        <f>'Dairy Partners'!R10</f>
        <v>0</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'Dairy Partners'!C11</f>
        <v>3</v>
      </c>
      <c r="D11" s="60">
        <f>'Dairy Partners'!D11</f>
        <v>3</v>
      </c>
      <c r="E11" s="60">
        <f>'Dairy Partners'!E11</f>
        <v>2</v>
      </c>
      <c r="F11" s="60">
        <f>'Dairy Partners'!F11</f>
        <v>3</v>
      </c>
      <c r="G11" s="60">
        <f>'Dairy Partners'!G11</f>
        <v>3</v>
      </c>
      <c r="H11" s="60">
        <f>'Dairy Partners'!H11</f>
        <v>3</v>
      </c>
      <c r="I11" s="60">
        <f>'Dairy Partners'!I11</f>
        <v>3</v>
      </c>
      <c r="J11" s="60">
        <f>'Dairy Partners'!J11</f>
        <v>3</v>
      </c>
      <c r="K11" s="60">
        <f>'Dairy Partners'!K11</f>
        <v>2</v>
      </c>
      <c r="L11" s="60">
        <f>'Dairy Partners'!L11</f>
        <v>3</v>
      </c>
      <c r="M11" s="60">
        <f>'Dairy Partners'!M11</f>
        <v>3</v>
      </c>
      <c r="N11" s="60">
        <f>'Dairy Partners'!N11</f>
        <v>3</v>
      </c>
      <c r="O11" s="60">
        <f>'Dairy Partners'!O11</f>
        <v>3</v>
      </c>
      <c r="P11" s="60">
        <f>'Dairy Partners'!P11</f>
        <v>0</v>
      </c>
      <c r="Q11" s="60">
        <f>'Dairy Partners'!Q11</f>
        <v>0</v>
      </c>
      <c r="R11" s="60">
        <f>'Dairy Partners'!R11</f>
        <v>0</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'Dairy Partners'!C12</f>
        <v>2</v>
      </c>
      <c r="D12" s="60">
        <f>'Dairy Partners'!D12</f>
        <v>1</v>
      </c>
      <c r="E12" s="60">
        <f>'Dairy Partners'!E12</f>
        <v>1</v>
      </c>
      <c r="F12" s="60">
        <f>'Dairy Partners'!F12</f>
        <v>1</v>
      </c>
      <c r="G12" s="60">
        <f>'Dairy Partners'!G12</f>
        <v>2</v>
      </c>
      <c r="H12" s="60">
        <f>'Dairy Partners'!H12</f>
        <v>2</v>
      </c>
      <c r="I12" s="60">
        <f>'Dairy Partners'!I12</f>
        <v>2</v>
      </c>
      <c r="J12" s="60">
        <f>'Dairy Partners'!J12</f>
        <v>3</v>
      </c>
      <c r="K12" s="60">
        <f>'Dairy Partners'!K12</f>
        <v>2</v>
      </c>
      <c r="L12" s="60">
        <f>'Dairy Partners'!L12</f>
        <v>1</v>
      </c>
      <c r="M12" s="60">
        <f>'Dairy Partners'!M12</f>
        <v>3</v>
      </c>
      <c r="N12" s="60">
        <f>'Dairy Partners'!N12</f>
        <v>3</v>
      </c>
      <c r="O12" s="60">
        <f>'Dairy Partners'!O12</f>
        <v>3</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'Dairy Partners'!C13</f>
        <v>2</v>
      </c>
      <c r="D13" s="60">
        <f>'Dairy Partners'!D13</f>
        <v>0</v>
      </c>
      <c r="E13" s="60">
        <f>'Dairy Partners'!E13</f>
        <v>1</v>
      </c>
      <c r="F13" s="60">
        <f>'Dairy Partners'!F13</f>
        <v>1</v>
      </c>
      <c r="G13" s="60">
        <f>'Dairy Partners'!G13</f>
        <v>2</v>
      </c>
      <c r="H13" s="60">
        <f>'Dairy Partners'!H13</f>
        <v>2</v>
      </c>
      <c r="I13" s="60">
        <f>'Dairy Partners'!I13</f>
        <v>2</v>
      </c>
      <c r="J13" s="60">
        <f>'Dairy Partners'!J13</f>
        <v>2</v>
      </c>
      <c r="K13" s="60">
        <f>'Dairy Partners'!K13</f>
        <v>2</v>
      </c>
      <c r="L13" s="60">
        <f>'Dairy Partners'!L13</f>
        <v>1</v>
      </c>
      <c r="M13" s="60">
        <f>'Dairy Partners'!M13</f>
        <v>2</v>
      </c>
      <c r="N13" s="60">
        <f>'Dairy Partners'!N13</f>
        <v>2</v>
      </c>
      <c r="O13" s="60">
        <f>'Dairy Partners'!O13</f>
        <v>3</v>
      </c>
      <c r="P13" s="60">
        <f>'Dairy Partners'!P13</f>
        <v>0</v>
      </c>
      <c r="Q13" s="60">
        <f>'Dairy Partners'!Q13</f>
        <v>0</v>
      </c>
      <c r="R13" s="60">
        <f>'Dairy Partners'!R13</f>
        <v>0</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Spring wheat/barley</v>
      </c>
      <c r="H14" s="102" t="str">
        <f>'Dairy Partners'!H14</f>
        <v xml:space="preserve">Grass Silage (25% DM) </v>
      </c>
      <c r="I14" s="102" t="str">
        <f>'Dairy Partners'!I14</f>
        <v xml:space="preserve">Grass Silage (25% DM) </v>
      </c>
      <c r="J14" s="102" t="str">
        <f>'Dairy Partners'!J14</f>
        <v xml:space="preserve">Grass Silage (25% DM) </v>
      </c>
      <c r="K14" s="102" t="str">
        <f>'Dairy Partners'!K14</f>
        <v xml:space="preserve">Grass Silage (25% DM) </v>
      </c>
      <c r="L14" s="102" t="str">
        <f>'Dairy Partners'!L14</f>
        <v xml:space="preserve">Grass Silage (25% DM) </v>
      </c>
      <c r="M14" s="102" t="str">
        <f>'Dairy Partners'!M14</f>
        <v xml:space="preserve">Grass Silage (25% DM) </v>
      </c>
      <c r="N14" s="102" t="str">
        <f>'Dairy Partners'!N14</f>
        <v xml:space="preserve">Grass Silage (25% DM) </v>
      </c>
      <c r="O14" s="102" t="str">
        <f>'Dairy Partners'!O14</f>
        <v xml:space="preserve">Grass Silage (25% DM) </v>
      </c>
      <c r="P14" s="102">
        <f>'Dairy Partners'!P14</f>
        <v>0</v>
      </c>
      <c r="Q14" s="102">
        <f>'Dairy Partners'!Q14</f>
        <v>0</v>
      </c>
      <c r="R14" s="102">
        <f>'Dairy Partners'!R14</f>
        <v>0</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2" t="s">
        <v>9</v>
      </c>
      <c r="B15" s="132"/>
      <c r="C15" s="60">
        <f>'Dairy Partners'!C15</f>
        <v>38</v>
      </c>
      <c r="D15" s="60">
        <f>'Dairy Partners'!D15</f>
        <v>38</v>
      </c>
      <c r="E15" s="60">
        <f>'Dairy Partners'!E15</f>
        <v>38</v>
      </c>
      <c r="F15" s="60">
        <f>'Dairy Partners'!F15</f>
        <v>38</v>
      </c>
      <c r="G15" s="60">
        <f>'Dairy Partners'!G15</f>
        <v>6.5</v>
      </c>
      <c r="H15" s="60">
        <f>'Dairy Partners'!H15</f>
        <v>38</v>
      </c>
      <c r="I15" s="60">
        <f>'Dairy Partners'!I15</f>
        <v>38</v>
      </c>
      <c r="J15" s="60">
        <f>'Dairy Partners'!J15</f>
        <v>38</v>
      </c>
      <c r="K15" s="60">
        <f>'Dairy Partners'!K15</f>
        <v>38</v>
      </c>
      <c r="L15" s="60">
        <f>'Dairy Partners'!L15</f>
        <v>38</v>
      </c>
      <c r="M15" s="60">
        <f>'Dairy Partners'!M15</f>
        <v>38</v>
      </c>
      <c r="N15" s="60">
        <f>'Dairy Partners'!N15</f>
        <v>38</v>
      </c>
      <c r="O15" s="60">
        <f>'Dairy Partners'!O15</f>
        <v>38</v>
      </c>
      <c r="P15" s="60">
        <f>'Dairy Partners'!P15</f>
        <v>0</v>
      </c>
      <c r="Q15" s="60">
        <f>'Dairy Partners'!Q15</f>
        <v>0</v>
      </c>
      <c r="R15" s="60">
        <f>'Dairy Partners'!R15</f>
        <v>0</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'Dairy Partners'!C16</f>
        <v>Medium/Clay</v>
      </c>
      <c r="D16" s="103" t="str">
        <f>'Dairy Partners'!D16</f>
        <v>Sandy</v>
      </c>
      <c r="E16" s="103" t="str">
        <f>'Dairy Partners'!E16</f>
        <v>Sandy</v>
      </c>
      <c r="F16" s="103" t="str">
        <f>'Dairy Partners'!F16</f>
        <v>Sandy</v>
      </c>
      <c r="G16" s="103" t="str">
        <f>'Dairy Partners'!G16</f>
        <v>Medium/Clay</v>
      </c>
      <c r="H16" s="103" t="str">
        <f>'Dairy Partners'!H16</f>
        <v>Medium/Clay</v>
      </c>
      <c r="I16" s="103" t="str">
        <f>'Dairy Partners'!I16</f>
        <v>Medium/Clay</v>
      </c>
      <c r="J16" s="103" t="str">
        <f>'Dairy Partners'!J16</f>
        <v>Medium/Clay</v>
      </c>
      <c r="K16" s="103" t="str">
        <f>'Dairy Partners'!K16</f>
        <v>Medium/Clay</v>
      </c>
      <c r="L16" s="103" t="str">
        <f>'Dairy Partners'!L16</f>
        <v>Medium/Clay</v>
      </c>
      <c r="M16" s="103" t="str">
        <f>'Dairy Partners'!M16</f>
        <v>Medium/Clay</v>
      </c>
      <c r="N16" s="103" t="str">
        <f>'Dairy Partners'!N16</f>
        <v>Medium/Clay</v>
      </c>
      <c r="O16" s="103" t="str">
        <f>'Dairy Partners'!O16</f>
        <v>Medium/Clay</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64.599999999999994</v>
      </c>
      <c r="D17" s="28">
        <f t="shared" ref="D17:V17" si="0">(VLOOKUP(D$14,$AI2:$AK26,2,FALSE))*D$15</f>
        <v>64.599999999999994</v>
      </c>
      <c r="E17" s="28">
        <f t="shared" si="0"/>
        <v>64.599999999999994</v>
      </c>
      <c r="F17" s="28">
        <f t="shared" si="0"/>
        <v>64.599999999999994</v>
      </c>
      <c r="G17" s="28">
        <f t="shared" si="0"/>
        <v>55.25</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64.074687999999995</v>
      </c>
      <c r="D18" s="16">
        <f>$D32</f>
        <v>64.074687999999995</v>
      </c>
      <c r="E18" s="16">
        <f>$D33</f>
        <v>64.074687999999995</v>
      </c>
      <c r="F18" s="16">
        <f>$D34</f>
        <v>64.074687999999995</v>
      </c>
      <c r="G18" s="16">
        <f>$D35</f>
        <v>54.063017999999992</v>
      </c>
      <c r="H18" s="16">
        <f>$D36</f>
        <v>64.074687999999995</v>
      </c>
      <c r="I18" s="16">
        <f>$D37</f>
        <v>64.074687999999995</v>
      </c>
      <c r="J18" s="16">
        <f>$D38</f>
        <v>64.074687999999995</v>
      </c>
      <c r="K18" s="16">
        <f>$D39</f>
        <v>39.045513</v>
      </c>
      <c r="L18" s="16">
        <f>$D40</f>
        <v>64.074687999999995</v>
      </c>
      <c r="M18" s="16">
        <f>$D41</f>
        <v>64.074687999999995</v>
      </c>
      <c r="N18" s="16">
        <f>$D42</f>
        <v>64.074687999999995</v>
      </c>
      <c r="O18" s="16">
        <f>$D43</f>
        <v>64.074687999999995</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-0.52531199999999956</v>
      </c>
      <c r="D19" s="16">
        <f t="shared" ref="D19:V19" si="1">D18-D17</f>
        <v>-0.52531199999999956</v>
      </c>
      <c r="E19" s="16">
        <f t="shared" si="1"/>
        <v>-0.52531199999999956</v>
      </c>
      <c r="F19" s="16">
        <f t="shared" si="1"/>
        <v>-0.52531199999999956</v>
      </c>
      <c r="G19" s="16">
        <f t="shared" si="1"/>
        <v>-1.1869820000000075</v>
      </c>
      <c r="H19" s="16">
        <f t="shared" si="1"/>
        <v>-0.52531199999999956</v>
      </c>
      <c r="I19" s="16">
        <f t="shared" si="1"/>
        <v>-0.52531199999999956</v>
      </c>
      <c r="J19" s="16">
        <f t="shared" si="1"/>
        <v>-0.52531199999999956</v>
      </c>
      <c r="K19" s="16">
        <f t="shared" si="1"/>
        <v>-25.554486999999995</v>
      </c>
      <c r="L19" s="16">
        <f t="shared" si="1"/>
        <v>-0.52531199999999956</v>
      </c>
      <c r="M19" s="16">
        <f t="shared" si="1"/>
        <v>-0.52531199999999956</v>
      </c>
      <c r="N19" s="16">
        <f t="shared" si="1"/>
        <v>-0.52531199999999956</v>
      </c>
      <c r="O19" s="16">
        <f t="shared" si="1"/>
        <v>-0.52531199999999956</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228</v>
      </c>
      <c r="D21" s="28">
        <f t="shared" ref="D21:V21" si="2">(VLOOKUP(D$14,$AI2:$AK24,3,FALSE))*D$15</f>
        <v>228</v>
      </c>
      <c r="E21" s="28">
        <f t="shared" si="2"/>
        <v>228</v>
      </c>
      <c r="F21" s="28">
        <f t="shared" si="2"/>
        <v>228</v>
      </c>
      <c r="G21" s="28">
        <f t="shared" si="2"/>
        <v>78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61.773120000000006</v>
      </c>
      <c r="D22" s="16">
        <f>$E32</f>
        <v>61.773120000000006</v>
      </c>
      <c r="E22" s="16">
        <f>$E33</f>
        <v>61.773120000000006</v>
      </c>
      <c r="F22" s="16">
        <f>$E34</f>
        <v>61.773120000000006</v>
      </c>
      <c r="G22" s="16">
        <f>$E35</f>
        <v>52.12107000000001</v>
      </c>
      <c r="H22" s="16">
        <f>$E36</f>
        <v>61.773120000000006</v>
      </c>
      <c r="I22" s="16">
        <f>$E37</f>
        <v>61.773120000000006</v>
      </c>
      <c r="J22" s="16">
        <f>$E38</f>
        <v>61.773120000000006</v>
      </c>
      <c r="K22" s="16">
        <f>$E39</f>
        <v>37.642995000000006</v>
      </c>
      <c r="L22" s="16">
        <f>$E40</f>
        <v>61.773120000000006</v>
      </c>
      <c r="M22" s="16">
        <f>$E41</f>
        <v>61.773120000000006</v>
      </c>
      <c r="N22" s="16">
        <f>$E42</f>
        <v>61.773120000000006</v>
      </c>
      <c r="O22" s="16">
        <f>$E43</f>
        <v>61.773120000000006</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-166.22687999999999</v>
      </c>
      <c r="D23" s="16">
        <f t="shared" ref="D23:V23" si="3">D22-D21</f>
        <v>-166.22687999999999</v>
      </c>
      <c r="E23" s="16">
        <f t="shared" si="3"/>
        <v>-166.22687999999999</v>
      </c>
      <c r="F23" s="16">
        <f t="shared" si="3"/>
        <v>-166.22687999999999</v>
      </c>
      <c r="G23" s="16">
        <f t="shared" si="3"/>
        <v>-25.87892999999999</v>
      </c>
      <c r="H23" s="16">
        <f t="shared" si="3"/>
        <v>-166.22687999999999</v>
      </c>
      <c r="I23" s="16">
        <f t="shared" si="3"/>
        <v>-166.22687999999999</v>
      </c>
      <c r="J23" s="16">
        <f t="shared" si="3"/>
        <v>-166.22687999999999</v>
      </c>
      <c r="K23" s="16">
        <f t="shared" si="3"/>
        <v>-190.35700499999999</v>
      </c>
      <c r="L23" s="16">
        <f t="shared" si="3"/>
        <v>-166.22687999999999</v>
      </c>
      <c r="M23" s="16">
        <f t="shared" si="3"/>
        <v>-166.22687999999999</v>
      </c>
      <c r="N23" s="16">
        <f t="shared" si="3"/>
        <v>-166.22687999999999</v>
      </c>
      <c r="O23" s="16">
        <f t="shared" si="3"/>
        <v>-166.22687999999999</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 t="shared" ref="C24:V24" si="4">IF($B31="","",IF(C$23&gt;=0,"INCREASE","DECREASE"))</f>
        <v>DECREASE</v>
      </c>
      <c r="D24" s="26" t="str">
        <f t="shared" si="4"/>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2.52</v>
      </c>
      <c r="C28" s="15">
        <v>0.1</v>
      </c>
      <c r="D28" s="15">
        <v>437</v>
      </c>
      <c r="E28" s="15">
        <v>801</v>
      </c>
      <c r="F28" s="15">
        <v>129</v>
      </c>
      <c r="G28" s="15">
        <v>3.72</v>
      </c>
      <c r="H28" s="15">
        <v>0.92</v>
      </c>
      <c r="I28" s="15">
        <v>0.5</v>
      </c>
      <c r="J28" s="15">
        <v>0.01</v>
      </c>
      <c r="K28" s="23">
        <v>0.05</v>
      </c>
      <c r="L28" s="15">
        <v>0.2</v>
      </c>
      <c r="M28" s="15">
        <v>0.26</v>
      </c>
      <c r="N28" s="15"/>
      <c r="O28" s="15"/>
      <c r="P28" s="15">
        <v>912</v>
      </c>
      <c r="Q28" s="15">
        <v>102</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3</v>
      </c>
      <c r="B31" s="15">
        <v>64</v>
      </c>
      <c r="C31" s="77">
        <f t="shared" ref="C31:C43" si="5">IF(C$27="%w/w SAR",((C$28*10)*$B31),IF(C$27="%w/w DM",(((C$28*10)*($B$28/100))*$B31),IF(C$27="kg/t SAR",(C$28*$B31),IF(C$27="kg/t DM",((C$28*($B$28/100))*$B31),IF(C$27="mg/kg SAR",((C$28*0.001)*$B31),IF(C$27="mg/kg DM",(((C$28*0.001)*($B$28/100))*$B31),0))))))</f>
        <v>64</v>
      </c>
      <c r="D31" s="77">
        <f t="shared" ref="D31:D43" si="6">(IF(D$27="%w/w SAR",((D$28*10)*$B31),IF(D$27="%w/w DM",(((D$28*10)*($B$28/100))*$B31),IF(D$27="kg/t SAR",(D$28*$B31),IF(D$27="kg/t DM",((D$28*($B$28/100))*$B31),IF(D$27="mg/kg SAR",((D$28*0.001)*$B31),IF(D$27="mg/kg DM",(((D$28*0.001)*($B$28/100))*$B31),"0")))))))*2.291</f>
        <v>64.074687999999995</v>
      </c>
      <c r="E31" s="77">
        <f t="shared" ref="E31:E43" si="7">(IF(E$27="%w/w SAR",((E$28*10)*$B31),IF(E$27="%w/w DM",(((E$28*10)*($B$28/100))*$B31),IF(E$27="kg/t SAR",(E$28*$B31),IF(E$27="kg/t DM",((E$28*($B$28/100))*$B31),IF(E$27="mg/kg SAR",((E$28*0.001)*$B31),IF(E$27="mg/kg DM",(((E$28*0.001)*($B$28/100))*$B31),"0")))))))*1.205</f>
        <v>61.773120000000006</v>
      </c>
      <c r="F31" s="77">
        <f t="shared" ref="F31:F43" si="8">(IF(F$27="%w/w SAR",((F$28*10)*$B31),IF(F$27="%w/w DM",(((F$28*10)*($B$28/100))*$B31),IF(F$27="kg/t SAR",(F$28*$B31),IF(F$27="kg/t DM",((F$28*($B$28/100))*$B31),IF(F$27="mg/kg SAR",((F$28*0.001)*$B31),IF(F$27="mg/kg DM",(((F$28*0.001)*($B$28/100))*$B31),"0")))))))*1.658</f>
        <v>13.688447999999999</v>
      </c>
      <c r="G31" s="77">
        <f t="shared" ref="G31:P43" si="9">IF(G$27="%w/w SAR",((G$28*10)*$B31),IF(G$27="%w/w DM",(((G$28*10)*($B$28/100))*$B31),IF(G$27="kg/t SAR",(G$28*$B31),IF(G$27="kg/t DM",((G$28*($B$28/100))*$B31),IF(G$27="mg/kg SAR",((G$28*0.001)*$B31),IF(G$27="mg/kg DM",(((G$28*0.001)*($B$28/100))*$B31),0))))))</f>
        <v>0.23808000000000001</v>
      </c>
      <c r="H31" s="77">
        <f t="shared" si="9"/>
        <v>5.8880000000000002E-2</v>
      </c>
      <c r="I31" s="77">
        <f t="shared" si="9"/>
        <v>3.2000000000000001E-2</v>
      </c>
      <c r="J31" s="77">
        <f t="shared" si="9"/>
        <v>6.4000000000000005E-4</v>
      </c>
      <c r="K31" s="77">
        <f t="shared" si="9"/>
        <v>3.2000000000000002E-3</v>
      </c>
      <c r="L31" s="77">
        <f t="shared" si="9"/>
        <v>1.2800000000000001E-2</v>
      </c>
      <c r="M31" s="77">
        <f t="shared" si="9"/>
        <v>1.6640000000000002E-2</v>
      </c>
      <c r="N31" s="77">
        <f t="shared" si="9"/>
        <v>0</v>
      </c>
      <c r="O31" s="77">
        <f t="shared" si="9"/>
        <v>0</v>
      </c>
      <c r="P31" s="77">
        <f t="shared" si="9"/>
        <v>58.368000000000002</v>
      </c>
      <c r="Q31" s="77">
        <f t="shared" ref="Q31:Q43" si="10">(IF(Q$27="%w/w SAR",((Q$28*10)*$B31),IF(Q$27="%w/w DM",(((Q$28*10)*($B$28/100))*$B31),IF(Q$27="kg/t SAR",(Q$28*$B31),IF(Q$27="kg/t DM",((Q$28*($B$28/100))*$B31),IF(Q$27="mg/kg SAR",((Q$28*0.001)*$B31),IF(Q$27="mg/kg DM",(((Q$28*0.001)*($B$28/100))*$B31),0)))))))*2.5</f>
        <v>16.32</v>
      </c>
      <c r="R31" s="77">
        <f t="shared" ref="R31:U43" si="11">IF(R$27="%w/w SAR",((R$28*10)*$B31),IF(R$27="%w/w DM",(((R$28*10)*($B$28/100))*$B31),IF(R$27="kg/t SAR",(R$28*$B31),IF(R$27="kg/t DM",((R$28*($B$28/100))*$B31),IF(R$27="mg/kg SAR",((R$28*0.001)*$B31),IF(R$27="mg/kg DM",(((R$28*0.001)*($B$28/100))*$B31),0))))))</f>
        <v>0</v>
      </c>
      <c r="S31" s="77">
        <f t="shared" si="11"/>
        <v>0</v>
      </c>
      <c r="T31" s="77">
        <f t="shared" si="11"/>
        <v>0</v>
      </c>
      <c r="U31" s="77">
        <f t="shared" si="11"/>
        <v>0</v>
      </c>
      <c r="AB31" s="59"/>
      <c r="AC31" s="59"/>
      <c r="AD31" s="59"/>
      <c r="AE31" s="59"/>
      <c r="AF31" s="59"/>
      <c r="AG31" s="59"/>
      <c r="AH31" s="59"/>
      <c r="AI31" s="59"/>
    </row>
    <row r="32" spans="1:40" s="72" customFormat="1" ht="13" x14ac:dyDescent="0.35">
      <c r="A32" s="13" t="str">
        <f>D8</f>
        <v>Bryn 4</v>
      </c>
      <c r="B32" s="15">
        <v>64</v>
      </c>
      <c r="C32" s="77">
        <f t="shared" si="5"/>
        <v>64</v>
      </c>
      <c r="D32" s="77">
        <f t="shared" si="6"/>
        <v>64.074687999999995</v>
      </c>
      <c r="E32" s="77">
        <f t="shared" si="7"/>
        <v>61.773120000000006</v>
      </c>
      <c r="F32" s="77">
        <f t="shared" si="8"/>
        <v>13.688447999999999</v>
      </c>
      <c r="G32" s="77">
        <f t="shared" si="9"/>
        <v>0.23808000000000001</v>
      </c>
      <c r="H32" s="77">
        <f t="shared" si="9"/>
        <v>5.8880000000000002E-2</v>
      </c>
      <c r="I32" s="77">
        <f t="shared" si="9"/>
        <v>3.2000000000000001E-2</v>
      </c>
      <c r="J32" s="77">
        <f t="shared" si="9"/>
        <v>6.4000000000000005E-4</v>
      </c>
      <c r="K32" s="77">
        <f t="shared" si="9"/>
        <v>3.2000000000000002E-3</v>
      </c>
      <c r="L32" s="77">
        <f t="shared" si="9"/>
        <v>1.2800000000000001E-2</v>
      </c>
      <c r="M32" s="77">
        <f t="shared" si="9"/>
        <v>1.6640000000000002E-2</v>
      </c>
      <c r="N32" s="77">
        <f t="shared" si="9"/>
        <v>0</v>
      </c>
      <c r="O32" s="77">
        <f t="shared" si="9"/>
        <v>0</v>
      </c>
      <c r="P32" s="77">
        <f t="shared" si="9"/>
        <v>58.368000000000002</v>
      </c>
      <c r="Q32" s="77">
        <f t="shared" si="10"/>
        <v>16.32</v>
      </c>
      <c r="R32" s="77">
        <f t="shared" si="11"/>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5</v>
      </c>
      <c r="B33" s="15">
        <v>64</v>
      </c>
      <c r="C33" s="77">
        <f t="shared" si="5"/>
        <v>64</v>
      </c>
      <c r="D33" s="77">
        <f t="shared" si="6"/>
        <v>64.074687999999995</v>
      </c>
      <c r="E33" s="77">
        <f t="shared" si="7"/>
        <v>61.773120000000006</v>
      </c>
      <c r="F33" s="77">
        <f t="shared" si="8"/>
        <v>13.688447999999999</v>
      </c>
      <c r="G33" s="77">
        <f t="shared" si="9"/>
        <v>0.23808000000000001</v>
      </c>
      <c r="H33" s="77">
        <f t="shared" si="9"/>
        <v>5.8880000000000002E-2</v>
      </c>
      <c r="I33" s="77">
        <f t="shared" si="9"/>
        <v>3.2000000000000001E-2</v>
      </c>
      <c r="J33" s="77">
        <f t="shared" si="9"/>
        <v>6.4000000000000005E-4</v>
      </c>
      <c r="K33" s="77">
        <f t="shared" si="9"/>
        <v>3.2000000000000002E-3</v>
      </c>
      <c r="L33" s="77">
        <f t="shared" si="9"/>
        <v>1.2800000000000001E-2</v>
      </c>
      <c r="M33" s="77">
        <f t="shared" si="9"/>
        <v>1.6640000000000002E-2</v>
      </c>
      <c r="N33" s="77">
        <f t="shared" si="9"/>
        <v>0</v>
      </c>
      <c r="O33" s="77">
        <f t="shared" si="9"/>
        <v>0</v>
      </c>
      <c r="P33" s="77">
        <f t="shared" si="9"/>
        <v>58.368000000000002</v>
      </c>
      <c r="Q33" s="77">
        <f t="shared" si="10"/>
        <v>16.32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7</v>
      </c>
      <c r="B34" s="15">
        <v>64</v>
      </c>
      <c r="C34" s="77">
        <f t="shared" si="5"/>
        <v>64</v>
      </c>
      <c r="D34" s="77">
        <f t="shared" si="6"/>
        <v>64.074687999999995</v>
      </c>
      <c r="E34" s="77">
        <f t="shared" si="7"/>
        <v>61.773120000000006</v>
      </c>
      <c r="F34" s="77">
        <f t="shared" si="8"/>
        <v>13.688447999999999</v>
      </c>
      <c r="G34" s="77">
        <f t="shared" si="9"/>
        <v>0.23808000000000001</v>
      </c>
      <c r="H34" s="77">
        <f t="shared" si="9"/>
        <v>5.8880000000000002E-2</v>
      </c>
      <c r="I34" s="77">
        <f t="shared" si="9"/>
        <v>3.2000000000000001E-2</v>
      </c>
      <c r="J34" s="77">
        <f t="shared" si="9"/>
        <v>6.4000000000000005E-4</v>
      </c>
      <c r="K34" s="77">
        <f t="shared" si="9"/>
        <v>3.2000000000000002E-3</v>
      </c>
      <c r="L34" s="77">
        <f t="shared" si="9"/>
        <v>1.2800000000000001E-2</v>
      </c>
      <c r="M34" s="77">
        <f t="shared" si="9"/>
        <v>1.6640000000000002E-2</v>
      </c>
      <c r="N34" s="77">
        <f t="shared" si="9"/>
        <v>0</v>
      </c>
      <c r="O34" s="77">
        <f t="shared" si="9"/>
        <v>0</v>
      </c>
      <c r="P34" s="77">
        <f t="shared" si="9"/>
        <v>58.368000000000002</v>
      </c>
      <c r="Q34" s="77">
        <f t="shared" si="10"/>
        <v>16.32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8</v>
      </c>
      <c r="B35" s="15">
        <v>54</v>
      </c>
      <c r="C35" s="77">
        <f t="shared" si="5"/>
        <v>54</v>
      </c>
      <c r="D35" s="77">
        <f t="shared" si="6"/>
        <v>54.063017999999992</v>
      </c>
      <c r="E35" s="77">
        <f t="shared" si="7"/>
        <v>52.12107000000001</v>
      </c>
      <c r="F35" s="77">
        <f t="shared" si="8"/>
        <v>11.549628</v>
      </c>
      <c r="G35" s="77">
        <f t="shared" si="9"/>
        <v>0.20088</v>
      </c>
      <c r="H35" s="77">
        <f t="shared" si="9"/>
        <v>4.9680000000000002E-2</v>
      </c>
      <c r="I35" s="77">
        <f t="shared" si="9"/>
        <v>2.7E-2</v>
      </c>
      <c r="J35" s="77">
        <f t="shared" si="9"/>
        <v>5.4000000000000001E-4</v>
      </c>
      <c r="K35" s="77">
        <f t="shared" si="9"/>
        <v>2.7000000000000001E-3</v>
      </c>
      <c r="L35" s="77">
        <f t="shared" si="9"/>
        <v>1.0800000000000001E-2</v>
      </c>
      <c r="M35" s="77">
        <f t="shared" si="9"/>
        <v>1.4040000000000002E-2</v>
      </c>
      <c r="N35" s="77">
        <f t="shared" si="9"/>
        <v>0</v>
      </c>
      <c r="O35" s="77">
        <f t="shared" si="9"/>
        <v>0</v>
      </c>
      <c r="P35" s="77">
        <f t="shared" si="9"/>
        <v>49.248000000000005</v>
      </c>
      <c r="Q35" s="77">
        <f t="shared" si="10"/>
        <v>13.77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10</v>
      </c>
      <c r="B36" s="15">
        <v>64</v>
      </c>
      <c r="C36" s="77">
        <f t="shared" si="5"/>
        <v>64</v>
      </c>
      <c r="D36" s="77">
        <f t="shared" si="6"/>
        <v>64.074687999999995</v>
      </c>
      <c r="E36" s="77">
        <f t="shared" si="7"/>
        <v>61.773120000000006</v>
      </c>
      <c r="F36" s="77">
        <f t="shared" si="8"/>
        <v>13.688447999999999</v>
      </c>
      <c r="G36" s="77">
        <f t="shared" si="9"/>
        <v>0.23808000000000001</v>
      </c>
      <c r="H36" s="77">
        <f t="shared" si="9"/>
        <v>5.8880000000000002E-2</v>
      </c>
      <c r="I36" s="77">
        <f t="shared" si="9"/>
        <v>3.2000000000000001E-2</v>
      </c>
      <c r="J36" s="77">
        <f t="shared" si="9"/>
        <v>6.4000000000000005E-4</v>
      </c>
      <c r="K36" s="77">
        <f t="shared" si="9"/>
        <v>3.2000000000000002E-3</v>
      </c>
      <c r="L36" s="77">
        <f t="shared" si="9"/>
        <v>1.2800000000000001E-2</v>
      </c>
      <c r="M36" s="77">
        <f t="shared" si="9"/>
        <v>1.6640000000000002E-2</v>
      </c>
      <c r="N36" s="77">
        <f t="shared" si="9"/>
        <v>0</v>
      </c>
      <c r="O36" s="77">
        <f t="shared" si="9"/>
        <v>0</v>
      </c>
      <c r="P36" s="77">
        <f t="shared" si="9"/>
        <v>58.368000000000002</v>
      </c>
      <c r="Q36" s="77">
        <f t="shared" si="10"/>
        <v>16.32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11</v>
      </c>
      <c r="B37" s="15">
        <v>64</v>
      </c>
      <c r="C37" s="77">
        <f t="shared" si="5"/>
        <v>64</v>
      </c>
      <c r="D37" s="77">
        <f t="shared" si="6"/>
        <v>64.074687999999995</v>
      </c>
      <c r="E37" s="77">
        <f t="shared" si="7"/>
        <v>61.773120000000006</v>
      </c>
      <c r="F37" s="77">
        <f t="shared" si="8"/>
        <v>13.688447999999999</v>
      </c>
      <c r="G37" s="77">
        <f t="shared" si="9"/>
        <v>0.23808000000000001</v>
      </c>
      <c r="H37" s="77">
        <f t="shared" si="9"/>
        <v>5.8880000000000002E-2</v>
      </c>
      <c r="I37" s="77">
        <f t="shared" si="9"/>
        <v>3.2000000000000001E-2</v>
      </c>
      <c r="J37" s="77">
        <f t="shared" si="9"/>
        <v>6.4000000000000005E-4</v>
      </c>
      <c r="K37" s="77">
        <f t="shared" si="9"/>
        <v>3.2000000000000002E-3</v>
      </c>
      <c r="L37" s="77">
        <f t="shared" si="9"/>
        <v>1.2800000000000001E-2</v>
      </c>
      <c r="M37" s="77">
        <f t="shared" si="9"/>
        <v>1.6640000000000002E-2</v>
      </c>
      <c r="N37" s="77">
        <f t="shared" si="9"/>
        <v>0</v>
      </c>
      <c r="O37" s="77">
        <f t="shared" si="9"/>
        <v>0</v>
      </c>
      <c r="P37" s="77">
        <f t="shared" si="9"/>
        <v>58.368000000000002</v>
      </c>
      <c r="Q37" s="77">
        <f t="shared" si="10"/>
        <v>16.32</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Bryn 12</v>
      </c>
      <c r="B38" s="15">
        <v>64</v>
      </c>
      <c r="C38" s="77">
        <f t="shared" si="5"/>
        <v>64</v>
      </c>
      <c r="D38" s="77">
        <f t="shared" si="6"/>
        <v>64.074687999999995</v>
      </c>
      <c r="E38" s="77">
        <f t="shared" si="7"/>
        <v>61.773120000000006</v>
      </c>
      <c r="F38" s="77">
        <f t="shared" si="8"/>
        <v>13.688447999999999</v>
      </c>
      <c r="G38" s="77">
        <f t="shared" si="9"/>
        <v>0.23808000000000001</v>
      </c>
      <c r="H38" s="77">
        <f t="shared" si="9"/>
        <v>5.8880000000000002E-2</v>
      </c>
      <c r="I38" s="77">
        <f t="shared" si="9"/>
        <v>3.2000000000000001E-2</v>
      </c>
      <c r="J38" s="77">
        <f t="shared" si="9"/>
        <v>6.4000000000000005E-4</v>
      </c>
      <c r="K38" s="77">
        <f t="shared" si="9"/>
        <v>3.2000000000000002E-3</v>
      </c>
      <c r="L38" s="77">
        <f t="shared" si="9"/>
        <v>1.2800000000000001E-2</v>
      </c>
      <c r="M38" s="77">
        <f t="shared" si="9"/>
        <v>1.6640000000000002E-2</v>
      </c>
      <c r="N38" s="77">
        <f t="shared" si="9"/>
        <v>0</v>
      </c>
      <c r="O38" s="77">
        <f t="shared" si="9"/>
        <v>0</v>
      </c>
      <c r="P38" s="77">
        <f t="shared" si="9"/>
        <v>58.368000000000002</v>
      </c>
      <c r="Q38" s="77">
        <f t="shared" si="10"/>
        <v>16.32</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Bryn 13</v>
      </c>
      <c r="B39" s="15">
        <v>39</v>
      </c>
      <c r="C39" s="77">
        <f t="shared" si="5"/>
        <v>39</v>
      </c>
      <c r="D39" s="77">
        <f t="shared" si="6"/>
        <v>39.045513</v>
      </c>
      <c r="E39" s="77">
        <f t="shared" si="7"/>
        <v>37.642995000000006</v>
      </c>
      <c r="F39" s="77">
        <f t="shared" si="8"/>
        <v>8.3413979999999999</v>
      </c>
      <c r="G39" s="77">
        <f t="shared" si="9"/>
        <v>0.14508000000000001</v>
      </c>
      <c r="H39" s="77">
        <f t="shared" si="9"/>
        <v>3.5880000000000002E-2</v>
      </c>
      <c r="I39" s="77">
        <f t="shared" si="9"/>
        <v>1.95E-2</v>
      </c>
      <c r="J39" s="77">
        <f t="shared" si="9"/>
        <v>3.9000000000000005E-4</v>
      </c>
      <c r="K39" s="77">
        <f t="shared" si="9"/>
        <v>1.9500000000000001E-3</v>
      </c>
      <c r="L39" s="77">
        <f t="shared" si="9"/>
        <v>7.8000000000000005E-3</v>
      </c>
      <c r="M39" s="77">
        <f t="shared" si="9"/>
        <v>1.0140000000000001E-2</v>
      </c>
      <c r="N39" s="77">
        <f t="shared" si="9"/>
        <v>0</v>
      </c>
      <c r="O39" s="77">
        <f t="shared" si="9"/>
        <v>0</v>
      </c>
      <c r="P39" s="77">
        <f t="shared" si="9"/>
        <v>35.567999999999998</v>
      </c>
      <c r="Q39" s="77">
        <f t="shared" si="10"/>
        <v>9.9450000000000003</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 xml:space="preserve">Bryn 14 </v>
      </c>
      <c r="B40" s="15">
        <v>64</v>
      </c>
      <c r="C40" s="77">
        <f t="shared" si="5"/>
        <v>64</v>
      </c>
      <c r="D40" s="77">
        <f t="shared" si="6"/>
        <v>64.074687999999995</v>
      </c>
      <c r="E40" s="77">
        <f t="shared" si="7"/>
        <v>61.773120000000006</v>
      </c>
      <c r="F40" s="77">
        <f t="shared" si="8"/>
        <v>13.688447999999999</v>
      </c>
      <c r="G40" s="77">
        <f t="shared" si="9"/>
        <v>0.23808000000000001</v>
      </c>
      <c r="H40" s="77">
        <f t="shared" si="9"/>
        <v>5.8880000000000002E-2</v>
      </c>
      <c r="I40" s="77">
        <f t="shared" si="9"/>
        <v>3.2000000000000001E-2</v>
      </c>
      <c r="J40" s="77">
        <f t="shared" si="9"/>
        <v>6.4000000000000005E-4</v>
      </c>
      <c r="K40" s="77">
        <f t="shared" si="9"/>
        <v>3.2000000000000002E-3</v>
      </c>
      <c r="L40" s="77">
        <f t="shared" si="9"/>
        <v>1.2800000000000001E-2</v>
      </c>
      <c r="M40" s="77">
        <f t="shared" si="9"/>
        <v>1.6640000000000002E-2</v>
      </c>
      <c r="N40" s="77">
        <f t="shared" si="9"/>
        <v>0</v>
      </c>
      <c r="O40" s="77">
        <f t="shared" si="9"/>
        <v>0</v>
      </c>
      <c r="P40" s="77">
        <f t="shared" si="9"/>
        <v>58.368000000000002</v>
      </c>
      <c r="Q40" s="77">
        <f t="shared" si="10"/>
        <v>16.32</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Pencefen 3</v>
      </c>
      <c r="B41" s="15">
        <v>64</v>
      </c>
      <c r="C41" s="77">
        <f t="shared" si="5"/>
        <v>64</v>
      </c>
      <c r="D41" s="77">
        <f t="shared" si="6"/>
        <v>64.074687999999995</v>
      </c>
      <c r="E41" s="77">
        <f t="shared" si="7"/>
        <v>61.773120000000006</v>
      </c>
      <c r="F41" s="77">
        <f t="shared" si="8"/>
        <v>13.688447999999999</v>
      </c>
      <c r="G41" s="77">
        <f t="shared" si="9"/>
        <v>0.23808000000000001</v>
      </c>
      <c r="H41" s="77">
        <f t="shared" si="9"/>
        <v>5.8880000000000002E-2</v>
      </c>
      <c r="I41" s="77">
        <f t="shared" si="9"/>
        <v>3.2000000000000001E-2</v>
      </c>
      <c r="J41" s="77">
        <f t="shared" si="9"/>
        <v>6.4000000000000005E-4</v>
      </c>
      <c r="K41" s="77">
        <f t="shared" si="9"/>
        <v>3.2000000000000002E-3</v>
      </c>
      <c r="L41" s="77">
        <f t="shared" si="9"/>
        <v>1.2800000000000001E-2</v>
      </c>
      <c r="M41" s="77">
        <f t="shared" si="9"/>
        <v>1.6640000000000002E-2</v>
      </c>
      <c r="N41" s="77">
        <f t="shared" si="9"/>
        <v>0</v>
      </c>
      <c r="O41" s="77">
        <f t="shared" si="9"/>
        <v>0</v>
      </c>
      <c r="P41" s="77">
        <f t="shared" si="9"/>
        <v>58.368000000000002</v>
      </c>
      <c r="Q41" s="77">
        <f t="shared" si="10"/>
        <v>16.32</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Pencefen 4</v>
      </c>
      <c r="B42" s="15">
        <v>64</v>
      </c>
      <c r="C42" s="77">
        <f t="shared" si="5"/>
        <v>64</v>
      </c>
      <c r="D42" s="77">
        <f t="shared" si="6"/>
        <v>64.074687999999995</v>
      </c>
      <c r="E42" s="77">
        <f t="shared" si="7"/>
        <v>61.773120000000006</v>
      </c>
      <c r="F42" s="77">
        <f t="shared" si="8"/>
        <v>13.688447999999999</v>
      </c>
      <c r="G42" s="77">
        <f t="shared" si="9"/>
        <v>0.23808000000000001</v>
      </c>
      <c r="H42" s="77">
        <f t="shared" si="9"/>
        <v>5.8880000000000002E-2</v>
      </c>
      <c r="I42" s="77">
        <f t="shared" si="9"/>
        <v>3.2000000000000001E-2</v>
      </c>
      <c r="J42" s="77">
        <f t="shared" si="9"/>
        <v>6.4000000000000005E-4</v>
      </c>
      <c r="K42" s="77">
        <f t="shared" si="9"/>
        <v>3.2000000000000002E-3</v>
      </c>
      <c r="L42" s="77">
        <f t="shared" si="9"/>
        <v>1.2800000000000001E-2</v>
      </c>
      <c r="M42" s="77">
        <f t="shared" si="9"/>
        <v>1.6640000000000002E-2</v>
      </c>
      <c r="N42" s="77">
        <f t="shared" si="9"/>
        <v>0</v>
      </c>
      <c r="O42" s="77">
        <f t="shared" si="9"/>
        <v>0</v>
      </c>
      <c r="P42" s="77">
        <f t="shared" si="9"/>
        <v>58.368000000000002</v>
      </c>
      <c r="Q42" s="77">
        <f t="shared" si="10"/>
        <v>16.32</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Pencefen 5</v>
      </c>
      <c r="B43" s="15">
        <v>64</v>
      </c>
      <c r="C43" s="77">
        <f t="shared" si="5"/>
        <v>64</v>
      </c>
      <c r="D43" s="77">
        <f t="shared" si="6"/>
        <v>64.074687999999995</v>
      </c>
      <c r="E43" s="77">
        <f t="shared" si="7"/>
        <v>61.773120000000006</v>
      </c>
      <c r="F43" s="77">
        <f t="shared" si="8"/>
        <v>13.688447999999999</v>
      </c>
      <c r="G43" s="77">
        <f t="shared" si="9"/>
        <v>0.23808000000000001</v>
      </c>
      <c r="H43" s="77">
        <f t="shared" si="9"/>
        <v>5.8880000000000002E-2</v>
      </c>
      <c r="I43" s="77">
        <f t="shared" si="9"/>
        <v>3.2000000000000001E-2</v>
      </c>
      <c r="J43" s="77">
        <f t="shared" si="9"/>
        <v>6.4000000000000005E-4</v>
      </c>
      <c r="K43" s="77">
        <f t="shared" si="9"/>
        <v>3.2000000000000002E-3</v>
      </c>
      <c r="L43" s="77">
        <f t="shared" si="9"/>
        <v>1.2800000000000001E-2</v>
      </c>
      <c r="M43" s="77">
        <f t="shared" si="9"/>
        <v>1.6640000000000002E-2</v>
      </c>
      <c r="N43" s="77">
        <f t="shared" si="9"/>
        <v>0</v>
      </c>
      <c r="O43" s="77">
        <f t="shared" si="9"/>
        <v>0</v>
      </c>
      <c r="P43" s="77">
        <f t="shared" si="9"/>
        <v>58.368000000000002</v>
      </c>
      <c r="Q43" s="77">
        <f t="shared" si="10"/>
        <v>16.32</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ref="C44:C50" si="12">IF(C$27="%w/w SAR",((C$28*10)*$B44),IF(C$27="%w/w DM",(((C$28*10)*($B$28/100))*$B44),IF(C$27="kg/t SAR",(C$28*$B44),IF(C$27="kg/t DM",((C$28*($B$28/100))*$B44),IF(C$27="mg/kg SAR",((C$28*0.001)*$B44),IF(C$27="mg/kg DM",(((C$28*0.001)*($B$28/100))*$B44),0))))))</f>
        <v>0</v>
      </c>
      <c r="D44" s="77">
        <f t="shared" ref="D44:D50" si="13">(IF(D$27="%w/w SAR",((D$28*10)*$B44),IF(D$27="%w/w DM",(((D$28*10)*($B$28/100))*$B44),IF(D$27="kg/t SAR",(D$28*$B44),IF(D$27="kg/t DM",((D$28*($B$28/100))*$B44),IF(D$27="mg/kg SAR",((D$28*0.001)*$B44),IF(D$27="mg/kg DM",(((D$28*0.001)*($B$28/100))*$B44),"0")))))))*2.291</f>
        <v>0</v>
      </c>
      <c r="E44" s="77">
        <f t="shared" ref="E44:E50" si="14">(IF(E$27="%w/w SAR",((E$28*10)*$B44),IF(E$27="%w/w DM",(((E$28*10)*($B$28/100))*$B44),IF(E$27="kg/t SAR",(E$28*$B44),IF(E$27="kg/t DM",((E$28*($B$28/100))*$B44),IF(E$27="mg/kg SAR",((E$28*0.001)*$B44),IF(E$27="mg/kg DM",(((E$28*0.001)*($B$28/100))*$B44),"0")))))))*1.205</f>
        <v>0</v>
      </c>
      <c r="F44" s="77">
        <f t="shared" ref="F44:F50" si="15">(IF(F$27="%w/w SAR",((F$28*10)*$B44),IF(F$27="%w/w DM",(((F$28*10)*($B$28/100))*$B44),IF(F$27="kg/t SAR",(F$28*$B44),IF(F$27="kg/t DM",((F$28*($B$28/100))*$B44),IF(F$27="mg/kg SAR",((F$28*0.001)*$B44),IF(F$27="mg/kg DM",(((F$28*0.001)*($B$28/100))*$B44),"0")))))))*1.658</f>
        <v>0</v>
      </c>
      <c r="G44" s="77">
        <f t="shared" ref="G44:P46" si="16">IF(G$27="%w/w SAR",((G$28*10)*$B44),IF(G$27="%w/w DM",(((G$28*10)*($B$28/100))*$B44),IF(G$27="kg/t SAR",(G$28*$B44),IF(G$27="kg/t DM",((G$28*($B$28/100))*$B44),IF(G$27="mg/kg SAR",((G$28*0.001)*$B44),IF(G$27="mg/kg DM",(((G$28*0.001)*($B$28/100))*$B44),0))))))</f>
        <v>0</v>
      </c>
      <c r="H44" s="77">
        <f t="shared" si="16"/>
        <v>0</v>
      </c>
      <c r="I44" s="77">
        <f t="shared" si="16"/>
        <v>0</v>
      </c>
      <c r="J44" s="77">
        <f t="shared" si="16"/>
        <v>0</v>
      </c>
      <c r="K44" s="77">
        <f t="shared" si="16"/>
        <v>0</v>
      </c>
      <c r="L44" s="77">
        <f t="shared" si="16"/>
        <v>0</v>
      </c>
      <c r="M44" s="77">
        <f t="shared" si="16"/>
        <v>0</v>
      </c>
      <c r="N44" s="77">
        <f t="shared" si="16"/>
        <v>0</v>
      </c>
      <c r="O44" s="77">
        <f t="shared" si="16"/>
        <v>0</v>
      </c>
      <c r="P44" s="77">
        <f t="shared" si="16"/>
        <v>0</v>
      </c>
      <c r="Q44" s="77">
        <f t="shared" ref="Q44:Q50" si="17">(IF(Q$27="%w/w SAR",((Q$28*10)*$B44),IF(Q$27="%w/w DM",(((Q$28*10)*($B$28/100))*$B44),IF(Q$27="kg/t SAR",(Q$28*$B44),IF(Q$27="kg/t DM",((Q$28*($B$28/100))*$B44),IF(Q$27="mg/kg SAR",((Q$28*0.001)*$B44),IF(Q$27="mg/kg DM",(((Q$28*0.001)*($B$28/100))*$B44),0)))))))*2.5</f>
        <v>0</v>
      </c>
      <c r="R44" s="77">
        <f t="shared" ref="R44:U50" si="18">IF(R$27="%w/w SAR",((R$28*10)*$B44),IF(R$27="%w/w DM",(((R$28*10)*($B$28/100))*$B44),IF(R$27="kg/t SAR",(R$28*$B44),IF(R$27="kg/t DM",((R$28*($B$28/100))*$B44),IF(R$27="mg/kg SAR",((R$28*0.001)*$B44),IF(R$27="mg/kg DM",(((R$28*0.001)*($B$28/100))*$B44),0))))))</f>
        <v>0</v>
      </c>
      <c r="S44" s="77">
        <f t="shared" si="18"/>
        <v>0</v>
      </c>
      <c r="T44" s="77">
        <f t="shared" si="18"/>
        <v>0</v>
      </c>
      <c r="U44" s="77">
        <f t="shared" si="18"/>
        <v>0</v>
      </c>
      <c r="AB44" s="59"/>
      <c r="AC44" s="59"/>
      <c r="AD44" s="59"/>
      <c r="AE44" s="59"/>
      <c r="AF44" s="59"/>
      <c r="AG44" s="59"/>
      <c r="AH44" s="59"/>
      <c r="AI44" s="59"/>
    </row>
    <row r="45" spans="1:35" s="72" customFormat="1" ht="13" x14ac:dyDescent="0.35">
      <c r="A45" s="13">
        <f>Q8</f>
        <v>0</v>
      </c>
      <c r="B45" s="15"/>
      <c r="C45" s="77">
        <f t="shared" si="12"/>
        <v>0</v>
      </c>
      <c r="D45" s="77">
        <f t="shared" si="13"/>
        <v>0</v>
      </c>
      <c r="E45" s="77">
        <f t="shared" si="14"/>
        <v>0</v>
      </c>
      <c r="F45" s="77">
        <f t="shared" si="15"/>
        <v>0</v>
      </c>
      <c r="G45" s="77">
        <f t="shared" si="16"/>
        <v>0</v>
      </c>
      <c r="H45" s="77">
        <f t="shared" si="16"/>
        <v>0</v>
      </c>
      <c r="I45" s="77">
        <f t="shared" si="16"/>
        <v>0</v>
      </c>
      <c r="J45" s="77">
        <f t="shared" si="16"/>
        <v>0</v>
      </c>
      <c r="K45" s="77">
        <f t="shared" si="16"/>
        <v>0</v>
      </c>
      <c r="L45" s="77">
        <f t="shared" si="16"/>
        <v>0</v>
      </c>
      <c r="M45" s="77">
        <f t="shared" si="16"/>
        <v>0</v>
      </c>
      <c r="N45" s="77">
        <f t="shared" si="16"/>
        <v>0</v>
      </c>
      <c r="O45" s="77">
        <f t="shared" si="16"/>
        <v>0</v>
      </c>
      <c r="P45" s="77">
        <f t="shared" si="16"/>
        <v>0</v>
      </c>
      <c r="Q45" s="77">
        <f t="shared" si="17"/>
        <v>0</v>
      </c>
      <c r="R45" s="77">
        <f t="shared" si="18"/>
        <v>0</v>
      </c>
      <c r="S45" s="77">
        <f t="shared" si="18"/>
        <v>0</v>
      </c>
      <c r="T45" s="77">
        <f t="shared" si="18"/>
        <v>0</v>
      </c>
      <c r="U45" s="77">
        <f t="shared" si="18"/>
        <v>0</v>
      </c>
      <c r="AB45" s="59"/>
      <c r="AC45" s="59"/>
      <c r="AD45" s="59"/>
      <c r="AE45" s="59"/>
      <c r="AF45" s="59"/>
      <c r="AG45" s="59"/>
      <c r="AH45" s="59"/>
      <c r="AI45" s="59"/>
    </row>
    <row r="46" spans="1:35" s="72" customFormat="1" ht="13" x14ac:dyDescent="0.35">
      <c r="A46" s="13">
        <f>R8</f>
        <v>0</v>
      </c>
      <c r="B46" s="15"/>
      <c r="C46" s="77">
        <f t="shared" si="12"/>
        <v>0</v>
      </c>
      <c r="D46" s="77">
        <f t="shared" si="13"/>
        <v>0</v>
      </c>
      <c r="E46" s="77">
        <f t="shared" si="14"/>
        <v>0</v>
      </c>
      <c r="F46" s="77">
        <f t="shared" si="15"/>
        <v>0</v>
      </c>
      <c r="G46" s="77">
        <f t="shared" si="16"/>
        <v>0</v>
      </c>
      <c r="H46" s="77">
        <f t="shared" si="16"/>
        <v>0</v>
      </c>
      <c r="I46" s="77">
        <f t="shared" si="16"/>
        <v>0</v>
      </c>
      <c r="J46" s="77">
        <f t="shared" si="16"/>
        <v>0</v>
      </c>
      <c r="K46" s="77">
        <f t="shared" si="16"/>
        <v>0</v>
      </c>
      <c r="L46" s="77">
        <f t="shared" si="16"/>
        <v>0</v>
      </c>
      <c r="M46" s="77">
        <f t="shared" si="16"/>
        <v>0</v>
      </c>
      <c r="N46" s="77">
        <f t="shared" si="16"/>
        <v>0</v>
      </c>
      <c r="O46" s="77">
        <f t="shared" si="16"/>
        <v>0</v>
      </c>
      <c r="P46" s="77">
        <f t="shared" si="16"/>
        <v>0</v>
      </c>
      <c r="Q46" s="77">
        <f t="shared" si="17"/>
        <v>0</v>
      </c>
      <c r="R46" s="77">
        <f t="shared" si="18"/>
        <v>0</v>
      </c>
      <c r="S46" s="77">
        <f t="shared" si="18"/>
        <v>0</v>
      </c>
      <c r="T46" s="77">
        <f t="shared" si="18"/>
        <v>0</v>
      </c>
      <c r="U46" s="77">
        <f t="shared" si="18"/>
        <v>0</v>
      </c>
      <c r="AB46" s="59"/>
      <c r="AC46" s="59"/>
      <c r="AD46" s="59"/>
      <c r="AE46" s="59"/>
      <c r="AF46" s="59"/>
      <c r="AG46" s="59"/>
      <c r="AH46" s="59"/>
      <c r="AI46" s="59"/>
    </row>
    <row r="47" spans="1:35" s="72" customFormat="1" ht="13" x14ac:dyDescent="0.35">
      <c r="A47" s="13">
        <f>S8</f>
        <v>0</v>
      </c>
      <c r="B47" s="15"/>
      <c r="C47" s="77">
        <f t="shared" si="12"/>
        <v>0</v>
      </c>
      <c r="D47" s="77">
        <f t="shared" si="13"/>
        <v>0</v>
      </c>
      <c r="E47" s="77">
        <f t="shared" si="14"/>
        <v>0</v>
      </c>
      <c r="F47" s="77">
        <f t="shared" si="15"/>
        <v>0</v>
      </c>
      <c r="G47" s="77">
        <f t="shared" ref="G47:P50" si="19">IF(G$27="%w/w SAR",((G$28*10)*$B47),IF(G$27="%w/w DM",(((G$28*10)*($B$28/100))*$B47),IF(G$27="kg/t SAR",(G$28*$B47),IF(G$27="kg/t DM",((G$28*($B$28/100))*$B47),IF(G$27="mg/kg SAR",((G$28*0.001)*$B47),IF(G$27="mg/kg DM",(((G$28*0.001)*($B$28/100))*$B47),0))))))</f>
        <v>0</v>
      </c>
      <c r="H47" s="77">
        <f t="shared" si="19"/>
        <v>0</v>
      </c>
      <c r="I47" s="77">
        <f t="shared" si="19"/>
        <v>0</v>
      </c>
      <c r="J47" s="77">
        <f t="shared" si="19"/>
        <v>0</v>
      </c>
      <c r="K47" s="77">
        <f t="shared" si="19"/>
        <v>0</v>
      </c>
      <c r="L47" s="77">
        <f t="shared" si="19"/>
        <v>0</v>
      </c>
      <c r="M47" s="77">
        <f t="shared" si="19"/>
        <v>0</v>
      </c>
      <c r="N47" s="77">
        <f t="shared" si="19"/>
        <v>0</v>
      </c>
      <c r="O47" s="77">
        <f t="shared" si="19"/>
        <v>0</v>
      </c>
      <c r="P47" s="77">
        <f t="shared" si="19"/>
        <v>0</v>
      </c>
      <c r="Q47" s="77">
        <f t="shared" si="17"/>
        <v>0</v>
      </c>
      <c r="R47" s="77">
        <f t="shared" si="18"/>
        <v>0</v>
      </c>
      <c r="S47" s="77">
        <f t="shared" si="18"/>
        <v>0</v>
      </c>
      <c r="T47" s="77">
        <f t="shared" si="18"/>
        <v>0</v>
      </c>
      <c r="U47" s="77">
        <f t="shared" si="18"/>
        <v>0</v>
      </c>
      <c r="AB47" s="59"/>
      <c r="AC47" s="59"/>
      <c r="AD47" s="59"/>
      <c r="AE47" s="59"/>
      <c r="AF47" s="59"/>
      <c r="AG47" s="59"/>
      <c r="AH47" s="59"/>
      <c r="AI47" s="59"/>
    </row>
    <row r="48" spans="1:35" s="72" customFormat="1" ht="13" x14ac:dyDescent="0.35">
      <c r="A48" s="13">
        <f>T8</f>
        <v>0</v>
      </c>
      <c r="B48" s="15"/>
      <c r="C48" s="77">
        <f t="shared" si="12"/>
        <v>0</v>
      </c>
      <c r="D48" s="77">
        <f t="shared" si="13"/>
        <v>0</v>
      </c>
      <c r="E48" s="77">
        <f t="shared" si="14"/>
        <v>0</v>
      </c>
      <c r="F48" s="77">
        <f t="shared" si="15"/>
        <v>0</v>
      </c>
      <c r="G48" s="77">
        <f t="shared" si="19"/>
        <v>0</v>
      </c>
      <c r="H48" s="77">
        <f t="shared" si="19"/>
        <v>0</v>
      </c>
      <c r="I48" s="77">
        <f t="shared" si="19"/>
        <v>0</v>
      </c>
      <c r="J48" s="77">
        <f t="shared" si="19"/>
        <v>0</v>
      </c>
      <c r="K48" s="77">
        <f t="shared" si="19"/>
        <v>0</v>
      </c>
      <c r="L48" s="77">
        <f t="shared" si="19"/>
        <v>0</v>
      </c>
      <c r="M48" s="77">
        <f t="shared" si="19"/>
        <v>0</v>
      </c>
      <c r="N48" s="77">
        <f t="shared" si="19"/>
        <v>0</v>
      </c>
      <c r="O48" s="77">
        <f t="shared" si="19"/>
        <v>0</v>
      </c>
      <c r="P48" s="77">
        <f t="shared" si="19"/>
        <v>0</v>
      </c>
      <c r="Q48" s="77">
        <f t="shared" si="17"/>
        <v>0</v>
      </c>
      <c r="R48" s="77">
        <f t="shared" si="18"/>
        <v>0</v>
      </c>
      <c r="S48" s="77">
        <f t="shared" si="18"/>
        <v>0</v>
      </c>
      <c r="T48" s="77">
        <f t="shared" si="18"/>
        <v>0</v>
      </c>
      <c r="U48" s="77">
        <f t="shared" si="18"/>
        <v>0</v>
      </c>
      <c r="AB48" s="59"/>
      <c r="AC48" s="59"/>
      <c r="AD48" s="59"/>
      <c r="AE48" s="59"/>
      <c r="AF48" s="59"/>
      <c r="AG48" s="59"/>
      <c r="AH48" s="59"/>
      <c r="AI48" s="59"/>
    </row>
    <row r="49" spans="1:35" s="72" customFormat="1" ht="13" x14ac:dyDescent="0.35">
      <c r="A49" s="13">
        <f>U8</f>
        <v>0</v>
      </c>
      <c r="B49" s="15"/>
      <c r="C49" s="77">
        <f t="shared" si="12"/>
        <v>0</v>
      </c>
      <c r="D49" s="77">
        <f t="shared" si="13"/>
        <v>0</v>
      </c>
      <c r="E49" s="77">
        <f t="shared" si="14"/>
        <v>0</v>
      </c>
      <c r="F49" s="77">
        <f t="shared" si="15"/>
        <v>0</v>
      </c>
      <c r="G49" s="77">
        <f t="shared" si="19"/>
        <v>0</v>
      </c>
      <c r="H49" s="77">
        <f t="shared" si="19"/>
        <v>0</v>
      </c>
      <c r="I49" s="77">
        <f t="shared" si="19"/>
        <v>0</v>
      </c>
      <c r="J49" s="77">
        <f t="shared" si="19"/>
        <v>0</v>
      </c>
      <c r="K49" s="77">
        <f t="shared" si="19"/>
        <v>0</v>
      </c>
      <c r="L49" s="77">
        <f t="shared" si="19"/>
        <v>0</v>
      </c>
      <c r="M49" s="77">
        <f t="shared" si="19"/>
        <v>0</v>
      </c>
      <c r="N49" s="77">
        <f t="shared" si="19"/>
        <v>0</v>
      </c>
      <c r="O49" s="77">
        <f t="shared" si="19"/>
        <v>0</v>
      </c>
      <c r="P49" s="77">
        <f t="shared" si="19"/>
        <v>0</v>
      </c>
      <c r="Q49" s="77">
        <f t="shared" si="17"/>
        <v>0</v>
      </c>
      <c r="R49" s="77">
        <f t="shared" si="18"/>
        <v>0</v>
      </c>
      <c r="S49" s="77">
        <f t="shared" si="18"/>
        <v>0</v>
      </c>
      <c r="T49" s="77">
        <f t="shared" si="18"/>
        <v>0</v>
      </c>
      <c r="U49" s="77">
        <f t="shared" si="18"/>
        <v>0</v>
      </c>
      <c r="AB49" s="59"/>
      <c r="AC49" s="59"/>
      <c r="AD49" s="59"/>
      <c r="AE49" s="59"/>
      <c r="AF49" s="59"/>
      <c r="AG49" s="59"/>
      <c r="AH49" s="59"/>
      <c r="AI49" s="59"/>
    </row>
    <row r="50" spans="1:35" s="72" customFormat="1" ht="13.5" thickBot="1" x14ac:dyDescent="0.4">
      <c r="A50" s="14">
        <f>V8</f>
        <v>0</v>
      </c>
      <c r="B50" s="15"/>
      <c r="C50" s="98">
        <f t="shared" si="12"/>
        <v>0</v>
      </c>
      <c r="D50" s="98">
        <f t="shared" si="13"/>
        <v>0</v>
      </c>
      <c r="E50" s="98">
        <f t="shared" si="14"/>
        <v>0</v>
      </c>
      <c r="F50" s="98">
        <f t="shared" si="15"/>
        <v>0</v>
      </c>
      <c r="G50" s="98">
        <f t="shared" si="19"/>
        <v>0</v>
      </c>
      <c r="H50" s="98">
        <f t="shared" si="19"/>
        <v>0</v>
      </c>
      <c r="I50" s="98">
        <f t="shared" si="19"/>
        <v>0</v>
      </c>
      <c r="J50" s="98">
        <f t="shared" si="19"/>
        <v>0</v>
      </c>
      <c r="K50" s="98">
        <f t="shared" si="19"/>
        <v>0</v>
      </c>
      <c r="L50" s="98">
        <f t="shared" si="19"/>
        <v>0</v>
      </c>
      <c r="M50" s="98">
        <f t="shared" si="19"/>
        <v>0</v>
      </c>
      <c r="N50" s="98">
        <f t="shared" si="19"/>
        <v>0</v>
      </c>
      <c r="O50" s="98">
        <f t="shared" si="19"/>
        <v>0</v>
      </c>
      <c r="P50" s="98">
        <f t="shared" si="19"/>
        <v>0</v>
      </c>
      <c r="Q50" s="98">
        <f t="shared" si="17"/>
        <v>0</v>
      </c>
      <c r="R50" s="98">
        <f t="shared" si="18"/>
        <v>0</v>
      </c>
      <c r="S50" s="98">
        <f t="shared" si="18"/>
        <v>0</v>
      </c>
      <c r="T50" s="98">
        <f t="shared" si="18"/>
        <v>0</v>
      </c>
      <c r="U50" s="98">
        <f t="shared" si="18"/>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3</v>
      </c>
      <c r="C57" s="8" t="str">
        <f t="shared" ref="C57:U57" si="20">D8</f>
        <v>Bryn 4</v>
      </c>
      <c r="D57" s="8" t="str">
        <f t="shared" si="20"/>
        <v>Bryn 5</v>
      </c>
      <c r="E57" s="8" t="str">
        <f t="shared" si="20"/>
        <v>Bryn 7</v>
      </c>
      <c r="F57" s="8" t="str">
        <f t="shared" si="20"/>
        <v>Bryn 8</v>
      </c>
      <c r="G57" s="8" t="str">
        <f t="shared" si="20"/>
        <v>Bryn 10</v>
      </c>
      <c r="H57" s="8" t="str">
        <f t="shared" si="20"/>
        <v>Bryn 11</v>
      </c>
      <c r="I57" s="8" t="str">
        <f t="shared" si="20"/>
        <v>Bryn 12</v>
      </c>
      <c r="J57" s="8" t="str">
        <f t="shared" si="20"/>
        <v>Bryn 13</v>
      </c>
      <c r="K57" s="8" t="str">
        <f t="shared" si="20"/>
        <v xml:space="preserve">Bryn 14 </v>
      </c>
      <c r="L57" s="8" t="str">
        <f t="shared" si="20"/>
        <v>Pencefen 3</v>
      </c>
      <c r="M57" s="8" t="str">
        <f t="shared" si="20"/>
        <v>Pencefen 4</v>
      </c>
      <c r="N57" s="8" t="str">
        <f t="shared" si="20"/>
        <v>Pencefen 5</v>
      </c>
      <c r="O57" s="8">
        <f t="shared" si="20"/>
        <v>0</v>
      </c>
      <c r="P57" s="8">
        <f t="shared" si="20"/>
        <v>0</v>
      </c>
      <c r="Q57" s="8">
        <f t="shared" si="20"/>
        <v>0</v>
      </c>
      <c r="R57" s="8">
        <f t="shared" si="20"/>
        <v>0</v>
      </c>
      <c r="S57" s="8">
        <f t="shared" si="20"/>
        <v>0</v>
      </c>
      <c r="T57" s="8">
        <f t="shared" si="20"/>
        <v>0</v>
      </c>
      <c r="U57" s="8">
        <f t="shared" si="20"/>
        <v>0</v>
      </c>
    </row>
    <row r="58" spans="1:35" s="19" customFormat="1" ht="13" x14ac:dyDescent="0.35">
      <c r="A58" s="92" t="s">
        <v>136</v>
      </c>
      <c r="B58" s="13" t="str">
        <f>C16&amp;" I "&amp;(VLOOKUP(C14,Table245811[],6,FALSE))</f>
        <v>Medium/Clay I Grass</v>
      </c>
      <c r="C58" s="13" t="str">
        <f>D16&amp;" I "&amp;(VLOOKUP(D14,Table245811[],6,FALSE))</f>
        <v>Sandy I Grass</v>
      </c>
      <c r="D58" s="13" t="str">
        <f>E16&amp;" I "&amp;(VLOOKUP(E14,Table245811[],6,FALSE))</f>
        <v>Sandy I Grass</v>
      </c>
      <c r="E58" s="13" t="str">
        <f>F16&amp;" I "&amp;(VLOOKUP(F14,Table245811[],6,FALSE))</f>
        <v>Sandy I Grass</v>
      </c>
      <c r="F58" s="13" t="str">
        <f>G16&amp;" I "&amp;(VLOOKUP(G14,Table245811[],6,FALSE))</f>
        <v>Medium/Clay I Arable</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6.7</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6.4</v>
      </c>
      <c r="C60" s="76">
        <f t="shared" ref="C60:U60" si="21">D10</f>
        <v>6.1</v>
      </c>
      <c r="D60" s="76">
        <f t="shared" si="21"/>
        <v>6.8</v>
      </c>
      <c r="E60" s="76">
        <f t="shared" si="21"/>
        <v>6.8</v>
      </c>
      <c r="F60" s="76">
        <f t="shared" si="21"/>
        <v>6.9</v>
      </c>
      <c r="G60" s="76">
        <f t="shared" si="21"/>
        <v>6.4</v>
      </c>
      <c r="H60" s="76">
        <f t="shared" si="21"/>
        <v>6.6</v>
      </c>
      <c r="I60" s="76">
        <f t="shared" si="21"/>
        <v>6.6</v>
      </c>
      <c r="J60" s="76">
        <f t="shared" si="21"/>
        <v>6.8</v>
      </c>
      <c r="K60" s="76">
        <f t="shared" si="21"/>
        <v>7.1</v>
      </c>
      <c r="L60" s="76">
        <f t="shared" si="21"/>
        <v>6.5</v>
      </c>
      <c r="M60" s="76">
        <f t="shared" si="21"/>
        <v>6.5</v>
      </c>
      <c r="N60" s="76">
        <f t="shared" si="21"/>
        <v>6.5</v>
      </c>
      <c r="O60" s="76">
        <f t="shared" si="21"/>
        <v>0</v>
      </c>
      <c r="P60" s="76">
        <f t="shared" si="21"/>
        <v>0</v>
      </c>
      <c r="Q60" s="76">
        <f t="shared" si="21"/>
        <v>0</v>
      </c>
      <c r="R60" s="76">
        <f t="shared" si="21"/>
        <v>0</v>
      </c>
      <c r="S60" s="76">
        <f t="shared" si="21"/>
        <v>0</v>
      </c>
      <c r="T60" s="76">
        <f t="shared" si="21"/>
        <v>0</v>
      </c>
      <c r="U60" s="76">
        <f t="shared" si="21"/>
        <v>0</v>
      </c>
    </row>
    <row r="61" spans="1:35" s="19" customFormat="1" ht="13" x14ac:dyDescent="0.3">
      <c r="A61" s="111" t="s">
        <v>133</v>
      </c>
      <c r="B61" s="76">
        <f t="shared" ref="B61:U61" si="22">VLOOKUP(B58,$AD9:$AE18,2,FALSE)</f>
        <v>6</v>
      </c>
      <c r="C61" s="76">
        <f t="shared" si="22"/>
        <v>4.5</v>
      </c>
      <c r="D61" s="76">
        <f t="shared" si="22"/>
        <v>4.5</v>
      </c>
      <c r="E61" s="76">
        <f t="shared" si="22"/>
        <v>4.5</v>
      </c>
      <c r="F61" s="76">
        <f t="shared" si="22"/>
        <v>8</v>
      </c>
      <c r="G61" s="76">
        <f t="shared" si="22"/>
        <v>6</v>
      </c>
      <c r="H61" s="76">
        <f t="shared" si="22"/>
        <v>6</v>
      </c>
      <c r="I61" s="76">
        <f t="shared" si="22"/>
        <v>6</v>
      </c>
      <c r="J61" s="76">
        <f t="shared" si="22"/>
        <v>6</v>
      </c>
      <c r="K61" s="76">
        <f t="shared" si="22"/>
        <v>6</v>
      </c>
      <c r="L61" s="76">
        <f t="shared" si="22"/>
        <v>6</v>
      </c>
      <c r="M61" s="76">
        <f t="shared" si="22"/>
        <v>6</v>
      </c>
      <c r="N61" s="76">
        <f t="shared" si="22"/>
        <v>6</v>
      </c>
      <c r="O61" s="76" t="e">
        <f t="shared" si="22"/>
        <v>#N/A</v>
      </c>
      <c r="P61" s="76" t="e">
        <f t="shared" si="22"/>
        <v>#N/A</v>
      </c>
      <c r="Q61" s="76" t="e">
        <f t="shared" si="22"/>
        <v>#N/A</v>
      </c>
      <c r="R61" s="76" t="e">
        <f t="shared" si="22"/>
        <v>#N/A</v>
      </c>
      <c r="S61" s="76" t="e">
        <f t="shared" si="22"/>
        <v>#N/A</v>
      </c>
      <c r="T61" s="76" t="e">
        <f t="shared" si="22"/>
        <v>#N/A</v>
      </c>
      <c r="U61" s="76" t="e">
        <f t="shared" si="22"/>
        <v>#N/A</v>
      </c>
    </row>
    <row r="62" spans="1:35" s="19" customFormat="1" ht="13" x14ac:dyDescent="0.3">
      <c r="A62" s="111" t="s">
        <v>134</v>
      </c>
      <c r="B62" s="77">
        <f>B31</f>
        <v>64</v>
      </c>
      <c r="C62" s="77">
        <f>B32</f>
        <v>64</v>
      </c>
      <c r="D62" s="77">
        <f>B33</f>
        <v>64</v>
      </c>
      <c r="E62" s="77">
        <f>B34</f>
        <v>64</v>
      </c>
      <c r="F62" s="77">
        <f>B35</f>
        <v>54</v>
      </c>
      <c r="G62" s="77">
        <f>B36</f>
        <v>64</v>
      </c>
      <c r="H62" s="77">
        <f>B37</f>
        <v>64</v>
      </c>
      <c r="I62" s="77">
        <f>B38</f>
        <v>64</v>
      </c>
      <c r="J62" s="77">
        <f>B39</f>
        <v>39</v>
      </c>
      <c r="K62" s="77">
        <f>B40</f>
        <v>64</v>
      </c>
      <c r="L62" s="77">
        <f>B41</f>
        <v>64</v>
      </c>
      <c r="M62" s="77">
        <f>B42</f>
        <v>64</v>
      </c>
      <c r="N62" s="77">
        <f>B43</f>
        <v>64</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23">$E55*(C62/100)</f>
        <v>0</v>
      </c>
      <c r="D63" s="77">
        <f t="shared" si="23"/>
        <v>0</v>
      </c>
      <c r="E63" s="77">
        <f t="shared" si="23"/>
        <v>0</v>
      </c>
      <c r="F63" s="77">
        <f>$E55*(F62/100)</f>
        <v>0</v>
      </c>
      <c r="G63" s="77">
        <f t="shared" si="23"/>
        <v>0</v>
      </c>
      <c r="H63" s="77">
        <f t="shared" si="23"/>
        <v>0</v>
      </c>
      <c r="I63" s="77">
        <f t="shared" si="23"/>
        <v>0</v>
      </c>
      <c r="J63" s="77">
        <f t="shared" si="23"/>
        <v>0</v>
      </c>
      <c r="K63" s="77">
        <f t="shared" si="23"/>
        <v>0</v>
      </c>
      <c r="L63" s="77">
        <f t="shared" si="23"/>
        <v>0</v>
      </c>
      <c r="M63" s="77">
        <f t="shared" si="23"/>
        <v>0</v>
      </c>
      <c r="N63" s="77">
        <f t="shared" si="23"/>
        <v>0</v>
      </c>
      <c r="O63" s="77">
        <f t="shared" si="23"/>
        <v>0</v>
      </c>
      <c r="P63" s="77">
        <f t="shared" si="23"/>
        <v>0</v>
      </c>
      <c r="Q63" s="77">
        <f t="shared" si="23"/>
        <v>0</v>
      </c>
      <c r="R63" s="77">
        <f t="shared" si="23"/>
        <v>0</v>
      </c>
      <c r="S63" s="77">
        <f t="shared" si="23"/>
        <v>0</v>
      </c>
      <c r="T63" s="77">
        <f t="shared" si="23"/>
        <v>0</v>
      </c>
      <c r="U63" s="77">
        <f t="shared" si="23"/>
        <v>0</v>
      </c>
    </row>
    <row r="64" spans="1:35" s="19" customFormat="1" ht="52" x14ac:dyDescent="0.3">
      <c r="A64" s="112" t="s">
        <v>156</v>
      </c>
      <c r="B64" s="77">
        <f>(B59-B60)*B61</f>
        <v>-1.2000000000000011</v>
      </c>
      <c r="C64" s="77">
        <f t="shared" ref="C64:U64" si="24">(C59-C60)*C61</f>
        <v>0.4500000000000024</v>
      </c>
      <c r="D64" s="77">
        <f t="shared" si="24"/>
        <v>-2.6999999999999984</v>
      </c>
      <c r="E64" s="77">
        <f t="shared" si="24"/>
        <v>-2.6999999999999984</v>
      </c>
      <c r="F64" s="77">
        <f t="shared" si="24"/>
        <v>-1.6000000000000014</v>
      </c>
      <c r="G64" s="77">
        <f t="shared" si="24"/>
        <v>-1.2000000000000011</v>
      </c>
      <c r="H64" s="77">
        <f t="shared" si="24"/>
        <v>-2.3999999999999968</v>
      </c>
      <c r="I64" s="77">
        <f t="shared" si="24"/>
        <v>-2.3999999999999968</v>
      </c>
      <c r="J64" s="77">
        <f t="shared" si="24"/>
        <v>-3.5999999999999979</v>
      </c>
      <c r="K64" s="77">
        <f t="shared" si="24"/>
        <v>-5.3999999999999968</v>
      </c>
      <c r="L64" s="77">
        <f t="shared" si="24"/>
        <v>-1.7999999999999989</v>
      </c>
      <c r="M64" s="77">
        <f t="shared" si="24"/>
        <v>-1.7999999999999989</v>
      </c>
      <c r="N64" s="77">
        <f t="shared" si="24"/>
        <v>-1.7999999999999989</v>
      </c>
      <c r="O64" s="77" t="e">
        <f t="shared" si="24"/>
        <v>#N/A</v>
      </c>
      <c r="P64" s="77" t="e">
        <f t="shared" si="24"/>
        <v>#N/A</v>
      </c>
      <c r="Q64" s="77" t="e">
        <f t="shared" si="24"/>
        <v>#N/A</v>
      </c>
      <c r="R64" s="77" t="e">
        <f t="shared" si="24"/>
        <v>#N/A</v>
      </c>
      <c r="S64" s="77" t="e">
        <f t="shared" si="24"/>
        <v>#N/A</v>
      </c>
      <c r="T64" s="77" t="e">
        <f t="shared" si="24"/>
        <v>#N/A</v>
      </c>
      <c r="U64" s="77" t="e">
        <f t="shared" si="24"/>
        <v>#N/A</v>
      </c>
    </row>
    <row r="65" spans="1:21" s="19" customFormat="1" ht="52" x14ac:dyDescent="0.3">
      <c r="A65" s="112" t="s">
        <v>157</v>
      </c>
      <c r="B65" s="77">
        <f>B63-B64</f>
        <v>1.2000000000000011</v>
      </c>
      <c r="C65" s="77">
        <f t="shared" ref="C65:U65" si="25">C63-C64</f>
        <v>-0.4500000000000024</v>
      </c>
      <c r="D65" s="77">
        <f t="shared" si="25"/>
        <v>2.6999999999999984</v>
      </c>
      <c r="E65" s="77">
        <f t="shared" si="25"/>
        <v>2.6999999999999984</v>
      </c>
      <c r="F65" s="77">
        <f t="shared" si="25"/>
        <v>1.6000000000000014</v>
      </c>
      <c r="G65" s="77">
        <f t="shared" si="25"/>
        <v>1.2000000000000011</v>
      </c>
      <c r="H65" s="77">
        <f t="shared" si="25"/>
        <v>2.3999999999999968</v>
      </c>
      <c r="I65" s="77">
        <f t="shared" si="25"/>
        <v>2.3999999999999968</v>
      </c>
      <c r="J65" s="77">
        <f t="shared" si="25"/>
        <v>3.5999999999999979</v>
      </c>
      <c r="K65" s="77">
        <f t="shared" si="25"/>
        <v>5.3999999999999968</v>
      </c>
      <c r="L65" s="77">
        <f t="shared" si="25"/>
        <v>1.7999999999999989</v>
      </c>
      <c r="M65" s="77">
        <f t="shared" si="25"/>
        <v>1.7999999999999989</v>
      </c>
      <c r="N65" s="77">
        <f t="shared" si="25"/>
        <v>1.7999999999999989</v>
      </c>
      <c r="O65" s="77" t="e">
        <f t="shared" si="25"/>
        <v>#N/A</v>
      </c>
      <c r="P65" s="77" t="e">
        <f t="shared" si="25"/>
        <v>#N/A</v>
      </c>
      <c r="Q65" s="77" t="e">
        <f t="shared" si="25"/>
        <v>#N/A</v>
      </c>
      <c r="R65" s="77" t="e">
        <f t="shared" si="25"/>
        <v>#N/A</v>
      </c>
      <c r="S65" s="77" t="e">
        <f t="shared" si="25"/>
        <v>#N/A</v>
      </c>
      <c r="T65" s="77" t="e">
        <f t="shared" si="25"/>
        <v>#N/A</v>
      </c>
      <c r="U65" s="77" t="e">
        <f t="shared" si="25"/>
        <v>#N/A</v>
      </c>
    </row>
    <row r="66" spans="1:21" s="19" customFormat="1" ht="26" x14ac:dyDescent="0.3">
      <c r="A66" s="112" t="s">
        <v>148</v>
      </c>
      <c r="B66" s="78" t="str">
        <f>IF(B64&lt;=B63,"OVER","UNDER")</f>
        <v>OVER</v>
      </c>
      <c r="C66" s="78" t="str">
        <f t="shared" ref="C66:U66" si="26">IF(C64&lt;=C63,"OVER","UNDER")</f>
        <v>UNDER</v>
      </c>
      <c r="D66" s="78" t="str">
        <f t="shared" si="26"/>
        <v>OVER</v>
      </c>
      <c r="E66" s="78" t="str">
        <f t="shared" si="26"/>
        <v>OVER</v>
      </c>
      <c r="F66" s="78" t="str">
        <f t="shared" si="26"/>
        <v>OVER</v>
      </c>
      <c r="G66" s="78" t="str">
        <f t="shared" si="26"/>
        <v>OVER</v>
      </c>
      <c r="H66" s="78" t="str">
        <f t="shared" si="26"/>
        <v>OVER</v>
      </c>
      <c r="I66" s="78" t="str">
        <f t="shared" si="26"/>
        <v>OVER</v>
      </c>
      <c r="J66" s="78" t="str">
        <f t="shared" si="26"/>
        <v>OVER</v>
      </c>
      <c r="K66" s="78" t="str">
        <f t="shared" si="26"/>
        <v>OVER</v>
      </c>
      <c r="L66" s="78" t="str">
        <f t="shared" si="26"/>
        <v>OVER</v>
      </c>
      <c r="M66" s="78" t="str">
        <f t="shared" si="26"/>
        <v>OVER</v>
      </c>
      <c r="N66" s="78" t="str">
        <f t="shared" si="26"/>
        <v>OVER</v>
      </c>
      <c r="O66" s="78" t="e">
        <f t="shared" si="26"/>
        <v>#N/A</v>
      </c>
      <c r="P66" s="78" t="e">
        <f t="shared" si="26"/>
        <v>#N/A</v>
      </c>
      <c r="Q66" s="78" t="e">
        <f t="shared" si="26"/>
        <v>#N/A</v>
      </c>
      <c r="R66" s="78" t="e">
        <f t="shared" si="26"/>
        <v>#N/A</v>
      </c>
      <c r="S66" s="78" t="e">
        <f t="shared" si="26"/>
        <v>#N/A</v>
      </c>
      <c r="T66" s="78" t="e">
        <f t="shared" si="26"/>
        <v>#N/A</v>
      </c>
      <c r="U66" s="78" t="e">
        <f t="shared" si="26"/>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2" priority="38" operator="equal">
      <formula>"DECREASE"</formula>
    </cfRule>
    <cfRule type="cellIs" dxfId="41" priority="39" operator="equal">
      <formula>"INCREASE"</formula>
    </cfRule>
  </conditionalFormatting>
  <conditionalFormatting sqref="B44:B50 B62:U66">
    <cfRule type="cellIs" dxfId="40" priority="37" operator="greaterThan">
      <formula>$B$51</formula>
    </cfRule>
  </conditionalFormatting>
  <conditionalFormatting sqref="C31:C50">
    <cfRule type="cellIs" dxfId="39" priority="36" operator="greaterThan">
      <formula>$C$51</formula>
    </cfRule>
  </conditionalFormatting>
  <conditionalFormatting sqref="C18:V18">
    <cfRule type="cellIs" dxfId="38" priority="35" operator="equal">
      <formula>0</formula>
    </cfRule>
  </conditionalFormatting>
  <conditionalFormatting sqref="C17:V17">
    <cfRule type="cellIs" dxfId="37" priority="34" operator="equal">
      <formula>0</formula>
    </cfRule>
  </conditionalFormatting>
  <conditionalFormatting sqref="C19:V19">
    <cfRule type="cellIs" dxfId="36" priority="33" operator="equal">
      <formula>0</formula>
    </cfRule>
  </conditionalFormatting>
  <conditionalFormatting sqref="G31:G50">
    <cfRule type="cellIs" dxfId="35" priority="32" operator="greaterThan">
      <formula>$G$51</formula>
    </cfRule>
  </conditionalFormatting>
  <conditionalFormatting sqref="H31:H50">
    <cfRule type="cellIs" dxfId="34" priority="31" operator="greaterThan">
      <formula>$H$51</formula>
    </cfRule>
  </conditionalFormatting>
  <conditionalFormatting sqref="I31:I50">
    <cfRule type="cellIs" dxfId="33" priority="30" operator="greaterThan">
      <formula>$I$51</formula>
    </cfRule>
  </conditionalFormatting>
  <conditionalFormatting sqref="K31:K50">
    <cfRule type="cellIs" dxfId="32" priority="29" operator="greaterThan">
      <formula>$K$51</formula>
    </cfRule>
  </conditionalFormatting>
  <conditionalFormatting sqref="L31:L50">
    <cfRule type="cellIs" dxfId="31" priority="28" operator="greaterThan">
      <formula>$L$51</formula>
    </cfRule>
  </conditionalFormatting>
  <conditionalFormatting sqref="M31:M50">
    <cfRule type="cellIs" dxfId="30" priority="27" operator="greaterThan">
      <formula>$M$51</formula>
    </cfRule>
  </conditionalFormatting>
  <conditionalFormatting sqref="P31:P50">
    <cfRule type="cellIs" dxfId="29" priority="26" operator="greaterThan">
      <formula>$P$51</formula>
    </cfRule>
  </conditionalFormatting>
  <conditionalFormatting sqref="R31:R50">
    <cfRule type="cellIs" dxfId="28" priority="25" operator="greaterThan">
      <formula>$R$51</formula>
    </cfRule>
  </conditionalFormatting>
  <conditionalFormatting sqref="S31:S50">
    <cfRule type="cellIs" dxfId="27" priority="24" operator="greaterThan">
      <formula>$S$51</formula>
    </cfRule>
  </conditionalFormatting>
  <conditionalFormatting sqref="T31:T50">
    <cfRule type="cellIs" dxfId="26" priority="23" operator="greaterThan">
      <formula>$T$51</formula>
    </cfRule>
  </conditionalFormatting>
  <conditionalFormatting sqref="U31:U50">
    <cfRule type="cellIs" dxfId="25" priority="22" operator="greaterThan">
      <formula>$U$51</formula>
    </cfRule>
  </conditionalFormatting>
  <conditionalFormatting sqref="C22:V22">
    <cfRule type="cellIs" dxfId="24" priority="21" operator="equal">
      <formula>0</formula>
    </cfRule>
  </conditionalFormatting>
  <conditionalFormatting sqref="C24:V24">
    <cfRule type="cellIs" dxfId="23" priority="19" operator="equal">
      <formula>"DECREASE"</formula>
    </cfRule>
    <cfRule type="cellIs" dxfId="22" priority="20" operator="equal">
      <formula>"INCREASE"</formula>
    </cfRule>
  </conditionalFormatting>
  <conditionalFormatting sqref="C23:V23">
    <cfRule type="cellIs" dxfId="21" priority="18" operator="equal">
      <formula>0</formula>
    </cfRule>
  </conditionalFormatting>
  <conditionalFormatting sqref="C21:V21">
    <cfRule type="cellIs" dxfId="20" priority="14" operator="equal">
      <formula>0</formula>
    </cfRule>
  </conditionalFormatting>
  <conditionalFormatting sqref="B66:U66">
    <cfRule type="cellIs" dxfId="19" priority="12" operator="equal">
      <formula>"UNDER"</formula>
    </cfRule>
    <cfRule type="cellIs" dxfId="18" priority="13" operator="equal">
      <formula>"OVER"</formula>
    </cfRule>
  </conditionalFormatting>
  <conditionalFormatting sqref="J31:J50">
    <cfRule type="cellIs" dxfId="17" priority="9" operator="greaterThan">
      <formula>$J$51</formula>
    </cfRule>
  </conditionalFormatting>
  <conditionalFormatting sqref="L3">
    <cfRule type="cellIs" dxfId="16" priority="5" operator="lessThan">
      <formula>30</formula>
    </cfRule>
    <cfRule type="cellIs" dxfId="15" priority="6" operator="greaterThanOrEqual">
      <formula>30</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B31:B43">
    <cfRule type="cellIs" dxfId="11" priority="1" operator="greaterThan">
      <formula>$B$51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S22" sqref="S22"/>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7" t="s">
        <v>84</v>
      </c>
      <c r="B1" s="38" t="str">
        <f>'Dairy Partners'!B29</f>
        <v>Application Rate</v>
      </c>
      <c r="C1" s="38" t="str">
        <f>'Dairy Partners'!C29</f>
        <v>Nitrogen Addition</v>
      </c>
      <c r="D1" s="38" t="str">
        <f>'Dairy Partners'!D29</f>
        <v>Phosphate Addition</v>
      </c>
      <c r="E1" s="38" t="str">
        <f>'Dairy Partners'!E29</f>
        <v>Potash  Addition</v>
      </c>
      <c r="F1" s="38" t="str">
        <f>'Dairy Partners'!F29</f>
        <v>Mg Oxide Addition</v>
      </c>
      <c r="G1" s="38" t="str">
        <f>'Dairy Partners'!G29</f>
        <v>Copper Addition</v>
      </c>
      <c r="H1" s="38" t="str">
        <f>'Dairy Partners'!H29</f>
        <v>Zinc Addition</v>
      </c>
      <c r="I1" s="38" t="str">
        <f>'Dairy Partners'!I29</f>
        <v>Lead Addition</v>
      </c>
      <c r="J1" s="38" t="str">
        <f>'Dairy Partners'!J29</f>
        <v>Cadmium Addition</v>
      </c>
      <c r="K1" s="38" t="str">
        <f>'Dairy Partners'!K29</f>
        <v>Mercury Addition</v>
      </c>
      <c r="L1" s="38" t="str">
        <f>'Dairy Partners'!L29</f>
        <v>Nickel Addition</v>
      </c>
      <c r="M1" s="38" t="str">
        <f>'Dairy Partners'!M29</f>
        <v>Chromium Addition</v>
      </c>
      <c r="N1" s="38" t="str">
        <f>'Dairy Partners'!N29</f>
        <v>Aluminium Addition</v>
      </c>
      <c r="O1" s="38" t="str">
        <f>'Dairy Partners'!O29</f>
        <v>Iron Addition</v>
      </c>
      <c r="P1" s="38" t="str">
        <f>'Dairy Partners'!P29</f>
        <v xml:space="preserve">Sodium Addition                 </v>
      </c>
      <c r="Q1" s="38" t="str">
        <f>'Dairy Partners'!Q29</f>
        <v>SO3  Addition                             kg/ha</v>
      </c>
      <c r="R1" s="38" t="str">
        <f>'Dairy Partners'!R29</f>
        <v xml:space="preserve">Selenium Addition </v>
      </c>
      <c r="S1" s="38" t="str">
        <f>'Dairy Partners'!S29</f>
        <v xml:space="preserve">Arsenic  Addition  </v>
      </c>
      <c r="T1" s="38" t="str">
        <f>'Dairy Partners'!T29</f>
        <v xml:space="preserve">Molybdenum Addition  </v>
      </c>
      <c r="U1" s="38" t="str">
        <f>'Dairy Partners'!U29</f>
        <v xml:space="preserve">Fluoride Addition </v>
      </c>
    </row>
    <row r="2" spans="1:21" ht="25" x14ac:dyDescent="0.25">
      <c r="A2" s="147"/>
      <c r="B2" s="38" t="str">
        <f>'Dairy Partners'!B30</f>
        <v>tonnes/ha</v>
      </c>
      <c r="C2" s="38" t="str">
        <f>'Dairy Partners'!C30</f>
        <v>kg/ha</v>
      </c>
      <c r="D2" s="38" t="str">
        <f>'Dairy Partners'!D30</f>
        <v>P2O5 
kg/ha</v>
      </c>
      <c r="E2" s="38" t="str">
        <f>'Dairy Partners'!E30</f>
        <v>K2O 
kg/ha</v>
      </c>
      <c r="F2" s="38" t="str">
        <f>'Dairy Partners'!F30</f>
        <v>MgO 
kg/ha</v>
      </c>
      <c r="G2" s="38" t="str">
        <f>'Dairy Partners'!G30</f>
        <v>kg/ha</v>
      </c>
      <c r="H2" s="38" t="str">
        <f>'Dairy Partners'!H30</f>
        <v>kg/ha</v>
      </c>
      <c r="I2" s="38" t="str">
        <f>'Dairy Partners'!I30</f>
        <v>kg/ha</v>
      </c>
      <c r="J2" s="38" t="str">
        <f>'Dairy Partners'!J30</f>
        <v>kg/ha</v>
      </c>
      <c r="K2" s="38" t="str">
        <f>'Dairy Partners'!K30</f>
        <v>kg/ha</v>
      </c>
      <c r="L2" s="38" t="str">
        <f>'Dairy Partners'!L30</f>
        <v>kg/ha</v>
      </c>
      <c r="M2" s="38" t="str">
        <f>'Dairy Partners'!M30</f>
        <v>kg/ha</v>
      </c>
      <c r="N2" s="38" t="str">
        <f>'Dairy Partners'!N30</f>
        <v>kg/ha</v>
      </c>
      <c r="O2" s="38" t="str">
        <f>'Dairy Partners'!O30</f>
        <v>kg/ha</v>
      </c>
      <c r="P2" s="38" t="str">
        <f>'Dairy Partners'!P30</f>
        <v>kg/ha</v>
      </c>
      <c r="Q2" s="38" t="str">
        <f>'Dairy Partners'!Q30</f>
        <v>kg/ha</v>
      </c>
      <c r="R2" s="38" t="str">
        <f>'Dairy Partners'!R30</f>
        <v>kg/ha</v>
      </c>
      <c r="S2" s="38" t="str">
        <f>'Dairy Partners'!S30</f>
        <v>kg/ha</v>
      </c>
      <c r="T2" s="38" t="str">
        <f>'Dairy Partners'!T30</f>
        <v>kg/ha</v>
      </c>
      <c r="U2" s="38" t="str">
        <f>'Dairy Partners'!U30</f>
        <v>kg/ha</v>
      </c>
    </row>
    <row r="3" spans="1:21" x14ac:dyDescent="0.25">
      <c r="A3" s="36">
        <v>1</v>
      </c>
      <c r="B3" s="33">
        <f>'Dairy Partners'!B31</f>
        <v>69</v>
      </c>
      <c r="C3" s="33">
        <f>'Dairy Partners'!C31</f>
        <v>131.1</v>
      </c>
      <c r="D3" s="33">
        <f>'Dairy Partners'!D31</f>
        <v>64.970469000000008</v>
      </c>
      <c r="E3" s="33">
        <f>'Dairy Partners'!E31</f>
        <v>18.624480000000002</v>
      </c>
      <c r="F3" s="33">
        <f>'Dairy Partners'!F31</f>
        <v>4.6790417999999994</v>
      </c>
      <c r="G3" s="33">
        <f>'Dairy Partners'!G31</f>
        <v>1.3800000000000002E-2</v>
      </c>
      <c r="H3" s="33">
        <f>'Dairy Partners'!H31</f>
        <v>9.1079999999999994E-2</v>
      </c>
      <c r="I3" s="33">
        <f>'Dairy Partners'!I31</f>
        <v>3.4500000000000003E-2</v>
      </c>
      <c r="J3" s="33">
        <f>'Dairy Partners'!J31</f>
        <v>6.9000000000000008E-4</v>
      </c>
      <c r="K3" s="33">
        <f>'Dairy Partners'!K31</f>
        <v>3.4500000000000004E-3</v>
      </c>
      <c r="L3" s="33">
        <f>'Dairy Partners'!L31</f>
        <v>1.3800000000000002E-2</v>
      </c>
      <c r="M3" s="33">
        <f>'Dairy Partners'!M31</f>
        <v>2.07E-2</v>
      </c>
      <c r="N3" s="33">
        <f>'Dairy Partners'!N31</f>
        <v>0</v>
      </c>
      <c r="O3" s="33">
        <f>'Dairy Partners'!O31</f>
        <v>0</v>
      </c>
      <c r="P3" s="33">
        <f>'Dairy Partners'!P31</f>
        <v>23.391000000000002</v>
      </c>
      <c r="Q3" s="33">
        <f>'Dairy Partners'!Q31</f>
        <v>25.53</v>
      </c>
      <c r="R3" s="33">
        <f>'Dairy Partners'!R31</f>
        <v>0</v>
      </c>
      <c r="S3" s="33">
        <f>'Dairy Partners'!S31</f>
        <v>0</v>
      </c>
      <c r="T3" s="33">
        <f>'Dairy Partners'!T31</f>
        <v>0</v>
      </c>
      <c r="U3" s="33">
        <f>'Dairy Partners'!U31</f>
        <v>0</v>
      </c>
    </row>
    <row r="4" spans="1:21" x14ac:dyDescent="0.25">
      <c r="A4" s="36">
        <v>2</v>
      </c>
      <c r="B4" s="33">
        <f>Volac!B31</f>
        <v>40</v>
      </c>
      <c r="C4" s="33">
        <f>Volac!C31</f>
        <v>28.000000000000004</v>
      </c>
      <c r="D4" s="33">
        <f>Volac!D31</f>
        <v>64.331280000000007</v>
      </c>
      <c r="E4" s="33">
        <f>Volac!E31</f>
        <v>39.668600000000005</v>
      </c>
      <c r="F4" s="33">
        <f>Volac!F31</f>
        <v>10.47856</v>
      </c>
      <c r="G4" s="33">
        <f>Volac!G31</f>
        <v>2.9600000000000001E-2</v>
      </c>
      <c r="H4" s="33">
        <f>Volac!H31</f>
        <v>5.7599999999999998E-2</v>
      </c>
      <c r="I4" s="33">
        <f>Volac!I31</f>
        <v>0.02</v>
      </c>
      <c r="J4" s="33">
        <f>Volac!J31</f>
        <v>4.0000000000000002E-4</v>
      </c>
      <c r="K4" s="33">
        <f>Volac!K31</f>
        <v>2E-3</v>
      </c>
      <c r="L4" s="33">
        <f>Volac!L31</f>
        <v>9.6000000000000009E-3</v>
      </c>
      <c r="M4" s="33">
        <f>Volac!M31</f>
        <v>8.0000000000000002E-3</v>
      </c>
      <c r="N4" s="33">
        <f>Volac!N31</f>
        <v>0</v>
      </c>
      <c r="O4" s="33">
        <f>Volac!O31</f>
        <v>0</v>
      </c>
      <c r="P4" s="33">
        <f>Volac!P31</f>
        <v>19.399999999999999</v>
      </c>
      <c r="Q4" s="33">
        <f>Volac!Q31</f>
        <v>15.700000000000001</v>
      </c>
      <c r="R4" s="33">
        <f>Volac!R31</f>
        <v>0</v>
      </c>
      <c r="S4" s="33">
        <f>Volac!S31</f>
        <v>0</v>
      </c>
      <c r="T4" s="33">
        <f>Volac!T31</f>
        <v>0</v>
      </c>
      <c r="U4" s="33">
        <f>Volac!U31</f>
        <v>0</v>
      </c>
    </row>
    <row r="5" spans="1:21" x14ac:dyDescent="0.25">
      <c r="A5" s="36">
        <v>3</v>
      </c>
      <c r="B5" s="33">
        <f>'Penderyn whiskey'!B31</f>
        <v>64</v>
      </c>
      <c r="C5" s="33">
        <f>'Penderyn whiskey'!C31</f>
        <v>64</v>
      </c>
      <c r="D5" s="33">
        <f>'Penderyn whiskey'!D31</f>
        <v>64.074687999999995</v>
      </c>
      <c r="E5" s="33">
        <f>'Penderyn whiskey'!E31</f>
        <v>61.773120000000006</v>
      </c>
      <c r="F5" s="33">
        <f>'Penderyn whiskey'!F31</f>
        <v>13.688447999999999</v>
      </c>
      <c r="G5" s="33">
        <f>'Penderyn whiskey'!G31</f>
        <v>0.23808000000000001</v>
      </c>
      <c r="H5" s="33">
        <f>'Penderyn whiskey'!H31</f>
        <v>5.8880000000000002E-2</v>
      </c>
      <c r="I5" s="33">
        <f>'Penderyn whiskey'!I31</f>
        <v>3.2000000000000001E-2</v>
      </c>
      <c r="J5" s="33">
        <f>'Penderyn whiskey'!J31</f>
        <v>6.4000000000000005E-4</v>
      </c>
      <c r="K5" s="33">
        <f>'Penderyn whiskey'!K31</f>
        <v>3.2000000000000002E-3</v>
      </c>
      <c r="L5" s="33">
        <f>'Penderyn whiskey'!L31</f>
        <v>1.2800000000000001E-2</v>
      </c>
      <c r="M5" s="33">
        <f>'Penderyn whiskey'!M31</f>
        <v>1.6640000000000002E-2</v>
      </c>
      <c r="N5" s="33">
        <f>'Penderyn whiskey'!N31</f>
        <v>0</v>
      </c>
      <c r="O5" s="33">
        <f>'Penderyn whiskey'!O31</f>
        <v>0</v>
      </c>
      <c r="P5" s="33">
        <f>'Penderyn whiskey'!P31</f>
        <v>58.368000000000002</v>
      </c>
      <c r="Q5" s="33">
        <f>'Penderyn whiskey'!Q31</f>
        <v>16.32</v>
      </c>
      <c r="R5" s="33">
        <f>'Penderyn whiskey'!R31</f>
        <v>0</v>
      </c>
      <c r="S5" s="33">
        <f>'Penderyn whiskey'!S31</f>
        <v>0</v>
      </c>
      <c r="T5" s="33">
        <f>'Penderyn whiskey'!T31</f>
        <v>0</v>
      </c>
      <c r="U5" s="33">
        <f>'Penderyn whiskey'!U31</f>
        <v>0</v>
      </c>
    </row>
    <row r="6" spans="1:21" x14ac:dyDescent="0.25">
      <c r="A6" s="36">
        <v>4</v>
      </c>
      <c r="B6" s="33"/>
      <c r="C6" s="33"/>
      <c r="D6" s="33"/>
      <c r="E6" s="33"/>
      <c r="F6" s="33"/>
      <c r="G6" s="33"/>
      <c r="H6" s="33"/>
      <c r="I6" s="33"/>
      <c r="J6" s="33"/>
      <c r="K6" s="33"/>
      <c r="L6" s="33"/>
      <c r="M6" s="33"/>
      <c r="N6" s="33"/>
      <c r="O6" s="33"/>
      <c r="P6" s="33"/>
      <c r="Q6" s="33"/>
      <c r="R6" s="33"/>
      <c r="S6" s="33"/>
      <c r="T6" s="33"/>
      <c r="U6" s="33"/>
    </row>
    <row r="7" spans="1:21" x14ac:dyDescent="0.25">
      <c r="A7" s="36">
        <v>5</v>
      </c>
      <c r="B7" s="33"/>
      <c r="C7" s="33"/>
      <c r="D7" s="33"/>
      <c r="E7" s="33"/>
      <c r="F7" s="33"/>
      <c r="G7" s="33"/>
      <c r="H7" s="33"/>
      <c r="I7" s="33"/>
      <c r="J7" s="33"/>
      <c r="K7" s="33"/>
      <c r="L7" s="33"/>
      <c r="M7" s="33"/>
      <c r="N7" s="33"/>
      <c r="O7" s="33"/>
      <c r="P7" s="33"/>
      <c r="Q7" s="33"/>
      <c r="R7" s="33"/>
      <c r="S7" s="33"/>
      <c r="T7" s="33"/>
      <c r="U7" s="33"/>
    </row>
    <row r="8" spans="1:21" x14ac:dyDescent="0.25">
      <c r="A8" s="36">
        <v>6</v>
      </c>
      <c r="B8" s="33"/>
      <c r="C8" s="33"/>
      <c r="D8" s="33"/>
      <c r="E8" s="33"/>
      <c r="F8" s="33"/>
      <c r="G8" s="33"/>
      <c r="H8" s="33"/>
      <c r="I8" s="33"/>
      <c r="J8" s="33"/>
      <c r="K8" s="33"/>
      <c r="L8" s="33"/>
      <c r="M8" s="33"/>
      <c r="N8" s="33"/>
      <c r="O8" s="33"/>
      <c r="P8" s="33"/>
      <c r="Q8" s="33"/>
      <c r="R8" s="33"/>
      <c r="S8" s="33"/>
      <c r="T8" s="33"/>
      <c r="U8" s="33"/>
    </row>
    <row r="9" spans="1:21" x14ac:dyDescent="0.25">
      <c r="A9" s="36">
        <v>7</v>
      </c>
      <c r="B9" s="33"/>
      <c r="C9" s="33"/>
      <c r="D9" s="33"/>
      <c r="E9" s="33"/>
      <c r="F9" s="33"/>
      <c r="G9" s="33"/>
      <c r="H9" s="33"/>
      <c r="I9" s="33"/>
      <c r="J9" s="33"/>
      <c r="K9" s="33"/>
      <c r="L9" s="33"/>
      <c r="M9" s="33"/>
      <c r="N9" s="33"/>
      <c r="O9" s="33"/>
      <c r="P9" s="33"/>
      <c r="Q9" s="33"/>
      <c r="R9" s="33"/>
      <c r="S9" s="33"/>
      <c r="T9" s="33"/>
      <c r="U9" s="33"/>
    </row>
    <row r="10" spans="1:21" x14ac:dyDescent="0.25">
      <c r="A10" s="36">
        <v>8</v>
      </c>
      <c r="B10" s="33"/>
      <c r="C10" s="33"/>
      <c r="D10" s="33"/>
      <c r="E10" s="33"/>
      <c r="F10" s="33"/>
      <c r="G10" s="33"/>
      <c r="H10" s="33"/>
      <c r="I10" s="33"/>
      <c r="J10" s="33"/>
      <c r="K10" s="33"/>
      <c r="L10" s="33"/>
      <c r="M10" s="33"/>
      <c r="N10" s="33"/>
      <c r="O10" s="33"/>
      <c r="P10" s="33"/>
      <c r="Q10" s="33"/>
      <c r="R10" s="33"/>
      <c r="S10" s="33"/>
      <c r="T10" s="33"/>
      <c r="U10" s="33"/>
    </row>
    <row r="11" spans="1:21" x14ac:dyDescent="0.25">
      <c r="A11" s="36">
        <v>9</v>
      </c>
      <c r="B11" s="33"/>
      <c r="C11" s="33"/>
      <c r="D11" s="33"/>
      <c r="E11" s="33"/>
      <c r="F11" s="33"/>
      <c r="G11" s="33"/>
      <c r="H11" s="33"/>
      <c r="I11" s="33"/>
      <c r="J11" s="33"/>
      <c r="K11" s="33"/>
      <c r="L11" s="33"/>
      <c r="M11" s="33"/>
      <c r="N11" s="33"/>
      <c r="O11" s="33"/>
      <c r="P11" s="33"/>
      <c r="Q11" s="33"/>
      <c r="R11" s="33"/>
      <c r="S11" s="33"/>
      <c r="T11" s="33"/>
      <c r="U11" s="33"/>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5" x14ac:dyDescent="0.35">
      <c r="A13" s="80" t="s">
        <v>85</v>
      </c>
      <c r="B13" s="81">
        <f>SUM(B3:B12)</f>
        <v>173</v>
      </c>
      <c r="C13" s="81">
        <f t="shared" ref="C13:U13" si="0">SUM(C3:C12)</f>
        <v>223.1</v>
      </c>
      <c r="D13" s="81">
        <f t="shared" si="0"/>
        <v>193.37643700000001</v>
      </c>
      <c r="E13" s="81">
        <f t="shared" si="0"/>
        <v>120.06620000000001</v>
      </c>
      <c r="F13" s="81">
        <f t="shared" si="0"/>
        <v>28.846049799999996</v>
      </c>
      <c r="G13" s="81">
        <f t="shared" si="0"/>
        <v>0.28148000000000001</v>
      </c>
      <c r="H13" s="81">
        <f t="shared" si="0"/>
        <v>0.20755999999999997</v>
      </c>
      <c r="I13" s="81">
        <f t="shared" si="0"/>
        <v>8.6500000000000007E-2</v>
      </c>
      <c r="J13" s="81">
        <f t="shared" si="0"/>
        <v>1.7300000000000002E-3</v>
      </c>
      <c r="K13" s="81">
        <f t="shared" si="0"/>
        <v>8.6499999999999997E-3</v>
      </c>
      <c r="L13" s="81">
        <f t="shared" si="0"/>
        <v>3.6200000000000003E-2</v>
      </c>
      <c r="M13" s="81">
        <f t="shared" si="0"/>
        <v>4.5340000000000005E-2</v>
      </c>
      <c r="N13" s="81">
        <f t="shared" si="0"/>
        <v>0</v>
      </c>
      <c r="O13" s="81">
        <f t="shared" si="0"/>
        <v>0</v>
      </c>
      <c r="P13" s="81">
        <f t="shared" si="0"/>
        <v>101.15899999999999</v>
      </c>
      <c r="Q13" s="81">
        <f t="shared" si="0"/>
        <v>57.550000000000004</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8" t="s">
        <v>84</v>
      </c>
      <c r="B1" s="34" t="s">
        <v>152</v>
      </c>
      <c r="C1" s="35" t="str">
        <f>'Dairy Partners'!B29</f>
        <v>Application Rate</v>
      </c>
      <c r="D1" s="35" t="str">
        <f>'Dairy Partners'!C29</f>
        <v>Nitrogen Addition</v>
      </c>
      <c r="E1" s="35" t="str">
        <f>'Dairy Partners'!D29</f>
        <v>Phosphate Addition</v>
      </c>
      <c r="F1" s="35" t="str">
        <f>'Dairy Partners'!E29</f>
        <v>Potash  Addition</v>
      </c>
      <c r="G1" s="35" t="str">
        <f>'Dairy Partners'!F29</f>
        <v>Mg Oxide Addition</v>
      </c>
      <c r="H1" s="35" t="str">
        <f>'Dairy Partners'!G29</f>
        <v>Copper Addition</v>
      </c>
      <c r="I1" s="35" t="str">
        <f>'Dairy Partners'!H29</f>
        <v>Zinc Addition</v>
      </c>
      <c r="J1" s="35" t="str">
        <f>'Dairy Partners'!I29</f>
        <v>Lead Addition</v>
      </c>
      <c r="K1" s="35" t="str">
        <f>'Dairy Partners'!J29</f>
        <v>Cadmium Addition</v>
      </c>
      <c r="L1" s="35" t="str">
        <f>'Dairy Partners'!K29</f>
        <v>Mercury Addition</v>
      </c>
      <c r="M1" s="35" t="str">
        <f>'Dairy Partners'!L29</f>
        <v>Nickel Addition</v>
      </c>
      <c r="N1" s="35" t="str">
        <f>'Dairy Partners'!M29</f>
        <v>Chromium Addition</v>
      </c>
      <c r="O1" s="35" t="str">
        <f>'Dairy Partners'!N29</f>
        <v>Aluminium Addition</v>
      </c>
      <c r="P1" s="35" t="str">
        <f>'Dairy Partners'!O29</f>
        <v>Iron Addition</v>
      </c>
      <c r="Q1" s="35" t="str">
        <f>'Dairy Partners'!P29</f>
        <v xml:space="preserve">Sodium Addition                 </v>
      </c>
      <c r="R1" s="35" t="str">
        <f>'Dairy Partners'!Q29</f>
        <v>SO3  Addition                             kg/ha</v>
      </c>
      <c r="S1" s="35" t="str">
        <f>'Dairy Partners'!R29</f>
        <v xml:space="preserve">Selenium Addition </v>
      </c>
      <c r="T1" s="35" t="str">
        <f>'Dairy Partners'!S29</f>
        <v xml:space="preserve">Arsenic  Addition  </v>
      </c>
      <c r="U1" s="35" t="str">
        <f>'Dairy Partners'!T29</f>
        <v xml:space="preserve">Molybdenum Addition  </v>
      </c>
      <c r="V1" s="35" t="str">
        <f>'Dairy Partners'!U29</f>
        <v xml:space="preserve">Fluoride Addition </v>
      </c>
    </row>
    <row r="2" spans="1:22" s="83" customFormat="1" ht="25" x14ac:dyDescent="0.35">
      <c r="A2" s="148"/>
      <c r="B2" s="32" t="s">
        <v>46</v>
      </c>
      <c r="C2" s="35" t="str">
        <f>'Dairy Partners'!B30</f>
        <v>tonnes/ha</v>
      </c>
      <c r="D2" s="35" t="str">
        <f>'Dairy Partners'!C30</f>
        <v>kg/ha</v>
      </c>
      <c r="E2" s="35" t="str">
        <f>'Dairy Partners'!D30</f>
        <v>P2O5 
kg/ha</v>
      </c>
      <c r="F2" s="35" t="str">
        <f>'Dairy Partners'!E30</f>
        <v>K2O 
kg/ha</v>
      </c>
      <c r="G2" s="35" t="str">
        <f>'Dairy Partners'!F30</f>
        <v>MgO 
kg/ha</v>
      </c>
      <c r="H2" s="35" t="str">
        <f>'Dairy Partners'!G30</f>
        <v>kg/ha</v>
      </c>
      <c r="I2" s="35" t="str">
        <f>'Dairy Partners'!H30</f>
        <v>kg/ha</v>
      </c>
      <c r="J2" s="35" t="str">
        <f>'Dairy Partners'!I30</f>
        <v>kg/ha</v>
      </c>
      <c r="K2" s="35" t="str">
        <f>'Dairy Partners'!J30</f>
        <v>kg/ha</v>
      </c>
      <c r="L2" s="35" t="str">
        <f>'Dairy Partners'!K30</f>
        <v>kg/ha</v>
      </c>
      <c r="M2" s="35" t="str">
        <f>'Dairy Partners'!L30</f>
        <v>kg/ha</v>
      </c>
      <c r="N2" s="35" t="str">
        <f>'Dairy Partners'!M30</f>
        <v>kg/ha</v>
      </c>
      <c r="O2" s="35" t="str">
        <f>'Dairy Partners'!N30</f>
        <v>kg/ha</v>
      </c>
      <c r="P2" s="35" t="str">
        <f>'Dairy Partners'!O30</f>
        <v>kg/ha</v>
      </c>
      <c r="Q2" s="35" t="str">
        <f>'Dairy Partners'!P30</f>
        <v>kg/ha</v>
      </c>
      <c r="R2" s="35" t="str">
        <f>'Dairy Partners'!Q30</f>
        <v>kg/ha</v>
      </c>
      <c r="S2" s="35" t="str">
        <f>'Dairy Partners'!R30</f>
        <v>kg/ha</v>
      </c>
      <c r="T2" s="35" t="str">
        <f>'Dairy Partners'!S30</f>
        <v>kg/ha</v>
      </c>
      <c r="U2" s="35" t="str">
        <f>'Dairy Partners'!T30</f>
        <v>kg/ha</v>
      </c>
      <c r="V2" s="35" t="str">
        <f>'Dairy Partners'!U30</f>
        <v>kg/ha</v>
      </c>
    </row>
    <row r="3" spans="1:22" x14ac:dyDescent="0.25">
      <c r="A3" s="36">
        <v>1</v>
      </c>
      <c r="B3" s="91"/>
      <c r="C3" s="33">
        <f>'Dairy Partners'!B31</f>
        <v>69</v>
      </c>
      <c r="D3" s="33">
        <f>'Dairy Partners'!C31</f>
        <v>131.1</v>
      </c>
      <c r="E3" s="33">
        <f>'Dairy Partners'!D31</f>
        <v>64.970469000000008</v>
      </c>
      <c r="F3" s="33">
        <f>'Dairy Partners'!E31</f>
        <v>18.624480000000002</v>
      </c>
      <c r="G3" s="33">
        <f>'Dairy Partners'!F31</f>
        <v>4.6790417999999994</v>
      </c>
      <c r="H3" s="33">
        <f>'Dairy Partners'!G31</f>
        <v>1.3800000000000002E-2</v>
      </c>
      <c r="I3" s="33">
        <f>'Dairy Partners'!H31</f>
        <v>9.1079999999999994E-2</v>
      </c>
      <c r="J3" s="33">
        <f>'Dairy Partners'!I31</f>
        <v>3.4500000000000003E-2</v>
      </c>
      <c r="K3" s="33">
        <f>'Dairy Partners'!J31</f>
        <v>6.9000000000000008E-4</v>
      </c>
      <c r="L3" s="33">
        <f>'Dairy Partners'!K31</f>
        <v>3.4500000000000004E-3</v>
      </c>
      <c r="M3" s="33">
        <f>'Dairy Partners'!L31</f>
        <v>1.3800000000000002E-2</v>
      </c>
      <c r="N3" s="33">
        <f>'Dairy Partners'!M31</f>
        <v>2.07E-2</v>
      </c>
      <c r="O3" s="33">
        <f>'Dairy Partners'!N31</f>
        <v>0</v>
      </c>
      <c r="P3" s="33">
        <f>'Dairy Partners'!O31</f>
        <v>0</v>
      </c>
      <c r="Q3" s="33">
        <f>'Dairy Partners'!P31</f>
        <v>23.391000000000002</v>
      </c>
      <c r="R3" s="33">
        <f>'Dairy Partners'!Q31</f>
        <v>25.53</v>
      </c>
      <c r="S3" s="33">
        <f>'Dairy Partners'!R31</f>
        <v>0</v>
      </c>
      <c r="T3" s="33">
        <f>'Dairy Partners'!S31</f>
        <v>0</v>
      </c>
      <c r="U3" s="33">
        <f>'Dairy Partners'!T31</f>
        <v>0</v>
      </c>
      <c r="V3" s="33">
        <f>'Dairy Partners'!U31</f>
        <v>0</v>
      </c>
    </row>
    <row r="4" spans="1:22" x14ac:dyDescent="0.25">
      <c r="A4" s="36">
        <v>2</v>
      </c>
      <c r="B4" s="91"/>
      <c r="C4" s="33">
        <f>Volac!B31</f>
        <v>40</v>
      </c>
      <c r="D4" s="33">
        <f>Volac!C31</f>
        <v>28.000000000000004</v>
      </c>
      <c r="E4" s="33">
        <f>Volac!D31</f>
        <v>64.331280000000007</v>
      </c>
      <c r="F4" s="33">
        <f>Volac!E31</f>
        <v>39.668600000000005</v>
      </c>
      <c r="G4" s="33">
        <f>Volac!F31</f>
        <v>10.47856</v>
      </c>
      <c r="H4" s="33">
        <f>Volac!G31</f>
        <v>2.9600000000000001E-2</v>
      </c>
      <c r="I4" s="33">
        <f>Volac!H31</f>
        <v>5.7599999999999998E-2</v>
      </c>
      <c r="J4" s="33">
        <f>Volac!I31</f>
        <v>0.02</v>
      </c>
      <c r="K4" s="33">
        <f>Volac!J31</f>
        <v>4.0000000000000002E-4</v>
      </c>
      <c r="L4" s="33">
        <f>Volac!K31</f>
        <v>2E-3</v>
      </c>
      <c r="M4" s="33">
        <f>Volac!L31</f>
        <v>9.6000000000000009E-3</v>
      </c>
      <c r="N4" s="33">
        <f>Volac!M31</f>
        <v>8.0000000000000002E-3</v>
      </c>
      <c r="O4" s="33">
        <f>Volac!N31</f>
        <v>0</v>
      </c>
      <c r="P4" s="33">
        <f>Volac!O31</f>
        <v>0</v>
      </c>
      <c r="Q4" s="33">
        <f>Volac!P31</f>
        <v>19.399999999999999</v>
      </c>
      <c r="R4" s="33">
        <f>Volac!Q31</f>
        <v>15.700000000000001</v>
      </c>
      <c r="S4" s="33">
        <f>Volac!R31</f>
        <v>0</v>
      </c>
      <c r="T4" s="33">
        <f>Volac!S31</f>
        <v>0</v>
      </c>
      <c r="U4" s="33">
        <f>Volac!T31</f>
        <v>0</v>
      </c>
      <c r="V4" s="33">
        <f>Volac!U31</f>
        <v>0</v>
      </c>
    </row>
    <row r="5" spans="1:22" x14ac:dyDescent="0.25">
      <c r="A5" s="36">
        <v>3</v>
      </c>
      <c r="B5" s="91"/>
      <c r="C5" s="33">
        <f>'Penderyn whiskey'!B31</f>
        <v>64</v>
      </c>
      <c r="D5" s="33">
        <f>'Penderyn whiskey'!C31</f>
        <v>64</v>
      </c>
      <c r="E5" s="33">
        <f>'Penderyn whiskey'!D31</f>
        <v>64.074687999999995</v>
      </c>
      <c r="F5" s="33">
        <f>'Penderyn whiskey'!E31</f>
        <v>61.773120000000006</v>
      </c>
      <c r="G5" s="33">
        <f>'Penderyn whiskey'!F31</f>
        <v>13.688447999999999</v>
      </c>
      <c r="H5" s="33">
        <f>'Penderyn whiskey'!G31</f>
        <v>0.23808000000000001</v>
      </c>
      <c r="I5" s="33">
        <f>'Penderyn whiskey'!H31</f>
        <v>5.8880000000000002E-2</v>
      </c>
      <c r="J5" s="33">
        <f>'Penderyn whiskey'!I31</f>
        <v>3.2000000000000001E-2</v>
      </c>
      <c r="K5" s="33">
        <f>'Penderyn whiskey'!J31</f>
        <v>6.4000000000000005E-4</v>
      </c>
      <c r="L5" s="33">
        <f>'Penderyn whiskey'!K31</f>
        <v>3.2000000000000002E-3</v>
      </c>
      <c r="M5" s="33">
        <f>'Penderyn whiskey'!L31</f>
        <v>1.2800000000000001E-2</v>
      </c>
      <c r="N5" s="33">
        <f>'Penderyn whiskey'!M31</f>
        <v>1.6640000000000002E-2</v>
      </c>
      <c r="O5" s="33">
        <f>'Penderyn whiskey'!N31</f>
        <v>0</v>
      </c>
      <c r="P5" s="33">
        <f>'Penderyn whiskey'!O31</f>
        <v>0</v>
      </c>
      <c r="Q5" s="33">
        <f>'Penderyn whiskey'!P31</f>
        <v>58.368000000000002</v>
      </c>
      <c r="R5" s="33">
        <f>'Penderyn whiskey'!Q31</f>
        <v>16.32</v>
      </c>
      <c r="S5" s="33">
        <f>'Penderyn whiskey'!R31</f>
        <v>0</v>
      </c>
      <c r="T5" s="33">
        <f>'Penderyn whiskey'!S31</f>
        <v>0</v>
      </c>
      <c r="U5" s="33">
        <f>'Penderyn whiskey'!T31</f>
        <v>0</v>
      </c>
      <c r="V5" s="33">
        <f>'Penderyn whiskey'!U31</f>
        <v>0</v>
      </c>
    </row>
    <row r="6" spans="1:22" x14ac:dyDescent="0.25">
      <c r="A6" s="36">
        <v>4</v>
      </c>
      <c r="B6" s="91"/>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c r="V6" s="33" t="e">
        <f>#REF!</f>
        <v>#REF!</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7" t="s">
        <v>84</v>
      </c>
      <c r="B15" s="35" t="s">
        <v>152</v>
      </c>
      <c r="C15" s="35">
        <f>'Dairy Partners'!B43</f>
        <v>69</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7"/>
      <c r="B16" s="32" t="s">
        <v>46</v>
      </c>
      <c r="C16" s="35">
        <f>'Dairy Partners'!B44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69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40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64</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t="e">
        <f t="shared" si="7"/>
        <v>#REF!</v>
      </c>
      <c r="D20" s="88" t="e">
        <f>D6*$B$6</f>
        <v>#REF!</v>
      </c>
      <c r="E20" s="88" t="e">
        <f t="shared" ref="E20:V20" si="8">E6*$B$6</f>
        <v>#REF!</v>
      </c>
      <c r="F20" s="88" t="e">
        <f t="shared" si="8"/>
        <v>#REF!</v>
      </c>
      <c r="G20" s="88" t="e">
        <f t="shared" si="8"/>
        <v>#REF!</v>
      </c>
      <c r="H20" s="88" t="e">
        <f t="shared" si="8"/>
        <v>#REF!</v>
      </c>
      <c r="I20" s="88" t="e">
        <f t="shared" si="8"/>
        <v>#REF!</v>
      </c>
      <c r="J20" s="88" t="e">
        <f t="shared" si="8"/>
        <v>#REF!</v>
      </c>
      <c r="K20" s="88" t="e">
        <f t="shared" si="8"/>
        <v>#REF!</v>
      </c>
      <c r="L20" s="88" t="e">
        <f t="shared" si="8"/>
        <v>#REF!</v>
      </c>
      <c r="M20" s="88" t="e">
        <f t="shared" si="8"/>
        <v>#REF!</v>
      </c>
      <c r="N20" s="88" t="e">
        <f t="shared" si="8"/>
        <v>#REF!</v>
      </c>
      <c r="O20" s="88" t="e">
        <f t="shared" si="8"/>
        <v>#REF!</v>
      </c>
      <c r="P20" s="88" t="e">
        <f t="shared" si="8"/>
        <v>#REF!</v>
      </c>
      <c r="Q20" s="88" t="e">
        <f t="shared" si="8"/>
        <v>#REF!</v>
      </c>
      <c r="R20" s="88" t="e">
        <f t="shared" si="8"/>
        <v>#REF!</v>
      </c>
      <c r="S20" s="88" t="e">
        <f t="shared" si="8"/>
        <v>#REF!</v>
      </c>
      <c r="T20" s="88" t="e">
        <f t="shared" si="8"/>
        <v>#REF!</v>
      </c>
      <c r="U20" s="88" t="e">
        <f t="shared" si="8"/>
        <v>#REF!</v>
      </c>
      <c r="V20" s="88" t="e">
        <f t="shared" si="8"/>
        <v>#REF!</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9" t="s">
        <v>85</v>
      </c>
      <c r="B27" s="149"/>
      <c r="C27" s="149"/>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REGU-195-6513430</_dlc_DocId>
    <_dlc_DocIdUrl xmlns="9be56660-2c31-41ef-bc00-23e72f632f2a">
      <Url>https://cyfoethnaturiolcymru.sharepoint.com/teams/Regulatory/Permitting/_layouts/15/DocIdRedir.aspx?ID=REGU-195-6513430</Url>
      <Description>REGU-195-6513430</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2023-05-11T23:00:00+00:00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9" ma:contentTypeDescription="Permitting &amp; Compliance Word Document" ma:contentTypeScope="" ma:versionID="54acad10b6648aa26e08ffeb30574923">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3594d9a99cf34e091bedf6883cc964f8"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2.xml><?xml version="1.0" encoding="utf-8"?>
<ds:datastoreItem xmlns:ds="http://schemas.openxmlformats.org/officeDocument/2006/customXml" ds:itemID="{F6DADB61-1DBC-4515-B30A-E9468879B57A}"/>
</file>

<file path=customXml/itemProps3.xml><?xml version="1.0" encoding="utf-8"?>
<ds:datastoreItem xmlns:ds="http://schemas.openxmlformats.org/officeDocument/2006/customXml" ds:itemID="{8FDDC61F-19EB-45A1-A797-8B21723C6044}"/>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Dairy Partners</vt:lpstr>
      <vt:lpstr>Volac</vt:lpstr>
      <vt:lpstr>Penderyn whiskey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2023-05-12T15:28:02Z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8527698d-e391-483f-9a48-8c4ecc0dfe88</vt:lpwstr>
  </property>
  <property fmtid="{D5CDD505-2E9C-101B-9397-08002B2CF9AE}" pid="4" name="MediaServiceImageTags">
    <vt:lpwstr/>
  </property>
</Properties>
</file>