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Lou B/PAN-021626 TES GB/"/>
    </mc:Choice>
  </mc:AlternateContent>
  <xr:revisionPtr revIDLastSave="4" documentId="8_{A92379D3-25DC-49E3-A64C-726C6FB61B5F}" xr6:coauthVersionLast="47" xr6:coauthVersionMax="47" xr10:uidLastSave="{3544CBC2-B3CB-4A07-92D3-208C252E825F}"/>
  <bookViews>
    <workbookView xWindow="-28920" yWindow="1665" windowWidth="29040" windowHeight="15840" tabRatio="733" xr2:uid="{00000000-000D-0000-FFFF-FFFF00000000}"/>
  </bookViews>
  <sheets>
    <sheet name="Secanim" sheetId="1" r:id="rId1"/>
    <sheet name="Croda Goole" sheetId="21" r:id="rId2"/>
    <sheet name="Croda Widnes" sheetId="27" r:id="rId3"/>
    <sheet name="Maelor" sheetId="28" r:id="rId4"/>
    <sheet name="Encirc" sheetId="30" r:id="rId5"/>
    <sheet name="Beechdean Ice Cream" sheetId="26" r:id="rId6"/>
    <sheet name="Penderyn Distillery" sheetId="24" r:id="rId7"/>
    <sheet name="Kelloggs"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D55" i="30"/>
  <c r="U50" i="30"/>
  <c r="T50" i="30"/>
  <c r="S50" i="30"/>
  <c r="R50" i="30"/>
  <c r="Q50" i="30"/>
  <c r="P50" i="30"/>
  <c r="O50" i="30"/>
  <c r="N50" i="30"/>
  <c r="M50" i="30"/>
  <c r="L50" i="30"/>
  <c r="K50" i="30"/>
  <c r="J50" i="30"/>
  <c r="I50" i="30"/>
  <c r="H50" i="30"/>
  <c r="G50" i="30"/>
  <c r="F50" i="30"/>
  <c r="E50" i="30"/>
  <c r="D50" i="30"/>
  <c r="V18" i="30" s="1"/>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N18" i="30" s="1"/>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V20" i="30"/>
  <c r="U20" i="30"/>
  <c r="T20" i="30"/>
  <c r="S20" i="30"/>
  <c r="R20" i="30"/>
  <c r="Q20" i="30"/>
  <c r="P20" i="30"/>
  <c r="O20" i="30"/>
  <c r="N20" i="30"/>
  <c r="M20" i="30"/>
  <c r="L20" i="30"/>
  <c r="K20" i="30"/>
  <c r="J20" i="30"/>
  <c r="I20" i="30"/>
  <c r="H20" i="30"/>
  <c r="G20" i="30"/>
  <c r="F20" i="30"/>
  <c r="E20" i="30"/>
  <c r="D20" i="30"/>
  <c r="T18" i="30"/>
  <c r="Q18" i="30"/>
  <c r="J18" i="30"/>
  <c r="I18" i="30"/>
  <c r="H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S22" i="29"/>
  <c r="U18" i="29"/>
  <c r="T18" i="29"/>
  <c r="I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S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U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V20" i="23"/>
  <c r="U20" i="23"/>
  <c r="T20" i="23"/>
  <c r="S20" i="23"/>
  <c r="R20" i="23"/>
  <c r="Q20" i="23"/>
  <c r="P20" i="23"/>
  <c r="O20" i="23"/>
  <c r="N20" i="23"/>
  <c r="M20" i="23"/>
  <c r="L20" i="23"/>
  <c r="K20" i="23"/>
  <c r="J20" i="23"/>
  <c r="I20" i="23"/>
  <c r="H20" i="23"/>
  <c r="G20" i="23"/>
  <c r="F20" i="23"/>
  <c r="E20" i="23"/>
  <c r="D20" i="23"/>
  <c r="Q18" i="23"/>
  <c r="O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18" i="21"/>
  <c r="U63" i="30" l="1"/>
  <c r="U63" i="27"/>
  <c r="N58" i="21"/>
  <c r="N61" i="21" s="1"/>
  <c r="T6" i="19"/>
  <c r="T20" i="19" s="1"/>
  <c r="H10" i="19"/>
  <c r="H24"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M11" i="19"/>
  <c r="M25" i="19" s="1"/>
  <c r="F8" i="19"/>
  <c r="F22" i="19" s="1"/>
  <c r="G17" i="27"/>
  <c r="O17" i="27"/>
  <c r="O19" i="27" s="1"/>
  <c r="O20" i="27" s="1"/>
  <c r="E11" i="19"/>
  <c r="E25" i="19" s="1"/>
  <c r="Q7" i="19"/>
  <c r="Q21" i="19" s="1"/>
  <c r="I7" i="20"/>
  <c r="P10" i="19"/>
  <c r="P24" i="19" s="1"/>
  <c r="I7" i="19"/>
  <c r="I21" i="19" s="1"/>
  <c r="E59" i="26"/>
  <c r="F17" i="26"/>
  <c r="F19" i="26" s="1"/>
  <c r="F20" i="26" s="1"/>
  <c r="F21" i="26"/>
  <c r="F23" i="26" s="1"/>
  <c r="F24" i="26" s="1"/>
  <c r="M59" i="26"/>
  <c r="N17" i="26"/>
  <c r="N19" i="26" s="1"/>
  <c r="N20" i="26" s="1"/>
  <c r="N21" i="26"/>
  <c r="U59" i="26"/>
  <c r="V21" i="26"/>
  <c r="V23" i="26" s="1"/>
  <c r="V24" i="26" s="1"/>
  <c r="V17" i="26"/>
  <c r="V19" i="26" s="1"/>
  <c r="V20" i="26" s="1"/>
  <c r="C8" i="20"/>
  <c r="D8" i="19"/>
  <c r="D22" i="19" s="1"/>
  <c r="K8" i="20"/>
  <c r="L8" i="19"/>
  <c r="L22" i="19" s="1"/>
  <c r="S8" i="20"/>
  <c r="T8" i="19"/>
  <c r="T22" i="19" s="1"/>
  <c r="C59" i="29"/>
  <c r="D21" i="29"/>
  <c r="D17" i="29"/>
  <c r="D19" i="29" s="1"/>
  <c r="D20" i="29" s="1"/>
  <c r="K59" i="29"/>
  <c r="L21" i="29"/>
  <c r="L17" i="29"/>
  <c r="S59" i="29"/>
  <c r="T21" i="29"/>
  <c r="T23" i="29" s="1"/>
  <c r="T24" i="29" s="1"/>
  <c r="T17" i="29"/>
  <c r="T19" i="29" s="1"/>
  <c r="T20" i="29" s="1"/>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T59" i="28"/>
  <c r="U17" i="28"/>
  <c r="U21" i="28"/>
  <c r="U23" i="28" s="1"/>
  <c r="U24" i="28" s="1"/>
  <c r="I4" i="20"/>
  <c r="J4" i="19"/>
  <c r="J18" i="19" s="1"/>
  <c r="I59" i="21"/>
  <c r="J17" i="21"/>
  <c r="J19" i="21" s="1"/>
  <c r="J20" i="21" s="1"/>
  <c r="J21" i="21"/>
  <c r="C59" i="22"/>
  <c r="D21" i="22"/>
  <c r="D23" i="22" s="1"/>
  <c r="D17" i="22"/>
  <c r="D19" i="22" s="1"/>
  <c r="O12" i="20"/>
  <c r="P12" i="19"/>
  <c r="P26" i="19" s="1"/>
  <c r="O21" i="23"/>
  <c r="O23" i="23" s="1"/>
  <c r="O17" i="23"/>
  <c r="Q9" i="20"/>
  <c r="R9" i="19"/>
  <c r="R23" i="19" s="1"/>
  <c r="F5" i="20"/>
  <c r="G5" i="19"/>
  <c r="G19" i="19" s="1"/>
  <c r="N5" i="20"/>
  <c r="O5" i="19"/>
  <c r="O19" i="19" s="1"/>
  <c r="Q4" i="20"/>
  <c r="R4" i="19"/>
  <c r="R18" i="19" s="1"/>
  <c r="Q59" i="21"/>
  <c r="R21" i="21"/>
  <c r="R23" i="21" s="1"/>
  <c r="R24" i="21" s="1"/>
  <c r="R17" i="21"/>
  <c r="K59" i="22"/>
  <c r="L21" i="22"/>
  <c r="L17" i="22"/>
  <c r="G12" i="20"/>
  <c r="H12" i="19"/>
  <c r="H26" i="19" s="1"/>
  <c r="J4" i="20"/>
  <c r="K4" i="19"/>
  <c r="K18" i="19" s="1"/>
  <c r="U63" i="21"/>
  <c r="N63" i="21"/>
  <c r="F63" i="21"/>
  <c r="P59" i="21"/>
  <c r="Q21" i="21"/>
  <c r="Q23" i="21" s="1"/>
  <c r="Q24" i="21" s="1"/>
  <c r="Q17" i="21"/>
  <c r="I17" i="21"/>
  <c r="I21" i="21"/>
  <c r="D59" i="22"/>
  <c r="E21" i="22"/>
  <c r="E23" i="22" s="1"/>
  <c r="E17" i="22"/>
  <c r="L59" i="22"/>
  <c r="M21" i="22"/>
  <c r="M23" i="22" s="1"/>
  <c r="M17" i="22"/>
  <c r="M19" i="22" s="1"/>
  <c r="T59" i="22"/>
  <c r="U21" i="22"/>
  <c r="U17" i="22"/>
  <c r="U19" i="22" s="1"/>
  <c r="D59" i="27"/>
  <c r="E17" i="27"/>
  <c r="E19" i="27" s="1"/>
  <c r="E20" i="27" s="1"/>
  <c r="L59" i="27"/>
  <c r="M17" i="27"/>
  <c r="M19" i="27" s="1"/>
  <c r="M20" i="27" s="1"/>
  <c r="T59" i="27"/>
  <c r="U17" i="27"/>
  <c r="S59" i="22"/>
  <c r="T21" i="22"/>
  <c r="T17" i="22"/>
  <c r="T19" i="22" s="1"/>
  <c r="G21" i="23"/>
  <c r="G23" i="23" s="1"/>
  <c r="G17" i="23"/>
  <c r="I9" i="20"/>
  <c r="J9" i="19"/>
  <c r="J23" i="19" s="1"/>
  <c r="R4" i="20"/>
  <c r="S4" i="19"/>
  <c r="S18" i="19" s="1"/>
  <c r="R11" i="20"/>
  <c r="S11" i="19"/>
  <c r="S25" i="19" s="1"/>
  <c r="I59" i="24"/>
  <c r="J21" i="24"/>
  <c r="J17" i="24"/>
  <c r="J19" i="24" s="1"/>
  <c r="J20" i="24" s="1"/>
  <c r="Q59" i="24"/>
  <c r="R21" i="24"/>
  <c r="R17" i="24"/>
  <c r="R19" i="24" s="1"/>
  <c r="R20" i="24" s="1"/>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L23" i="21" s="1"/>
  <c r="L24" i="21" s="1"/>
  <c r="I59" i="22"/>
  <c r="J17" i="22"/>
  <c r="J19" i="22" s="1"/>
  <c r="J21" i="22"/>
  <c r="J23" i="22" s="1"/>
  <c r="K59" i="23"/>
  <c r="L17" i="23"/>
  <c r="L19" i="23" s="1"/>
  <c r="L21" i="23"/>
  <c r="M57" i="21"/>
  <c r="R59" i="21"/>
  <c r="S21" i="21"/>
  <c r="S23" i="21" s="1"/>
  <c r="S24" i="21" s="1"/>
  <c r="S17" i="21"/>
  <c r="S19" i="21" s="1"/>
  <c r="S20" i="21" s="1"/>
  <c r="J59" i="21"/>
  <c r="K21" i="21"/>
  <c r="K23" i="21" s="1"/>
  <c r="K24" i="21" s="1"/>
  <c r="K17" i="21"/>
  <c r="K19" i="21" s="1"/>
  <c r="K20" i="21" s="1"/>
  <c r="J59" i="22"/>
  <c r="K17" i="22"/>
  <c r="K21" i="22"/>
  <c r="R59" i="22"/>
  <c r="S17" i="22"/>
  <c r="S19" i="22" s="1"/>
  <c r="S21" i="22"/>
  <c r="S23" i="22" s="1"/>
  <c r="D59" i="23"/>
  <c r="E17" i="23"/>
  <c r="E21" i="23"/>
  <c r="L59" i="23"/>
  <c r="M17" i="23"/>
  <c r="M21" i="23"/>
  <c r="M23" i="23" s="1"/>
  <c r="T59" i="23"/>
  <c r="U17" i="23"/>
  <c r="U19" i="23" s="1"/>
  <c r="U21" i="23"/>
  <c r="U23" i="23" s="1"/>
  <c r="H21" i="24"/>
  <c r="H17" i="24"/>
  <c r="H19" i="24" s="1"/>
  <c r="H20" i="24" s="1"/>
  <c r="P17" i="24"/>
  <c r="P19" i="24" s="1"/>
  <c r="P20" i="24" s="1"/>
  <c r="P21" i="24"/>
  <c r="C59" i="26"/>
  <c r="D21" i="26"/>
  <c r="D23" i="26" s="1"/>
  <c r="D24" i="26" s="1"/>
  <c r="D17" i="26"/>
  <c r="D19" i="26" s="1"/>
  <c r="D20" i="26" s="1"/>
  <c r="K59" i="26"/>
  <c r="L21" i="26"/>
  <c r="L23" i="26" s="1"/>
  <c r="L24" i="26" s="1"/>
  <c r="L17" i="26"/>
  <c r="S59" i="26"/>
  <c r="T21" i="26"/>
  <c r="T17" i="26"/>
  <c r="N63" i="26"/>
  <c r="J59" i="27"/>
  <c r="K17" i="27"/>
  <c r="K19" i="27" s="1"/>
  <c r="K20" i="27" s="1"/>
  <c r="R59" i="27"/>
  <c r="S17" i="27"/>
  <c r="S19" i="27" s="1"/>
  <c r="S20" i="27" s="1"/>
  <c r="J59" i="28"/>
  <c r="K17" i="28"/>
  <c r="K21" i="28"/>
  <c r="K23" i="28" s="1"/>
  <c r="K24" i="28" s="1"/>
  <c r="R59" i="28"/>
  <c r="S17" i="28"/>
  <c r="S19" i="28" s="1"/>
  <c r="S20" i="28" s="1"/>
  <c r="S21" i="28"/>
  <c r="S23" i="28" s="1"/>
  <c r="S24" i="28" s="1"/>
  <c r="I59" i="29"/>
  <c r="J17" i="29"/>
  <c r="J21" i="29"/>
  <c r="Q59" i="29"/>
  <c r="R21" i="29"/>
  <c r="R23" i="29" s="1"/>
  <c r="R24" i="29" s="1"/>
  <c r="R17" i="29"/>
  <c r="H59" i="30"/>
  <c r="I17" i="30"/>
  <c r="I19" i="30" s="1"/>
  <c r="I21" i="30"/>
  <c r="Q17" i="30"/>
  <c r="Q19" i="30" s="1"/>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M59" i="23"/>
  <c r="N21" i="23"/>
  <c r="N23" i="23" s="1"/>
  <c r="N17" i="23"/>
  <c r="N19" i="23" s="1"/>
  <c r="U59" i="23"/>
  <c r="V21" i="23"/>
  <c r="V23" i="23" s="1"/>
  <c r="V17" i="23"/>
  <c r="V19" i="23" s="1"/>
  <c r="I17" i="24"/>
  <c r="I19" i="24" s="1"/>
  <c r="I20" i="24" s="1"/>
  <c r="I21" i="24"/>
  <c r="I23" i="24" s="1"/>
  <c r="I24" i="24" s="1"/>
  <c r="Q17" i="24"/>
  <c r="Q19" i="24" s="1"/>
  <c r="Q20" i="24" s="1"/>
  <c r="Q21" i="24"/>
  <c r="Q23" i="24" s="1"/>
  <c r="Q24" i="24" s="1"/>
  <c r="D59" i="26"/>
  <c r="E21" i="26"/>
  <c r="E23" i="26" s="1"/>
  <c r="E24" i="26" s="1"/>
  <c r="E17" i="26"/>
  <c r="E19" i="26" s="1"/>
  <c r="E20" i="26" s="1"/>
  <c r="L59" i="26"/>
  <c r="M21" i="26"/>
  <c r="M17" i="26"/>
  <c r="T59" i="26"/>
  <c r="U21" i="26"/>
  <c r="U23" i="26" s="1"/>
  <c r="U24" i="26" s="1"/>
  <c r="U17" i="26"/>
  <c r="U19" i="26" s="1"/>
  <c r="U20" i="26" s="1"/>
  <c r="C59" i="27"/>
  <c r="D17" i="27"/>
  <c r="K59" i="27"/>
  <c r="L17" i="27"/>
  <c r="L19" i="27" s="1"/>
  <c r="L20" i="27" s="1"/>
  <c r="S59" i="27"/>
  <c r="T17" i="27"/>
  <c r="T19" i="27" s="1"/>
  <c r="T20" i="27" s="1"/>
  <c r="C59" i="28"/>
  <c r="D21" i="28"/>
  <c r="D23" i="28" s="1"/>
  <c r="D24" i="28" s="1"/>
  <c r="D17" i="28"/>
  <c r="K59" i="28"/>
  <c r="L21" i="28"/>
  <c r="L23" i="28" s="1"/>
  <c r="L24" i="28" s="1"/>
  <c r="L17" i="28"/>
  <c r="L19" i="28" s="1"/>
  <c r="L20" i="28" s="1"/>
  <c r="S59" i="28"/>
  <c r="T21" i="28"/>
  <c r="T17" i="28"/>
  <c r="T19" i="28" s="1"/>
  <c r="T20" i="28" s="1"/>
  <c r="J59" i="29"/>
  <c r="K17" i="29"/>
  <c r="K19" i="29" s="1"/>
  <c r="K20" i="29" s="1"/>
  <c r="K21" i="29"/>
  <c r="R59" i="29"/>
  <c r="S21" i="29"/>
  <c r="S23" i="29" s="1"/>
  <c r="S24" i="29" s="1"/>
  <c r="S17" i="29"/>
  <c r="I59" i="30"/>
  <c r="J21" i="30"/>
  <c r="J23" i="30" s="1"/>
  <c r="J17" i="30"/>
  <c r="J19" i="30" s="1"/>
  <c r="Q59" i="30"/>
  <c r="R21" i="30"/>
  <c r="R23" i="30" s="1"/>
  <c r="R17" i="30"/>
  <c r="R19" i="30"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P21" i="21"/>
  <c r="P23" i="21" s="1"/>
  <c r="P24" i="21" s="1"/>
  <c r="P17" i="21"/>
  <c r="H21" i="21"/>
  <c r="H23" i="21" s="1"/>
  <c r="H24" i="21" s="1"/>
  <c r="H17" i="21"/>
  <c r="H19" i="21" s="1"/>
  <c r="H20" i="21" s="1"/>
  <c r="E59" i="22"/>
  <c r="F21" i="22"/>
  <c r="F23" i="22" s="1"/>
  <c r="F17" i="22"/>
  <c r="F19" i="22" s="1"/>
  <c r="M59" i="22"/>
  <c r="N21" i="22"/>
  <c r="N23" i="22" s="1"/>
  <c r="N17" i="22"/>
  <c r="U59" i="22"/>
  <c r="V17" i="22"/>
  <c r="V19" i="22" s="1"/>
  <c r="V21" i="22"/>
  <c r="V23" i="22" s="1"/>
  <c r="C18" i="22"/>
  <c r="H21" i="23"/>
  <c r="H23" i="23" s="1"/>
  <c r="H17" i="23"/>
  <c r="P17" i="23"/>
  <c r="P19" i="23" s="1"/>
  <c r="P21" i="23"/>
  <c r="J59" i="24"/>
  <c r="K21" i="24"/>
  <c r="K23" i="24" s="1"/>
  <c r="K24" i="24" s="1"/>
  <c r="K17" i="24"/>
  <c r="R59" i="24"/>
  <c r="S21" i="24"/>
  <c r="S23" i="24" s="1"/>
  <c r="S24" i="24" s="1"/>
  <c r="S17" i="24"/>
  <c r="S19" i="24" s="1"/>
  <c r="S20" i="24" s="1"/>
  <c r="G21" i="26"/>
  <c r="G23" i="26" s="1"/>
  <c r="G24" i="26" s="1"/>
  <c r="G17" i="26"/>
  <c r="O17" i="26"/>
  <c r="O21" i="26"/>
  <c r="E59" i="27"/>
  <c r="F17" i="27"/>
  <c r="F19" i="27" s="1"/>
  <c r="F20" i="27" s="1"/>
  <c r="M59" i="27"/>
  <c r="N17" i="27"/>
  <c r="N19" i="27" s="1"/>
  <c r="N20" i="27" s="1"/>
  <c r="U59" i="27"/>
  <c r="V17" i="27"/>
  <c r="V19" i="27" s="1"/>
  <c r="V20" i="27" s="1"/>
  <c r="E59" i="28"/>
  <c r="F17" i="28"/>
  <c r="F19" i="28" s="1"/>
  <c r="F20" i="28" s="1"/>
  <c r="F21" i="28"/>
  <c r="F23" i="28" s="1"/>
  <c r="F24" i="28" s="1"/>
  <c r="M59" i="28"/>
  <c r="N17" i="28"/>
  <c r="N19" i="28" s="1"/>
  <c r="N20" i="28" s="1"/>
  <c r="N21" i="28"/>
  <c r="U59" i="28"/>
  <c r="V17" i="28"/>
  <c r="V19" i="28" s="1"/>
  <c r="V20" i="28" s="1"/>
  <c r="V21" i="28"/>
  <c r="D59" i="29"/>
  <c r="E17" i="29"/>
  <c r="E19" i="29" s="1"/>
  <c r="E20" i="29" s="1"/>
  <c r="E21" i="29"/>
  <c r="E23" i="29" s="1"/>
  <c r="E24" i="29" s="1"/>
  <c r="L59" i="29"/>
  <c r="M17" i="29"/>
  <c r="M19" i="29" s="1"/>
  <c r="M20" i="29" s="1"/>
  <c r="M21" i="29"/>
  <c r="M23" i="29" s="1"/>
  <c r="M24" i="29" s="1"/>
  <c r="T59" i="29"/>
  <c r="U17" i="29"/>
  <c r="U21" i="29"/>
  <c r="C59" i="30"/>
  <c r="D17" i="30"/>
  <c r="D19" i="30" s="1"/>
  <c r="D21" i="30"/>
  <c r="D23" i="30" s="1"/>
  <c r="K59" i="30"/>
  <c r="L17" i="30"/>
  <c r="L19" i="30" s="1"/>
  <c r="L21" i="30"/>
  <c r="S59" i="30"/>
  <c r="T17" i="30"/>
  <c r="T19" i="30" s="1"/>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19" i="30" s="1"/>
  <c r="S21" i="30"/>
  <c r="S23" i="30" s="1"/>
  <c r="A34" i="21"/>
  <c r="N59" i="21"/>
  <c r="O21" i="21"/>
  <c r="O23" i="21" s="1"/>
  <c r="O24" i="21" s="1"/>
  <c r="O17" i="21"/>
  <c r="O19" i="21" s="1"/>
  <c r="O20" i="21" s="1"/>
  <c r="F59" i="21"/>
  <c r="G21" i="21"/>
  <c r="G17" i="21"/>
  <c r="G19" i="21" s="1"/>
  <c r="G20" i="21" s="1"/>
  <c r="G17" i="22"/>
  <c r="G19" i="22" s="1"/>
  <c r="G21" i="22"/>
  <c r="G23" i="22" s="1"/>
  <c r="O17" i="22"/>
  <c r="O19" i="22" s="1"/>
  <c r="O21" i="22"/>
  <c r="O23" i="22" s="1"/>
  <c r="H59" i="23"/>
  <c r="I21" i="23"/>
  <c r="I23" i="23" s="1"/>
  <c r="I17" i="23"/>
  <c r="P59" i="23"/>
  <c r="Q17" i="23"/>
  <c r="Q21" i="23"/>
  <c r="Q23" i="23" s="1"/>
  <c r="C59" i="24"/>
  <c r="D17" i="24"/>
  <c r="D19" i="24" s="1"/>
  <c r="D20" i="24" s="1"/>
  <c r="D21" i="24"/>
  <c r="K59" i="24"/>
  <c r="L21" i="24"/>
  <c r="L17" i="24"/>
  <c r="L19" i="24" s="1"/>
  <c r="L20" i="24" s="1"/>
  <c r="S59" i="24"/>
  <c r="T21" i="24"/>
  <c r="T23" i="24" s="1"/>
  <c r="T24" i="24" s="1"/>
  <c r="T17" i="24"/>
  <c r="T19" i="24" s="1"/>
  <c r="T20" i="24" s="1"/>
  <c r="H21" i="26"/>
  <c r="H23" i="26" s="1"/>
  <c r="H24" i="26" s="1"/>
  <c r="H17" i="26"/>
  <c r="P21" i="26"/>
  <c r="P17" i="26"/>
  <c r="P19" i="26" s="1"/>
  <c r="P20" i="26" s="1"/>
  <c r="F59" i="28"/>
  <c r="G17" i="28"/>
  <c r="G19" i="28" s="1"/>
  <c r="G20" i="28" s="1"/>
  <c r="G21" i="28"/>
  <c r="G23" i="28" s="1"/>
  <c r="G24" i="28" s="1"/>
  <c r="N59" i="28"/>
  <c r="O17" i="28"/>
  <c r="O19" i="28" s="1"/>
  <c r="O20" i="28" s="1"/>
  <c r="O21" i="28"/>
  <c r="O23" i="28" s="1"/>
  <c r="O24" i="28" s="1"/>
  <c r="E59" i="29"/>
  <c r="F17" i="29"/>
  <c r="F21" i="29"/>
  <c r="M59" i="29"/>
  <c r="N17" i="29"/>
  <c r="N21" i="29"/>
  <c r="U59" i="29"/>
  <c r="V17" i="29"/>
  <c r="V19" i="29" s="1"/>
  <c r="V20" i="29" s="1"/>
  <c r="V21" i="29"/>
  <c r="V23" i="29" s="1"/>
  <c r="V24" i="29" s="1"/>
  <c r="D59" i="30"/>
  <c r="E17" i="30"/>
  <c r="E19" i="30" s="1"/>
  <c r="E21" i="30"/>
  <c r="E23" i="30" s="1"/>
  <c r="L59" i="30"/>
  <c r="M17" i="30"/>
  <c r="M21" i="30"/>
  <c r="M23" i="30" s="1"/>
  <c r="T59" i="30"/>
  <c r="U17" i="30"/>
  <c r="U19" i="30" s="1"/>
  <c r="U21" i="30"/>
  <c r="U23" i="30"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G59" i="22"/>
  <c r="H21" i="22"/>
  <c r="H23" i="22" s="1"/>
  <c r="H17" i="22"/>
  <c r="H19" i="22" s="1"/>
  <c r="I59" i="23"/>
  <c r="J21" i="23"/>
  <c r="J23" i="23" s="1"/>
  <c r="J17" i="23"/>
  <c r="J19" i="23" s="1"/>
  <c r="Q59" i="23"/>
  <c r="R21" i="23"/>
  <c r="R23" i="23" s="1"/>
  <c r="R17" i="23"/>
  <c r="R19" i="23" s="1"/>
  <c r="D59" i="24"/>
  <c r="E17" i="24"/>
  <c r="E21" i="24"/>
  <c r="E23" i="24" s="1"/>
  <c r="E24" i="24" s="1"/>
  <c r="L59" i="24"/>
  <c r="M17" i="24"/>
  <c r="M19" i="24" s="1"/>
  <c r="M20" i="24" s="1"/>
  <c r="M21" i="24"/>
  <c r="M23" i="24" s="1"/>
  <c r="M24" i="24" s="1"/>
  <c r="T59" i="24"/>
  <c r="U21" i="24"/>
  <c r="U23" i="24" s="1"/>
  <c r="U24" i="24" s="1"/>
  <c r="U17" i="24"/>
  <c r="H59" i="26"/>
  <c r="I17" i="26"/>
  <c r="I19" i="26" s="1"/>
  <c r="I20" i="26" s="1"/>
  <c r="I21" i="26"/>
  <c r="I23" i="26" s="1"/>
  <c r="I24" i="26" s="1"/>
  <c r="P59" i="26"/>
  <c r="Q17" i="26"/>
  <c r="Q19" i="26" s="1"/>
  <c r="Q20" i="26" s="1"/>
  <c r="Q21" i="26"/>
  <c r="Q23" i="26" s="1"/>
  <c r="Q24" i="26" s="1"/>
  <c r="E63" i="26"/>
  <c r="H17" i="27"/>
  <c r="H19" i="27" s="1"/>
  <c r="H20" i="27" s="1"/>
  <c r="P17" i="27"/>
  <c r="P19" i="27" s="1"/>
  <c r="P20" i="27" s="1"/>
  <c r="H21" i="28"/>
  <c r="H23" i="28" s="1"/>
  <c r="H24" i="28" s="1"/>
  <c r="H17" i="28"/>
  <c r="P21" i="28"/>
  <c r="P17" i="28"/>
  <c r="P19" i="28" s="1"/>
  <c r="P20" i="28" s="1"/>
  <c r="G17" i="29"/>
  <c r="G21" i="29"/>
  <c r="G23" i="29" s="1"/>
  <c r="G24" i="29" s="1"/>
  <c r="O17" i="29"/>
  <c r="O21" i="29"/>
  <c r="E59" i="30"/>
  <c r="F21" i="30"/>
  <c r="F23" i="30" s="1"/>
  <c r="F17" i="30"/>
  <c r="F19" i="30" s="1"/>
  <c r="M59" i="30"/>
  <c r="N21" i="30"/>
  <c r="N17" i="30"/>
  <c r="U59" i="30"/>
  <c r="V21" i="30"/>
  <c r="V23" i="30" s="1"/>
  <c r="V17" i="30"/>
  <c r="V19" i="30"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0" i="21" s="1"/>
  <c r="V21" i="21"/>
  <c r="V23" i="21" s="1"/>
  <c r="V24" i="21" s="1"/>
  <c r="E59" i="21"/>
  <c r="F17" i="21"/>
  <c r="F19" i="21" s="1"/>
  <c r="F20" i="21" s="1"/>
  <c r="F21" i="21"/>
  <c r="O59" i="22"/>
  <c r="P21" i="22"/>
  <c r="P23" i="22" s="1"/>
  <c r="P17" i="22"/>
  <c r="P19" i="22" s="1"/>
  <c r="T59" i="21"/>
  <c r="T64" i="21" s="1"/>
  <c r="T65" i="21" s="1"/>
  <c r="U17" i="21"/>
  <c r="U19" i="21" s="1"/>
  <c r="U20" i="21" s="1"/>
  <c r="U21" i="21"/>
  <c r="U23" i="21" s="1"/>
  <c r="U24" i="21" s="1"/>
  <c r="M17" i="21"/>
  <c r="M21" i="21"/>
  <c r="M23" i="21" s="1"/>
  <c r="M24" i="21" s="1"/>
  <c r="E17" i="21"/>
  <c r="E21" i="21"/>
  <c r="E23" i="21" s="1"/>
  <c r="E24" i="21" s="1"/>
  <c r="H59" i="22"/>
  <c r="I17" i="22"/>
  <c r="I19" i="22" s="1"/>
  <c r="I21" i="22"/>
  <c r="I23" i="22" s="1"/>
  <c r="P59" i="22"/>
  <c r="Q17" i="22"/>
  <c r="Q19" i="22" s="1"/>
  <c r="Q21" i="22"/>
  <c r="Q23" i="22" s="1"/>
  <c r="J59" i="23"/>
  <c r="K17" i="23"/>
  <c r="K19" i="23" s="1"/>
  <c r="K21" i="23"/>
  <c r="K23" i="23" s="1"/>
  <c r="R59" i="23"/>
  <c r="S17" i="23"/>
  <c r="S19" i="23" s="1"/>
  <c r="S21" i="23"/>
  <c r="S23" i="23" s="1"/>
  <c r="E59" i="24"/>
  <c r="F21" i="24"/>
  <c r="F17" i="24"/>
  <c r="M59" i="24"/>
  <c r="N21" i="24"/>
  <c r="N23" i="24" s="1"/>
  <c r="N24" i="24" s="1"/>
  <c r="N17" i="24"/>
  <c r="N19" i="24" s="1"/>
  <c r="N20" i="24" s="1"/>
  <c r="U59" i="24"/>
  <c r="V21" i="24"/>
  <c r="V17" i="24"/>
  <c r="V19" i="24" s="1"/>
  <c r="V20" i="24" s="1"/>
  <c r="I58" i="26"/>
  <c r="I61" i="26" s="1"/>
  <c r="J17" i="26"/>
  <c r="J19" i="26" s="1"/>
  <c r="J20" i="26" s="1"/>
  <c r="J21" i="26"/>
  <c r="J23" i="26" s="1"/>
  <c r="J24" i="26" s="1"/>
  <c r="Q58" i="26"/>
  <c r="Q61" i="26" s="1"/>
  <c r="R21" i="26"/>
  <c r="R23" i="26" s="1"/>
  <c r="R24" i="26" s="1"/>
  <c r="R17" i="26"/>
  <c r="R19" i="26" s="1"/>
  <c r="R20" i="26" s="1"/>
  <c r="F63" i="26"/>
  <c r="I17" i="27"/>
  <c r="I19" i="27" s="1"/>
  <c r="I20" i="27" s="1"/>
  <c r="Q17" i="27"/>
  <c r="I21" i="28"/>
  <c r="I23" i="28" s="1"/>
  <c r="I24" i="28" s="1"/>
  <c r="I17" i="28"/>
  <c r="Q21" i="28"/>
  <c r="Q23" i="28" s="1"/>
  <c r="Q24" i="28" s="1"/>
  <c r="Q17" i="28"/>
  <c r="Q19" i="28" s="1"/>
  <c r="Q20" i="28" s="1"/>
  <c r="H21" i="29"/>
  <c r="H23" i="29" s="1"/>
  <c r="H24" i="29" s="1"/>
  <c r="H17" i="29"/>
  <c r="P21" i="29"/>
  <c r="P23" i="29" s="1"/>
  <c r="P24" i="29" s="1"/>
  <c r="P17" i="29"/>
  <c r="P19" i="29" s="1"/>
  <c r="P20" i="29" s="1"/>
  <c r="G21" i="30"/>
  <c r="G17" i="30"/>
  <c r="G19" i="30" s="1"/>
  <c r="O21" i="30"/>
  <c r="O23" i="30" s="1"/>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0" i="21" s="1"/>
  <c r="T21" i="21"/>
  <c r="T23" i="21" s="1"/>
  <c r="T24" i="21" s="1"/>
  <c r="C59" i="21"/>
  <c r="D17" i="21"/>
  <c r="D19" i="21" s="1"/>
  <c r="D20" i="21" s="1"/>
  <c r="D21" i="21"/>
  <c r="Q59" i="22"/>
  <c r="R17" i="22"/>
  <c r="R19" i="22" s="1"/>
  <c r="R21" i="22"/>
  <c r="R23" i="22" s="1"/>
  <c r="C59" i="23"/>
  <c r="D17" i="23"/>
  <c r="D19" i="23" s="1"/>
  <c r="D21" i="23"/>
  <c r="S59" i="23"/>
  <c r="T17" i="23"/>
  <c r="T19" i="23" s="1"/>
  <c r="T21" i="23"/>
  <c r="T23" i="23" s="1"/>
  <c r="G17" i="24"/>
  <c r="G19" i="24" s="1"/>
  <c r="G20" i="24" s="1"/>
  <c r="G21" i="24"/>
  <c r="G23" i="24" s="1"/>
  <c r="G24" i="24" s="1"/>
  <c r="O17" i="24"/>
  <c r="O19" i="24" s="1"/>
  <c r="O20" i="24" s="1"/>
  <c r="O21" i="24"/>
  <c r="J59" i="26"/>
  <c r="K17" i="26"/>
  <c r="K19" i="26" s="1"/>
  <c r="K20" i="26" s="1"/>
  <c r="K21" i="26"/>
  <c r="K23" i="26" s="1"/>
  <c r="K24" i="26" s="1"/>
  <c r="R59" i="26"/>
  <c r="S17" i="26"/>
  <c r="S19" i="26" s="1"/>
  <c r="S20" i="26" s="1"/>
  <c r="S21" i="26"/>
  <c r="S23" i="26" s="1"/>
  <c r="S24" i="26" s="1"/>
  <c r="M63" i="26"/>
  <c r="I59" i="27"/>
  <c r="J17" i="27"/>
  <c r="Q59" i="27"/>
  <c r="R17" i="27"/>
  <c r="I59" i="28"/>
  <c r="J17" i="28"/>
  <c r="J19" i="28" s="1"/>
  <c r="J20" i="28" s="1"/>
  <c r="J21" i="28"/>
  <c r="J23" i="28" s="1"/>
  <c r="J24" i="28" s="1"/>
  <c r="Q59" i="28"/>
  <c r="R21" i="28"/>
  <c r="R23" i="28" s="1"/>
  <c r="R24" i="28" s="1"/>
  <c r="R17" i="28"/>
  <c r="R19" i="28" s="1"/>
  <c r="R20" i="28" s="1"/>
  <c r="I21" i="29"/>
  <c r="I23" i="29" s="1"/>
  <c r="I24" i="29" s="1"/>
  <c r="I17" i="29"/>
  <c r="I19" i="29" s="1"/>
  <c r="I20" i="29" s="1"/>
  <c r="Q21" i="29"/>
  <c r="Q17" i="29"/>
  <c r="Q19" i="29" s="1"/>
  <c r="Q20"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C64" i="21" s="1"/>
  <c r="K58" i="21"/>
  <c r="K61" i="21" s="1"/>
  <c r="K64" i="21" s="1"/>
  <c r="I21" i="27"/>
  <c r="I23" i="27" s="1"/>
  <c r="I24" i="27" s="1"/>
  <c r="Q21" i="27"/>
  <c r="Q23" i="27" s="1"/>
  <c r="Q24" i="27" s="1"/>
  <c r="R58" i="21"/>
  <c r="R61" i="21" s="1"/>
  <c r="R64" i="21" s="1"/>
  <c r="O57" i="21"/>
  <c r="A43" i="21"/>
  <c r="J58" i="21"/>
  <c r="J61" i="21" s="1"/>
  <c r="E19" i="21"/>
  <c r="E20" i="21" s="1"/>
  <c r="D58" i="29"/>
  <c r="D61" i="29" s="1"/>
  <c r="P23" i="26"/>
  <c r="P24" i="26" s="1"/>
  <c r="G21" i="27"/>
  <c r="G23" i="27" s="1"/>
  <c r="G24" i="27" s="1"/>
  <c r="O21" i="27"/>
  <c r="O23" i="27" s="1"/>
  <c r="O24" i="27" s="1"/>
  <c r="D58" i="30"/>
  <c r="D61" i="30" s="1"/>
  <c r="L58" i="30"/>
  <c r="L61" i="30" s="1"/>
  <c r="L64" i="30" s="1"/>
  <c r="L65" i="30" s="1"/>
  <c r="R58" i="23"/>
  <c r="R61" i="23" s="1"/>
  <c r="H21" i="27"/>
  <c r="H23" i="27" s="1"/>
  <c r="H24" i="27" s="1"/>
  <c r="P21" i="27"/>
  <c r="J58" i="22"/>
  <c r="J61" i="22" s="1"/>
  <c r="J58" i="26"/>
  <c r="J61" i="26" s="1"/>
  <c r="J58" i="27"/>
  <c r="J61" i="27" s="1"/>
  <c r="R58" i="27"/>
  <c r="R61" i="27" s="1"/>
  <c r="R64" i="27" s="1"/>
  <c r="R58" i="28"/>
  <c r="R61" i="28" s="1"/>
  <c r="R64" i="28" s="1"/>
  <c r="R65" i="28" s="1"/>
  <c r="F58" i="22"/>
  <c r="F61" i="22" s="1"/>
  <c r="N58" i="22"/>
  <c r="N61" i="22" s="1"/>
  <c r="F58" i="23"/>
  <c r="F61" i="23" s="1"/>
  <c r="N58" i="23"/>
  <c r="N61" i="23" s="1"/>
  <c r="D19" i="27"/>
  <c r="D20" i="27" s="1"/>
  <c r="L21" i="27"/>
  <c r="L23" i="27" s="1"/>
  <c r="L24" i="27" s="1"/>
  <c r="T21" i="27"/>
  <c r="T23" i="27" s="1"/>
  <c r="T24" i="27" s="1"/>
  <c r="H57" i="29"/>
  <c r="P58" i="21"/>
  <c r="P61" i="21" s="1"/>
  <c r="P64" i="21" s="1"/>
  <c r="H58" i="21"/>
  <c r="H61" i="21" s="1"/>
  <c r="N59" i="23"/>
  <c r="R58" i="26"/>
  <c r="R61" i="26" s="1"/>
  <c r="R57" i="21"/>
  <c r="H58" i="22"/>
  <c r="H61" i="22" s="1"/>
  <c r="P58" i="22"/>
  <c r="P61" i="22" s="1"/>
  <c r="P64" i="22" s="1"/>
  <c r="P65" i="22" s="1"/>
  <c r="F59" i="22"/>
  <c r="K58" i="29"/>
  <c r="K61" i="29" s="1"/>
  <c r="I58" i="23"/>
  <c r="I61" i="23" s="1"/>
  <c r="I64" i="23" s="1"/>
  <c r="I65" i="23" s="1"/>
  <c r="Q58" i="23"/>
  <c r="Q61" i="23" s="1"/>
  <c r="L58" i="29"/>
  <c r="L61" i="29" s="1"/>
  <c r="T58" i="29"/>
  <c r="T61" i="29" s="1"/>
  <c r="I23" i="30"/>
  <c r="Q23" i="30"/>
  <c r="J58" i="28"/>
  <c r="J61" i="28" s="1"/>
  <c r="J64" i="28" s="1"/>
  <c r="R58" i="22"/>
  <c r="R61" i="22" s="1"/>
  <c r="R64" i="22" s="1"/>
  <c r="R65" i="22" s="1"/>
  <c r="J58" i="23"/>
  <c r="J61" i="23" s="1"/>
  <c r="J64" i="23" s="1"/>
  <c r="J58" i="24"/>
  <c r="J61" i="24" s="1"/>
  <c r="J64" i="24" s="1"/>
  <c r="R58" i="24"/>
  <c r="R61" i="24" s="1"/>
  <c r="F57" i="24"/>
  <c r="T58" i="30"/>
  <c r="T61" i="30" s="1"/>
  <c r="T64" i="30" s="1"/>
  <c r="T65" i="30" s="1"/>
  <c r="C58" i="23"/>
  <c r="C61" i="23" s="1"/>
  <c r="C64" i="23" s="1"/>
  <c r="K58" i="23"/>
  <c r="K61" i="23" s="1"/>
  <c r="S58" i="23"/>
  <c r="S61" i="23" s="1"/>
  <c r="F58" i="26"/>
  <c r="F61" i="26" s="1"/>
  <c r="D58" i="27"/>
  <c r="D61" i="27" s="1"/>
  <c r="D64" i="27" s="1"/>
  <c r="L58" i="27"/>
  <c r="L61" i="27" s="1"/>
  <c r="T58" i="27"/>
  <c r="T61" i="27" s="1"/>
  <c r="T64" i="27" s="1"/>
  <c r="J58" i="30"/>
  <c r="J61" i="30" s="1"/>
  <c r="R58" i="30"/>
  <c r="R61" i="30" s="1"/>
  <c r="R64" i="30" s="1"/>
  <c r="P57" i="30"/>
  <c r="J57" i="21"/>
  <c r="H59" i="21"/>
  <c r="J19" i="27"/>
  <c r="J20" i="27" s="1"/>
  <c r="R21" i="27"/>
  <c r="R23" i="27" s="1"/>
  <c r="R24" i="27" s="1"/>
  <c r="E58" i="27"/>
  <c r="E61" i="27" s="1"/>
  <c r="M58" i="27"/>
  <c r="M61" i="27" s="1"/>
  <c r="U58" i="27"/>
  <c r="U61" i="27" s="1"/>
  <c r="I58" i="29"/>
  <c r="I61" i="29" s="1"/>
  <c r="I64" i="29" s="1"/>
  <c r="I65" i="29" s="1"/>
  <c r="Q58" i="29"/>
  <c r="Q61"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T23" i="30"/>
  <c r="G58" i="30"/>
  <c r="G61" i="30" s="1"/>
  <c r="O58" i="30"/>
  <c r="O61" i="30" s="1"/>
  <c r="Q57" i="30"/>
  <c r="A36" i="22"/>
  <c r="G58" i="27"/>
  <c r="G61" i="27" s="1"/>
  <c r="T58" i="28"/>
  <c r="T61" i="28" s="1"/>
  <c r="C58" i="29"/>
  <c r="C61" i="29" s="1"/>
  <c r="C64" i="29" s="1"/>
  <c r="C65" i="29" s="1"/>
  <c r="H58" i="30"/>
  <c r="H61" i="30" s="1"/>
  <c r="H64" i="30" s="1"/>
  <c r="H65" i="30" s="1"/>
  <c r="N59" i="30"/>
  <c r="Q57" i="21"/>
  <c r="B58" i="21"/>
  <c r="B61" i="21" s="1"/>
  <c r="I58" i="22"/>
  <c r="I61" i="22" s="1"/>
  <c r="I64" i="22" s="1"/>
  <c r="I65"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P58" i="26"/>
  <c r="P61" i="26" s="1"/>
  <c r="F59" i="26"/>
  <c r="O58" i="27"/>
  <c r="O61" i="27" s="1"/>
  <c r="A38" i="21"/>
  <c r="F57" i="22"/>
  <c r="N59" i="22"/>
  <c r="E58" i="23"/>
  <c r="E61" i="23" s="1"/>
  <c r="E64" i="23" s="1"/>
  <c r="M58" i="23"/>
  <c r="M61" i="23" s="1"/>
  <c r="U58" i="23"/>
  <c r="U61" i="23" s="1"/>
  <c r="U64" i="23" s="1"/>
  <c r="O23" i="24"/>
  <c r="O24" i="24" s="1"/>
  <c r="F58" i="24"/>
  <c r="F61" i="24" s="1"/>
  <c r="N58" i="24"/>
  <c r="N61" i="24" s="1"/>
  <c r="F59" i="24"/>
  <c r="I58" i="27"/>
  <c r="I61" i="27" s="1"/>
  <c r="I64" i="27" s="1"/>
  <c r="Q58" i="27"/>
  <c r="Q61" i="27" s="1"/>
  <c r="H57" i="27"/>
  <c r="F59" i="27"/>
  <c r="F58" i="28"/>
  <c r="F61" i="28" s="1"/>
  <c r="N58" i="28"/>
  <c r="N61" i="28" s="1"/>
  <c r="E58" i="29"/>
  <c r="E61" i="29" s="1"/>
  <c r="M58" i="29"/>
  <c r="M61" i="29" s="1"/>
  <c r="U58" i="29"/>
  <c r="U61" i="29" s="1"/>
  <c r="F57" i="30"/>
  <c r="N58" i="26"/>
  <c r="N61" i="26" s="1"/>
  <c r="T58" i="24"/>
  <c r="T61" i="24" s="1"/>
  <c r="T64" i="24" s="1"/>
  <c r="H58" i="26"/>
  <c r="H61" i="26" s="1"/>
  <c r="H64" i="26" s="1"/>
  <c r="L58" i="28"/>
  <c r="L61" i="28" s="1"/>
  <c r="S58" i="29"/>
  <c r="S61" i="29" s="1"/>
  <c r="S64" i="29" s="1"/>
  <c r="P19" i="21"/>
  <c r="P20" i="21" s="1"/>
  <c r="C58" i="22"/>
  <c r="C61" i="22" s="1"/>
  <c r="C64" i="22" s="1"/>
  <c r="C65" i="22" s="1"/>
  <c r="K58" i="22"/>
  <c r="K61" i="22" s="1"/>
  <c r="K64" i="22" s="1"/>
  <c r="K65" i="22" s="1"/>
  <c r="S58" i="22"/>
  <c r="S61" i="22" s="1"/>
  <c r="S64" i="22" s="1"/>
  <c r="S65" i="22" s="1"/>
  <c r="F57" i="23"/>
  <c r="D23" i="24"/>
  <c r="D24" i="24" s="1"/>
  <c r="L23" i="24"/>
  <c r="L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C65" i="30" s="1"/>
  <c r="K58" i="30"/>
  <c r="K61"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T65" i="22" s="1"/>
  <c r="A37" i="22"/>
  <c r="N57" i="22"/>
  <c r="G58" i="23"/>
  <c r="G61" i="23" s="1"/>
  <c r="O58" i="23"/>
  <c r="O61" i="23" s="1"/>
  <c r="N57" i="23"/>
  <c r="H58" i="24"/>
  <c r="H61" i="24" s="1"/>
  <c r="P58" i="24"/>
  <c r="P61" i="24" s="1"/>
  <c r="D58" i="26"/>
  <c r="D61" i="26" s="1"/>
  <c r="L58" i="26"/>
  <c r="L61" i="26" s="1"/>
  <c r="T58" i="26"/>
  <c r="T61" i="26" s="1"/>
  <c r="F57" i="26"/>
  <c r="C58" i="27"/>
  <c r="C61" i="27" s="1"/>
  <c r="C64" i="27" s="1"/>
  <c r="C65" i="27" s="1"/>
  <c r="K58" i="27"/>
  <c r="K61" i="27" s="1"/>
  <c r="K64" i="27" s="1"/>
  <c r="S58" i="27"/>
  <c r="S61" i="27" s="1"/>
  <c r="S64" i="27" s="1"/>
  <c r="P57" i="27"/>
  <c r="N59" i="27"/>
  <c r="H58" i="28"/>
  <c r="H61" i="28" s="1"/>
  <c r="P58" i="28"/>
  <c r="P61" i="28" s="1"/>
  <c r="N57" i="28"/>
  <c r="D23" i="29"/>
  <c r="D24" i="29" s="1"/>
  <c r="L23" i="29"/>
  <c r="L24" i="29" s="1"/>
  <c r="G58" i="29"/>
  <c r="G61" i="29" s="1"/>
  <c r="O58" i="29"/>
  <c r="O61" i="29" s="1"/>
  <c r="P59" i="29"/>
  <c r="I57" i="30"/>
  <c r="M19" i="21"/>
  <c r="M20" i="21" s="1"/>
  <c r="G57" i="21"/>
  <c r="E58" i="22"/>
  <c r="E61" i="22" s="1"/>
  <c r="E64" i="22" s="1"/>
  <c r="E65" i="22" s="1"/>
  <c r="M58" i="22"/>
  <c r="M61" i="22" s="1"/>
  <c r="U58" i="22"/>
  <c r="U61" i="22" s="1"/>
  <c r="A45" i="22"/>
  <c r="O57" i="22"/>
  <c r="H58" i="23"/>
  <c r="H61" i="23" s="1"/>
  <c r="P58" i="23"/>
  <c r="P61" i="23" s="1"/>
  <c r="P64" i="23" s="1"/>
  <c r="I58" i="24"/>
  <c r="I61" i="24" s="1"/>
  <c r="Q58" i="24"/>
  <c r="Q61" i="24" s="1"/>
  <c r="Q64" i="24" s="1"/>
  <c r="E58" i="26"/>
  <c r="E61" i="26" s="1"/>
  <c r="M58" i="26"/>
  <c r="M61" i="26" s="1"/>
  <c r="M64" i="26" s="1"/>
  <c r="U58" i="26"/>
  <c r="U61" i="26" s="1"/>
  <c r="N57" i="26"/>
  <c r="P59" i="27"/>
  <c r="I58" i="28"/>
  <c r="I61" i="28" s="1"/>
  <c r="I64" i="28" s="1"/>
  <c r="Q58" i="28"/>
  <c r="Q61" i="28" s="1"/>
  <c r="Q64" i="28" s="1"/>
  <c r="P23" i="28"/>
  <c r="P24" i="28" s="1"/>
  <c r="H58" i="29"/>
  <c r="H61" i="29" s="1"/>
  <c r="P58" i="29"/>
  <c r="P61" i="29" s="1"/>
  <c r="E58" i="30"/>
  <c r="E61" i="30" s="1"/>
  <c r="E64" i="30" s="1"/>
  <c r="E65" i="30" s="1"/>
  <c r="M58" i="30"/>
  <c r="M61" i="30" s="1"/>
  <c r="U58" i="30"/>
  <c r="U61" i="30" s="1"/>
  <c r="N57" i="30"/>
  <c r="F59" i="30"/>
  <c r="B58" i="30"/>
  <c r="B61"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G23" i="30"/>
  <c r="F63" i="30"/>
  <c r="N63" i="30"/>
  <c r="K19" i="30"/>
  <c r="A31" i="30"/>
  <c r="A33" i="30"/>
  <c r="A39" i="30"/>
  <c r="A41" i="30"/>
  <c r="A47" i="30"/>
  <c r="A49" i="30"/>
  <c r="G57" i="30"/>
  <c r="O57" i="30"/>
  <c r="G59" i="30"/>
  <c r="G64" i="30" s="1"/>
  <c r="G65" i="30" s="1"/>
  <c r="O59" i="30"/>
  <c r="G63" i="30"/>
  <c r="O63" i="30"/>
  <c r="P63" i="30"/>
  <c r="I63" i="30"/>
  <c r="Q63" i="30"/>
  <c r="N19" i="30"/>
  <c r="N23" i="30"/>
  <c r="B63" i="30"/>
  <c r="J63" i="30"/>
  <c r="R63" i="30"/>
  <c r="M19" i="30"/>
  <c r="A32" i="30"/>
  <c r="A34" i="30"/>
  <c r="A40" i="30"/>
  <c r="A42" i="30"/>
  <c r="A48" i="30"/>
  <c r="A50" i="30"/>
  <c r="C63" i="30"/>
  <c r="K63" i="30"/>
  <c r="S63" i="30"/>
  <c r="P19" i="30"/>
  <c r="D63" i="30"/>
  <c r="L63" i="30"/>
  <c r="T63" i="30"/>
  <c r="H63" i="30"/>
  <c r="E63" i="30"/>
  <c r="M63" i="30"/>
  <c r="Q23" i="29"/>
  <c r="Q24" i="29" s="1"/>
  <c r="O23" i="29"/>
  <c r="O24" i="29" s="1"/>
  <c r="P63" i="29"/>
  <c r="J19" i="29"/>
  <c r="J20" i="29" s="1"/>
  <c r="R19" i="29"/>
  <c r="R20" i="29" s="1"/>
  <c r="J23" i="29"/>
  <c r="J24" i="29" s="1"/>
  <c r="F57" i="29"/>
  <c r="N57" i="29"/>
  <c r="F59" i="29"/>
  <c r="N59" i="29"/>
  <c r="F63" i="29"/>
  <c r="N63" i="29"/>
  <c r="H63" i="29"/>
  <c r="S19" i="29"/>
  <c r="S20" i="29" s="1"/>
  <c r="K23" i="29"/>
  <c r="K24" i="29" s="1"/>
  <c r="A31" i="29"/>
  <c r="A33" i="29"/>
  <c r="A39" i="29"/>
  <c r="A41" i="29"/>
  <c r="A47" i="29"/>
  <c r="A49" i="29"/>
  <c r="G57" i="29"/>
  <c r="O57" i="29"/>
  <c r="G59" i="29"/>
  <c r="O59" i="29"/>
  <c r="G63" i="29"/>
  <c r="O63" i="29"/>
  <c r="U19" i="29"/>
  <c r="U20" i="29" s="1"/>
  <c r="U23" i="29"/>
  <c r="U24" i="29" s="1"/>
  <c r="I57" i="29"/>
  <c r="Q57" i="29"/>
  <c r="I63" i="29"/>
  <c r="Q63" i="29"/>
  <c r="F19" i="29"/>
  <c r="F20" i="29" s="1"/>
  <c r="N19" i="29"/>
  <c r="N20" i="29" s="1"/>
  <c r="F23" i="29"/>
  <c r="F24" i="29" s="1"/>
  <c r="N23" i="29"/>
  <c r="N24" i="29" s="1"/>
  <c r="B63" i="29"/>
  <c r="J63" i="29"/>
  <c r="R63" i="29"/>
  <c r="L19" i="29"/>
  <c r="L20" i="29" s="1"/>
  <c r="G19" i="29"/>
  <c r="G20" i="29" s="1"/>
  <c r="O19" i="29"/>
  <c r="O20" i="29" s="1"/>
  <c r="A32" i="29"/>
  <c r="A34" i="29"/>
  <c r="A40" i="29"/>
  <c r="A42" i="29"/>
  <c r="A48" i="29"/>
  <c r="A50" i="29"/>
  <c r="C63" i="29"/>
  <c r="K63" i="29"/>
  <c r="S63" i="29"/>
  <c r="H19" i="29"/>
  <c r="H20" i="29" s="1"/>
  <c r="D63" i="29"/>
  <c r="L63" i="29"/>
  <c r="T63" i="29"/>
  <c r="E63" i="29"/>
  <c r="M63" i="29"/>
  <c r="K19" i="28"/>
  <c r="K20" i="28" s="1"/>
  <c r="A31" i="28"/>
  <c r="A33" i="28"/>
  <c r="A37" i="28"/>
  <c r="A39" i="28"/>
  <c r="A41" i="28"/>
  <c r="A45" i="28"/>
  <c r="A47" i="28"/>
  <c r="A49" i="28"/>
  <c r="G57" i="28"/>
  <c r="O57" i="28"/>
  <c r="G59" i="28"/>
  <c r="O59" i="28"/>
  <c r="G63" i="28"/>
  <c r="O63" i="28"/>
  <c r="D19" i="28"/>
  <c r="D20" i="28" s="1"/>
  <c r="T23" i="28"/>
  <c r="T24" i="28" s="1"/>
  <c r="H59" i="28"/>
  <c r="P59" i="28"/>
  <c r="H63" i="28"/>
  <c r="P63" i="28"/>
  <c r="E19" i="28"/>
  <c r="E20" i="28" s="1"/>
  <c r="M19" i="28"/>
  <c r="M20" i="28" s="1"/>
  <c r="U19" i="28"/>
  <c r="U20" i="28" s="1"/>
  <c r="M23" i="28"/>
  <c r="M24" i="28" s="1"/>
  <c r="I57" i="28"/>
  <c r="Q57" i="28"/>
  <c r="I63" i="28"/>
  <c r="Q63" i="28"/>
  <c r="N23" i="28"/>
  <c r="N24" i="28" s="1"/>
  <c r="V23" i="28"/>
  <c r="V24" i="28" s="1"/>
  <c r="B63" i="28"/>
  <c r="J63" i="28"/>
  <c r="R63" i="28"/>
  <c r="A32" i="28"/>
  <c r="A34" i="28"/>
  <c r="A40" i="28"/>
  <c r="A42" i="28"/>
  <c r="A48" i="28"/>
  <c r="A50" i="28"/>
  <c r="C63" i="28"/>
  <c r="K63" i="28"/>
  <c r="S63" i="28"/>
  <c r="H19" i="28"/>
  <c r="H20" i="28" s="1"/>
  <c r="D63" i="28"/>
  <c r="L63" i="28"/>
  <c r="T63" i="28"/>
  <c r="I19" i="28"/>
  <c r="I20" i="28" s="1"/>
  <c r="E63" i="28"/>
  <c r="M63" i="28"/>
  <c r="R19" i="27"/>
  <c r="R20"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U20" i="27" s="1"/>
  <c r="E21" i="27"/>
  <c r="E23" i="27" s="1"/>
  <c r="E24" i="27" s="1"/>
  <c r="M21" i="27"/>
  <c r="M23" i="27" s="1"/>
  <c r="M24" i="27" s="1"/>
  <c r="U21" i="27"/>
  <c r="U23" i="27" s="1"/>
  <c r="U24" i="27" s="1"/>
  <c r="I57" i="27"/>
  <c r="Q57" i="27"/>
  <c r="I63" i="27"/>
  <c r="Q63"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D63" i="27"/>
  <c r="L63" i="27"/>
  <c r="T63" i="27"/>
  <c r="H63" i="27"/>
  <c r="Q19" i="27"/>
  <c r="Q20" i="27" s="1"/>
  <c r="E63" i="27"/>
  <c r="M63" i="27"/>
  <c r="O23" i="26"/>
  <c r="O24" i="26" s="1"/>
  <c r="A31" i="26"/>
  <c r="A33" i="26"/>
  <c r="A37" i="26"/>
  <c r="A39" i="26"/>
  <c r="A41" i="26"/>
  <c r="A45" i="26"/>
  <c r="A47" i="26"/>
  <c r="A49" i="26"/>
  <c r="G57" i="26"/>
  <c r="O57" i="26"/>
  <c r="G59" i="26"/>
  <c r="O59" i="26"/>
  <c r="G63" i="26"/>
  <c r="O63" i="26"/>
  <c r="L19" i="26"/>
  <c r="L20" i="26" s="1"/>
  <c r="T19" i="26"/>
  <c r="T20" i="26" s="1"/>
  <c r="T23" i="26"/>
  <c r="T24" i="26" s="1"/>
  <c r="H63" i="26"/>
  <c r="P63" i="26"/>
  <c r="M19" i="26"/>
  <c r="M20" i="26" s="1"/>
  <c r="M23" i="26"/>
  <c r="M24" i="26" s="1"/>
  <c r="I57" i="26"/>
  <c r="Q57" i="26"/>
  <c r="I59" i="26"/>
  <c r="Q59" i="26"/>
  <c r="I63" i="26"/>
  <c r="Q63" i="26"/>
  <c r="N23" i="26"/>
  <c r="N24" i="26" s="1"/>
  <c r="B63" i="26"/>
  <c r="J63" i="26"/>
  <c r="R63" i="26"/>
  <c r="G19" i="26"/>
  <c r="G20" i="26" s="1"/>
  <c r="O19" i="26"/>
  <c r="O20" i="26" s="1"/>
  <c r="A32" i="26"/>
  <c r="A34" i="26"/>
  <c r="A40" i="26"/>
  <c r="A42" i="26"/>
  <c r="A48" i="26"/>
  <c r="A50" i="26"/>
  <c r="C63" i="26"/>
  <c r="K63" i="26"/>
  <c r="S63" i="26"/>
  <c r="H19" i="26"/>
  <c r="H20" i="26" s="1"/>
  <c r="D63" i="26"/>
  <c r="L63" i="26"/>
  <c r="J23" i="24"/>
  <c r="J24" i="24" s="1"/>
  <c r="H23" i="24"/>
  <c r="H24" i="24" s="1"/>
  <c r="P23" i="24"/>
  <c r="P24" i="24" s="1"/>
  <c r="K19" i="24"/>
  <c r="K20" i="24" s="1"/>
  <c r="A31" i="24"/>
  <c r="A33" i="24"/>
  <c r="A37" i="24"/>
  <c r="A39" i="24"/>
  <c r="A41" i="24"/>
  <c r="A45" i="24"/>
  <c r="A47" i="24"/>
  <c r="A49" i="24"/>
  <c r="G57" i="24"/>
  <c r="O57" i="24"/>
  <c r="G59" i="24"/>
  <c r="O59" i="24"/>
  <c r="G63" i="24"/>
  <c r="O63" i="24"/>
  <c r="H59" i="24"/>
  <c r="P59" i="24"/>
  <c r="H63" i="24"/>
  <c r="P63" i="24"/>
  <c r="E19" i="24"/>
  <c r="E20" i="24" s="1"/>
  <c r="U19" i="24"/>
  <c r="U20" i="24" s="1"/>
  <c r="I57" i="24"/>
  <c r="Q57" i="24"/>
  <c r="I63" i="24"/>
  <c r="Q63" i="24"/>
  <c r="F19" i="24"/>
  <c r="F20" i="24" s="1"/>
  <c r="F23" i="24"/>
  <c r="F24" i="24" s="1"/>
  <c r="V23" i="24"/>
  <c r="V24" i="24" s="1"/>
  <c r="B63" i="24"/>
  <c r="J63" i="24"/>
  <c r="R63" i="24"/>
  <c r="A32" i="24"/>
  <c r="A34" i="24"/>
  <c r="A40" i="24"/>
  <c r="A42" i="24"/>
  <c r="A48" i="24"/>
  <c r="A50" i="24"/>
  <c r="C63" i="24"/>
  <c r="K63" i="24"/>
  <c r="S63" i="24"/>
  <c r="R23" i="24"/>
  <c r="R24"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A31" i="23"/>
  <c r="A33" i="23"/>
  <c r="A37" i="23"/>
  <c r="A39" i="23"/>
  <c r="A41" i="23"/>
  <c r="A45" i="23"/>
  <c r="A47" i="23"/>
  <c r="A49" i="23"/>
  <c r="G57" i="23"/>
  <c r="O57" i="23"/>
  <c r="G59" i="23"/>
  <c r="O59" i="23"/>
  <c r="D23" i="23"/>
  <c r="L23" i="23"/>
  <c r="E19" i="23"/>
  <c r="M19" i="23"/>
  <c r="E23" i="23"/>
  <c r="I57" i="23"/>
  <c r="Q57" i="23"/>
  <c r="F23" i="23"/>
  <c r="G19"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L19" i="22"/>
  <c r="L23" i="22"/>
  <c r="T23" i="22"/>
  <c r="K23" i="22"/>
  <c r="A31" i="22"/>
  <c r="A33" i="22"/>
  <c r="A41" i="22"/>
  <c r="A47" i="22"/>
  <c r="E19" i="22"/>
  <c r="U23" i="22"/>
  <c r="I57" i="22"/>
  <c r="Q57" i="22"/>
  <c r="K19" i="22"/>
  <c r="A39" i="22"/>
  <c r="A49" i="22"/>
  <c r="N19" i="22"/>
  <c r="A32" i="22"/>
  <c r="A34" i="22"/>
  <c r="A40" i="22"/>
  <c r="A42" i="22"/>
  <c r="A48" i="22"/>
  <c r="A50" i="22"/>
  <c r="F23" i="21"/>
  <c r="F24" i="21" s="1"/>
  <c r="A33" i="21"/>
  <c r="A37" i="21"/>
  <c r="A41" i="21"/>
  <c r="A45" i="21"/>
  <c r="A49" i="21"/>
  <c r="E58" i="21"/>
  <c r="E61" i="21" s="1"/>
  <c r="M58" i="21"/>
  <c r="M61" i="21" s="1"/>
  <c r="U58" i="21"/>
  <c r="U61" i="21" s="1"/>
  <c r="U64" i="21" s="1"/>
  <c r="I23" i="21"/>
  <c r="I24" i="21" s="1"/>
  <c r="G23" i="21"/>
  <c r="G24" i="21" s="1"/>
  <c r="C57" i="21"/>
  <c r="K57" i="21"/>
  <c r="S57" i="21"/>
  <c r="Q19" i="21"/>
  <c r="Q20" i="21" s="1"/>
  <c r="J23" i="21"/>
  <c r="J24" i="21" s="1"/>
  <c r="I19" i="21"/>
  <c r="I20" i="21" s="1"/>
  <c r="L19" i="21"/>
  <c r="L20" i="21" s="1"/>
  <c r="R19" i="21"/>
  <c r="R20" i="21" s="1"/>
  <c r="A31"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L65" i="23" l="1"/>
  <c r="P65" i="23"/>
  <c r="T65" i="27"/>
  <c r="U65" i="23"/>
  <c r="D65" i="24"/>
  <c r="C65" i="26"/>
  <c r="E65" i="23"/>
  <c r="I65" i="27"/>
  <c r="Q65" i="30"/>
  <c r="K65" i="21"/>
  <c r="J65" i="23"/>
  <c r="I65" i="30"/>
  <c r="C65" i="21"/>
  <c r="S65" i="27"/>
  <c r="K65" i="28"/>
  <c r="P65" i="21"/>
  <c r="J65" i="28"/>
  <c r="T65" i="23"/>
  <c r="R65" i="30"/>
  <c r="C65" i="23"/>
  <c r="L64" i="24"/>
  <c r="L66" i="24" s="1"/>
  <c r="J64" i="30"/>
  <c r="J65" i="30" s="1"/>
  <c r="H64" i="22"/>
  <c r="H65" i="22" s="1"/>
  <c r="J64" i="27"/>
  <c r="U64" i="26"/>
  <c r="D64" i="30"/>
  <c r="D65" i="30" s="1"/>
  <c r="R65" i="27"/>
  <c r="J65" i="27"/>
  <c r="D65" i="27"/>
  <c r="K65" i="27"/>
  <c r="Q65" i="28"/>
  <c r="I65" i="28"/>
  <c r="D65" i="28"/>
  <c r="R65" i="29"/>
  <c r="S65" i="29"/>
  <c r="T65" i="24"/>
  <c r="L65" i="24"/>
  <c r="J65" i="24"/>
  <c r="Q65" i="24"/>
  <c r="B65" i="24"/>
  <c r="S65" i="26"/>
  <c r="H65" i="26"/>
  <c r="D65" i="21"/>
  <c r="R65" i="21"/>
  <c r="Q65" i="21"/>
  <c r="L64" i="28"/>
  <c r="L65" i="28" s="1"/>
  <c r="I64" i="26"/>
  <c r="I65" i="26" s="1"/>
  <c r="F64" i="26"/>
  <c r="U64" i="30"/>
  <c r="U66" i="30" s="1"/>
  <c r="T64" i="29"/>
  <c r="T65" i="29" s="1"/>
  <c r="T64" i="28"/>
  <c r="T65" i="28" s="1"/>
  <c r="Q64" i="29"/>
  <c r="Q65" i="29" s="1"/>
  <c r="Q64" i="26"/>
  <c r="Q65" i="26" s="1"/>
  <c r="Q64" i="27"/>
  <c r="Q65" i="27" s="1"/>
  <c r="O64" i="21"/>
  <c r="O65" i="21" s="1"/>
  <c r="N64" i="22"/>
  <c r="N65" i="22" s="1"/>
  <c r="N64" i="21"/>
  <c r="N66" i="21" s="1"/>
  <c r="M64" i="22"/>
  <c r="M65" i="22" s="1"/>
  <c r="L64" i="26"/>
  <c r="L65" i="26" s="1"/>
  <c r="K64" i="30"/>
  <c r="K65" i="30" s="1"/>
  <c r="H64" i="23"/>
  <c r="H65" i="23" s="1"/>
  <c r="E64" i="27"/>
  <c r="E65" i="27" s="1"/>
  <c r="B64" i="30"/>
  <c r="B65" i="30" s="1"/>
  <c r="U65" i="30"/>
  <c r="U66" i="26"/>
  <c r="U65" i="26"/>
  <c r="U66" i="21"/>
  <c r="U65" i="21"/>
  <c r="M66" i="26"/>
  <c r="M65" i="26"/>
  <c r="F66" i="26"/>
  <c r="F65" i="26"/>
  <c r="C19" i="29"/>
  <c r="C20" i="29" s="1"/>
  <c r="C23" i="21"/>
  <c r="C24" i="21" s="1"/>
  <c r="L64" i="22"/>
  <c r="L65" i="22" s="1"/>
  <c r="D64" i="22"/>
  <c r="D65" i="22" s="1"/>
  <c r="Q64" i="22"/>
  <c r="Q65" i="22" s="1"/>
  <c r="U64" i="22"/>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M64" i="30"/>
  <c r="K64" i="26"/>
  <c r="C64" i="28"/>
  <c r="C64" i="24"/>
  <c r="L64" i="27"/>
  <c r="R64" i="24"/>
  <c r="K64" i="29"/>
  <c r="J64" i="29"/>
  <c r="E64" i="29"/>
  <c r="M64" i="21"/>
  <c r="M65" i="21" s="1"/>
  <c r="P64" i="28"/>
  <c r="I64" i="21"/>
  <c r="U64" i="28"/>
  <c r="U64" i="24"/>
  <c r="F64" i="23"/>
  <c r="U64" i="27"/>
  <c r="C19" i="22"/>
  <c r="C20" i="22" s="1"/>
  <c r="S66" i="27"/>
  <c r="D66" i="30"/>
  <c r="Q66" i="30"/>
  <c r="B64" i="22"/>
  <c r="B64" i="29"/>
  <c r="B64" i="28"/>
  <c r="B64" i="27"/>
  <c r="B64" i="26"/>
  <c r="B64" i="21"/>
  <c r="P66" i="22"/>
  <c r="O64" i="27"/>
  <c r="O64" i="28"/>
  <c r="N64" i="27"/>
  <c r="N64" i="30"/>
  <c r="L66" i="30"/>
  <c r="J66" i="28"/>
  <c r="G64" i="26"/>
  <c r="G64" i="29"/>
  <c r="F64" i="22"/>
  <c r="O64" i="26"/>
  <c r="R66" i="22"/>
  <c r="T66" i="24"/>
  <c r="U66" i="23"/>
  <c r="P64" i="30"/>
  <c r="C66" i="23"/>
  <c r="P66" i="23"/>
  <c r="E66" i="22"/>
  <c r="T66" i="23"/>
  <c r="Q66" i="21"/>
  <c r="P66" i="21"/>
  <c r="K66" i="27"/>
  <c r="G64" i="23"/>
  <c r="Q66" i="24"/>
  <c r="R66" i="27"/>
  <c r="C66" i="27"/>
  <c r="H66" i="23"/>
  <c r="J66" i="27"/>
  <c r="G64" i="27"/>
  <c r="G66" i="30"/>
  <c r="F64" i="27"/>
  <c r="T66" i="27"/>
  <c r="C66" i="22"/>
  <c r="T66" i="21"/>
  <c r="H66" i="30"/>
  <c r="E66" i="30"/>
  <c r="L66" i="21"/>
  <c r="S66" i="26"/>
  <c r="T66" i="30"/>
  <c r="C66" i="29"/>
  <c r="R66" i="28"/>
  <c r="N64" i="26"/>
  <c r="O64" i="29"/>
  <c r="P64" i="29"/>
  <c r="S64" i="1"/>
  <c r="D66" i="27"/>
  <c r="N64" i="29"/>
  <c r="R66" i="30"/>
  <c r="L66" i="23"/>
  <c r="O66" i="22"/>
  <c r="R64" i="1"/>
  <c r="J66" i="23"/>
  <c r="Q64" i="1"/>
  <c r="U64" i="1"/>
  <c r="P64" i="1"/>
  <c r="J66" i="24"/>
  <c r="F64" i="29"/>
  <c r="O64" i="23"/>
  <c r="O64" i="30"/>
  <c r="N64" i="24"/>
  <c r="B66" i="24"/>
  <c r="C66" i="30"/>
  <c r="I66" i="30"/>
  <c r="R66" i="29"/>
  <c r="I66" i="29"/>
  <c r="S66" i="29"/>
  <c r="D66" i="28"/>
  <c r="Q66" i="28"/>
  <c r="I66" i="28"/>
  <c r="K66" i="28"/>
  <c r="I66" i="27"/>
  <c r="Q66" i="26"/>
  <c r="C66" i="26"/>
  <c r="H66" i="26"/>
  <c r="D66" i="24"/>
  <c r="I66" i="23"/>
  <c r="E66" i="23"/>
  <c r="I66" i="22"/>
  <c r="S66" i="22"/>
  <c r="K66" i="22"/>
  <c r="T66" i="22"/>
  <c r="K66" i="21"/>
  <c r="C66" i="21"/>
  <c r="D66" i="21"/>
  <c r="R66" i="21"/>
  <c r="N64" i="1"/>
  <c r="M64" i="1"/>
  <c r="T64" i="1"/>
  <c r="L64" i="1"/>
  <c r="J64" i="1"/>
  <c r="J65" i="1" s="1"/>
  <c r="K64" i="1"/>
  <c r="O64" i="1"/>
  <c r="C64" i="1"/>
  <c r="C65" i="1" s="1"/>
  <c r="I64" i="1"/>
  <c r="H64" i="1"/>
  <c r="G64" i="1"/>
  <c r="F64" i="1"/>
  <c r="E64" i="1"/>
  <c r="D64" i="1"/>
  <c r="B64" i="1"/>
  <c r="B65" i="1" s="1"/>
  <c r="D63" i="1"/>
  <c r="L63" i="1"/>
  <c r="F63" i="1"/>
  <c r="R63" i="1"/>
  <c r="J63" i="1"/>
  <c r="Q63" i="1"/>
  <c r="I63" i="1"/>
  <c r="C63" i="1"/>
  <c r="K63" i="1"/>
  <c r="P63" i="1"/>
  <c r="H63" i="1"/>
  <c r="T63" i="1"/>
  <c r="S63" i="1"/>
  <c r="O63" i="1"/>
  <c r="G63" i="1"/>
  <c r="N63" i="1"/>
  <c r="E63" i="1"/>
  <c r="B63" i="1"/>
  <c r="U63" i="1"/>
  <c r="M63" i="1"/>
  <c r="M65" i="1" l="1"/>
  <c r="I65" i="1"/>
  <c r="N65" i="1"/>
  <c r="R65" i="1"/>
  <c r="K66" i="24"/>
  <c r="P66" i="27"/>
  <c r="H66" i="22"/>
  <c r="P66" i="24"/>
  <c r="I66" i="24"/>
  <c r="J66" i="30"/>
  <c r="O65" i="1"/>
  <c r="D65" i="1"/>
  <c r="K65" i="1"/>
  <c r="F65" i="1"/>
  <c r="L65" i="1"/>
  <c r="U65" i="1"/>
  <c r="H65" i="1"/>
  <c r="E65" i="1"/>
  <c r="P65" i="1"/>
  <c r="G65" i="1"/>
  <c r="T65" i="1"/>
  <c r="Q65" i="1"/>
  <c r="S65" i="1"/>
  <c r="R66" i="26"/>
  <c r="Q66" i="29"/>
  <c r="Q66" i="1"/>
  <c r="O66" i="21"/>
  <c r="N66" i="22"/>
  <c r="L66" i="28"/>
  <c r="L66" i="22"/>
  <c r="K66" i="30"/>
  <c r="I66" i="26"/>
  <c r="E66" i="27"/>
  <c r="T66" i="1"/>
  <c r="T66" i="28"/>
  <c r="T66" i="29"/>
  <c r="S66" i="28"/>
  <c r="Q66" i="22"/>
  <c r="Q66" i="27"/>
  <c r="P66" i="26"/>
  <c r="N65" i="21"/>
  <c r="M66" i="22"/>
  <c r="L66" i="26"/>
  <c r="J66" i="26"/>
  <c r="D66" i="26"/>
  <c r="B66" i="30"/>
  <c r="S66" i="21"/>
  <c r="S65" i="21"/>
  <c r="S66" i="23"/>
  <c r="S66" i="30"/>
  <c r="S65" i="30"/>
  <c r="S66" i="24"/>
  <c r="T66" i="26"/>
  <c r="T65" i="26"/>
  <c r="U66" i="24"/>
  <c r="U65" i="24"/>
  <c r="U66" i="28"/>
  <c r="U65" i="28"/>
  <c r="U66" i="29"/>
  <c r="U65" i="29"/>
  <c r="U66" i="22"/>
  <c r="U65" i="22"/>
  <c r="U66" i="27"/>
  <c r="U65" i="27"/>
  <c r="R66" i="23"/>
  <c r="R65" i="23"/>
  <c r="R66" i="24"/>
  <c r="R65" i="24"/>
  <c r="Q66" i="23"/>
  <c r="Q65" i="23"/>
  <c r="P66" i="30"/>
  <c r="P65" i="30"/>
  <c r="P66" i="29"/>
  <c r="P65" i="29"/>
  <c r="P66" i="28"/>
  <c r="P65" i="28"/>
  <c r="O66" i="30"/>
  <c r="O65" i="30"/>
  <c r="O66" i="23"/>
  <c r="O65" i="23"/>
  <c r="O66" i="24"/>
  <c r="O65" i="24"/>
  <c r="O66" i="29"/>
  <c r="O65" i="29"/>
  <c r="O66" i="26"/>
  <c r="O65" i="26"/>
  <c r="O66" i="28"/>
  <c r="O65" i="28"/>
  <c r="O66" i="27"/>
  <c r="O65" i="27"/>
  <c r="N66" i="30"/>
  <c r="N65" i="30"/>
  <c r="N66" i="28"/>
  <c r="N65" i="28"/>
  <c r="N66" i="29"/>
  <c r="N65" i="29"/>
  <c r="N66" i="24"/>
  <c r="N65" i="24"/>
  <c r="N66" i="23"/>
  <c r="N66" i="27"/>
  <c r="N65" i="27"/>
  <c r="N66" i="26"/>
  <c r="N65" i="26"/>
  <c r="M66" i="27"/>
  <c r="M65" i="27"/>
  <c r="M66" i="21"/>
  <c r="M66" i="24"/>
  <c r="M66" i="29"/>
  <c r="M66" i="30"/>
  <c r="M65" i="30"/>
  <c r="M66" i="28"/>
  <c r="M66" i="23"/>
  <c r="M65" i="23"/>
  <c r="L66" i="29"/>
  <c r="L66" i="27"/>
  <c r="L65" i="27"/>
  <c r="K66" i="29"/>
  <c r="K65" i="29"/>
  <c r="K66" i="26"/>
  <c r="K65" i="26"/>
  <c r="K66" i="23"/>
  <c r="K65" i="23"/>
  <c r="J66" i="29"/>
  <c r="J65" i="29"/>
  <c r="J66" i="22"/>
  <c r="J65" i="22"/>
  <c r="J66" i="21"/>
  <c r="J65" i="21"/>
  <c r="I66" i="21"/>
  <c r="I65" i="21"/>
  <c r="H66" i="28"/>
  <c r="H65" i="28"/>
  <c r="H66" i="21"/>
  <c r="H66" i="24"/>
  <c r="H65" i="24"/>
  <c r="H66" i="27"/>
  <c r="H65" i="27"/>
  <c r="H66" i="29"/>
  <c r="H65" i="29"/>
  <c r="G66" i="29"/>
  <c r="G65" i="29"/>
  <c r="G66" i="21"/>
  <c r="G65" i="21"/>
  <c r="G66" i="28"/>
  <c r="G65" i="28"/>
  <c r="G66" i="26"/>
  <c r="G65" i="26"/>
  <c r="G66" i="22"/>
  <c r="G65" i="22"/>
  <c r="G66" i="23"/>
  <c r="G65" i="23"/>
  <c r="G66" i="27"/>
  <c r="G65" i="27"/>
  <c r="G66" i="24"/>
  <c r="G65" i="24"/>
  <c r="F66" i="22"/>
  <c r="F65" i="22"/>
  <c r="F66" i="23"/>
  <c r="F65" i="23"/>
  <c r="F66" i="27"/>
  <c r="F65" i="27"/>
  <c r="F66" i="28"/>
  <c r="F65" i="28"/>
  <c r="F66" i="29"/>
  <c r="F65" i="29"/>
  <c r="F66" i="24"/>
  <c r="F65" i="24"/>
  <c r="F66" i="30"/>
  <c r="F65" i="30"/>
  <c r="F66" i="21"/>
  <c r="F65" i="21"/>
  <c r="E66" i="21"/>
  <c r="E65" i="21"/>
  <c r="E66" i="24"/>
  <c r="E65" i="24"/>
  <c r="E66" i="28"/>
  <c r="E65" i="28"/>
  <c r="E66" i="29"/>
  <c r="E65" i="29"/>
  <c r="E66" i="26"/>
  <c r="E65" i="26"/>
  <c r="D66" i="29"/>
  <c r="D66" i="23"/>
  <c r="D66" i="22"/>
  <c r="C66" i="24"/>
  <c r="C65" i="24"/>
  <c r="C66" i="28"/>
  <c r="C65" i="28"/>
  <c r="B66" i="21"/>
  <c r="B65" i="21"/>
  <c r="B66" i="27"/>
  <c r="B65" i="27"/>
  <c r="B66" i="28"/>
  <c r="B65" i="28"/>
  <c r="B66" i="29"/>
  <c r="B65" i="29"/>
  <c r="B66" i="26"/>
  <c r="B65" i="26"/>
  <c r="B66" i="23"/>
  <c r="B65" i="23"/>
  <c r="B66" i="22"/>
  <c r="B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<sst xmlns="http://schemas.openxmlformats.org/spreadsheetml/2006/main" count="2145" uniqueCount="180">
  <si>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</si>
  <si>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</si>
  <si>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</si>
  <si>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</si>
  <si>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</si>
  <si>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</si>
  <si>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</si>
  <si>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</si>
  <si>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</si>
  <si>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</si>
  <si>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</si>
  <si>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</si>
  <si>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</si>
  <si>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</si>
  <si>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</si>
  <si>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</si>
  <si>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</si>
  <si>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</si>
  <si>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</si>
  <si>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</si>
  <si>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</si>
  <si>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</si>
  <si>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</si>
  <si>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</si>
  <si>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</si>
  <si>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</si>
  <si>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</si>
  <si>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</si>
  <si>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</si>
  <si>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</si>
  <si>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</si>
  <si>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</si>
  <si>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</si>
  <si>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</si>
  <si>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</si>
  <si>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</si>
  <si>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</si>
  <si>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</si>
  <si>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</si>
  <si>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</si>
  <si>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</si>
  <si>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</si>
  <si>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</si>
  <si>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</si>
  <si>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</si>
  <si>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</si>
  <si>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</si>
  <si>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</si>
  <si>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</si>
  <si>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</si>
  <si>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</si>
  <si>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</si>
  <si>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</si>
  <si>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</si>
  <si>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</si>
  <si>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</si>
  <si>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</si>
  <si>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</si>
  <si>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</si>
  <si>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</si>
  <si>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</si>
  <si>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</si>
  <si>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</si>
  <si>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</si>
  <si>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</si>
  <si>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</si>
  <si>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</si>
  <si>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</si>
  <si>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</si>
  <si>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</si>
  <si>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</si>
  <si>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</si>
  <si>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</si>
  <si>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</si>
  <si>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</si>
  <si>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</si>
  <si>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</si>
  <si>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</si>
  <si>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</si>
  <si>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</si>
  <si>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</si>
  <si>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</si>
  <si>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</si>
  <si>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</si>
  <si>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</si>
  <si>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</si>
  <si>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</si>
  <si>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</si>
  <si>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</si>
  <si>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</si>
  <si>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</si>
  <si>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</si>
  <si>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</si>
  <si>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</si>
  <si>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</si>
  <si>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</si>
  <si>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</si>
  <si>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</si>
  <si>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</si>
  <si>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</si>
  <si>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</si>
  <si>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</si>
  <si>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</si>
  <si>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</si>
  <si>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</si>
  <si>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</si>
  <si>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</si>
  <si>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</si>
  <si>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</si>
  <si>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</si>
  <si>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</si>
  <si>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</si>
  <si>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</si>
  <si>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</si>
  <si>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</si>
  <si>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</si>
  <si>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</si>
  <si>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</si>
  <si>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</si>
  <si>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</si>
  <si>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</si>
  <si>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</si>
  <si>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</si>
  <si>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</si>
  <si>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</si>
  <si>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</si>
  <si>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</si>
  <si>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</si>
  <si>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</si>
  <si>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</si>
  <si>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</si>
  <si>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</si>
  <si>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</si>
  <si>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</si>
  <si>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</si>
  <si>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</si>
  <si>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</si>
  <si>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</si>
  <si>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</si>
  <si>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</si>
  <si>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</si>
  <si>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</si>
  <si>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</si>
  <si>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</si>
  <si>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</si>
  <si>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</si>
  <si>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</si>
  <si>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</si>
  <si>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</si>
  <si>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</si>
  <si>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</si>
  <si>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</si>
  <si>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</si>
  <si>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</si>
  <si>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</si>
  <si>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</si>
  <si>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</si>
  <si>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</si>
  <si>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</si>
  <si>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</si>
  <si>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PAN-021626</t>
  </si>
  <si>
    <t>KP3594VE</t>
  </si>
  <si>
    <t>Trade Effluent Services Limited</t>
  </si>
  <si>
    <t>Gwaenynog Bach Farm, Pentrefoelas Road, Bryn Ynys, Denbigh, Y Groes, Denbighshire, LL16 5RP</t>
  </si>
  <si>
    <t>Louise Bailey</t>
  </si>
  <si>
    <t>Secanim</t>
  </si>
  <si>
    <t>02 02 04</t>
  </si>
  <si>
    <t>Croda Goole</t>
  </si>
  <si>
    <t>07 07 12</t>
  </si>
  <si>
    <t>Croda Widnes</t>
  </si>
  <si>
    <t>02 03 05</t>
  </si>
  <si>
    <t>Maelor</t>
  </si>
  <si>
    <t>Encirc</t>
  </si>
  <si>
    <t>Beechdean Ice Cream</t>
  </si>
  <si>
    <t>02 05 01</t>
  </si>
  <si>
    <t>Penderyn Distillery</t>
  </si>
  <si>
    <t>02 07 05</t>
  </si>
  <si>
    <t>Kelloggs</t>
  </si>
  <si>
    <t>2-</t>
  </si>
  <si>
    <t>Moderate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</si>
</sst>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C14" sqref="C1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27" t="s">
        <v>41</v>
      </c>
      <c r="B1" s="127"/>
      <c r="C1" s="121" t="s">
        <v>160</v>
      </c>
      <c r="D1" s="122"/>
      <c r="E1" s="93" t="s">
        <v>45</v>
      </c>
      <c r="F1" s="96">
        <v>48.6</v>
      </c>
      <c r="G1" s="123" t="s">
        <v>43</v>
      </c>
      <c r="H1" s="124"/>
      <c r="I1" s="96">
        <v>6.01</v>
      </c>
      <c r="J1" s="127" t="s">
        <v>153</v>
      </c>
      <c r="K1" s="127"/>
      <c r="L1" s="96">
        <v>648</v>
      </c>
      <c r="AB1" s="18"/>
      <c r="AC1" s="18"/>
      <c r="AD1" s="30" t="s">
        <v>126</v>
      </c>
      <c r="AE1" s="17"/>
      <c r="AF1" s="17"/>
      <c r="AG1" s="18"/>
      <c r="AH1" s="18"/>
      <c r="AI1" s="40" t="s">
        <v>79</v>
      </c>
      <c r="AJ1" s="41" t="s">
        <v>94</v>
      </c>
      <c r="AK1" s="42" t="s">
        <v>95</v>
      </c>
      <c r="AL1" s="43" t="s">
        <v>125</v>
      </c>
      <c r="AM1" s="43" t="s">
        <v>131</v>
      </c>
      <c r="AN1" s="43" t="s">
        <v>111</v>
      </c>
    </row>
    <row r="2" spans="1:40" x14ac:dyDescent="0.2">
      <c r="A2" s="127" t="s">
        <v>87</v>
      </c>
      <c r="B2" s="127"/>
      <c r="C2" s="119" t="s">
        <v>161</v>
      </c>
      <c r="D2" s="120"/>
      <c r="E2" s="93" t="s">
        <v>109</v>
      </c>
      <c r="F2" s="96" t="s">
        <v>166</v>
      </c>
      <c r="G2" s="125" t="s">
        <v>110</v>
      </c>
      <c r="H2" s="126"/>
      <c r="I2" s="96">
        <v>1818</v>
      </c>
      <c r="J2" s="127" t="s">
        <v>158</v>
      </c>
      <c r="K2" s="127"/>
      <c r="L2" s="96">
        <v>0.3</v>
      </c>
      <c r="AB2" s="30" t="s">
        <v>56</v>
      </c>
      <c r="AC2" s="17"/>
      <c r="AD2" s="30" t="s">
        <v>70</v>
      </c>
      <c r="AE2" s="17"/>
      <c r="AF2" s="17"/>
      <c r="AG2" s="44" t="s">
        <v>76</v>
      </c>
      <c r="AH2" s="18"/>
      <c r="AI2" s="45" t="s">
        <v>126</v>
      </c>
      <c r="AJ2" s="46">
        <v>0</v>
      </c>
      <c r="AK2" s="47">
        <v>0</v>
      </c>
      <c r="AL2" s="10">
        <v>0</v>
      </c>
      <c r="AM2" s="11">
        <v>0</v>
      </c>
      <c r="AN2" s="11">
        <v>0</v>
      </c>
    </row>
    <row r="3" spans="1:40" x14ac:dyDescent="0.2">
      <c r="A3" s="123" t="s">
        <v>42</v>
      </c>
      <c r="B3" s="124"/>
      <c r="C3" s="119" t="s">
        <v>162</v>
      </c>
      <c r="D3" s="120"/>
      <c r="E3" s="93" t="s">
        <v>108</v>
      </c>
      <c r="F3" s="31"/>
      <c r="G3" s="127" t="s">
        <v>159</v>
      </c>
      <c r="H3" s="127"/>
      <c r="I3" s="96">
        <v>12720</v>
      </c>
      <c r="J3" s="123" t="s">
        <v>154</v>
      </c>
      <c r="K3" s="124"/>
      <c r="L3" s="96">
        <f>(L1/(L2*10000))*100</f>
        <v>21.6</v>
      </c>
      <c r="AB3" s="30" t="s">
        <v>57</v>
      </c>
      <c r="AC3" s="17"/>
      <c r="AD3" s="30" t="s">
        <v>71</v>
      </c>
      <c r="AE3" s="17"/>
      <c r="AF3" s="17"/>
      <c r="AG3" s="44" t="s">
        <v>77</v>
      </c>
      <c r="AH3" s="18"/>
      <c r="AI3" s="48" t="s">
        <v>113</v>
      </c>
      <c r="AJ3" s="49">
        <v>1.7</v>
      </c>
      <c r="AK3" s="50">
        <v>6</v>
      </c>
      <c r="AL3" s="51">
        <v>1</v>
      </c>
      <c r="AM3" s="11">
        <v>6.2</v>
      </c>
      <c r="AN3" s="11" t="s">
        <v>112</v>
      </c>
    </row>
    <row r="4" spans="1:40" x14ac:dyDescent="0.2">
      <c r="A4" s="127" t="s">
        <v>0</v>
      </c>
      <c r="B4" s="127"/>
      <c r="C4" s="121" t="s">
        <v>163</v>
      </c>
      <c r="D4" s="122"/>
      <c r="E4" s="94" t="s">
        <v>1</v>
      </c>
      <c r="F4" s="95" t="s">
        <v>165</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x14ac:dyDescent="0.2">
      <c r="A5" s="127" t="s">
        <v>47</v>
      </c>
      <c r="B5" s="127"/>
      <c r="C5" s="128" t="s">
        <v>164</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
      <c r="A8" s="127" t="s">
        <v>2</v>
      </c>
      <c r="B8" s="127"/>
      <c r="C8" s="15">
        <v>2211</v>
      </c>
      <c r="D8" s="15"/>
      <c r="E8" s="15"/>
      <c r="F8" s="15"/>
      <c r="G8" s="15"/>
      <c r="H8" s="15"/>
      <c r="I8" s="15"/>
      <c r="J8" s="15"/>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
      <c r="A9" s="127" t="s">
        <v>3</v>
      </c>
      <c r="B9" s="127"/>
      <c r="C9" s="15" t="s">
        <v>179</v>
      </c>
      <c r="D9" s="15"/>
      <c r="E9" s="15"/>
      <c r="F9" s="15"/>
      <c r="G9" s="15"/>
      <c r="H9" s="15"/>
      <c r="I9" s="15"/>
      <c r="J9" s="15"/>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
      <c r="A10" s="127" t="s">
        <v>4</v>
      </c>
      <c r="B10" s="127"/>
      <c r="C10" s="15">
        <v>6</v>
      </c>
      <c r="D10" s="15"/>
      <c r="E10" s="15"/>
      <c r="F10" s="15"/>
      <c r="G10" s="15"/>
      <c r="H10" s="15"/>
      <c r="I10" s="15"/>
      <c r="J10" s="15"/>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
      <c r="A11" s="127" t="s">
        <v>5</v>
      </c>
      <c r="B11" s="127"/>
      <c r="C11" s="15">
        <v>3</v>
      </c>
      <c r="D11" s="15"/>
      <c r="E11" s="15"/>
      <c r="F11" s="15"/>
      <c r="G11" s="15"/>
      <c r="H11" s="15"/>
      <c r="I11" s="15"/>
      <c r="J11" s="15"/>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
      <c r="A12" s="127" t="s">
        <v>6</v>
      </c>
      <c r="B12" s="127"/>
      <c r="C12" s="15" t="s">
        <v>178</v>
      </c>
      <c r="D12" s="15"/>
      <c r="E12" s="15"/>
      <c r="F12" s="15"/>
      <c r="G12" s="15"/>
      <c r="H12" s="15"/>
      <c r="I12" s="15"/>
      <c r="J12" s="15"/>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
      <c r="A13" s="127" t="s">
        <v>7</v>
      </c>
      <c r="B13" s="127"/>
      <c r="C13" s="15">
        <v>3</v>
      </c>
      <c r="D13" s="15"/>
      <c r="E13" s="15"/>
      <c r="F13" s="15"/>
      <c r="G13" s="15"/>
      <c r="H13" s="15"/>
      <c r="I13" s="15"/>
      <c r="J13" s="15"/>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
      <c r="A14" s="136" t="s">
        <v>8</v>
      </c>
      <c r="B14" s="136"/>
      <c r="C14" s="100" t="s">
        <v>113</v>
      </c>
      <c r="D14" s="100"/>
      <c r="E14" s="100"/>
      <c r="F14" s="100"/>
      <c r="G14" s="100"/>
      <c r="H14" s="100"/>
      <c r="I14" s="100"/>
      <c r="J14" s="100"/>
      <c r="K14" s="100"/>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x14ac:dyDescent="0.2">
      <c r="A15" s="135" t="s">
        <v>9</v>
      </c>
      <c r="B15" s="135"/>
      <c r="C15" s="15">
        <v>38</v>
      </c>
      <c r="D15" s="15"/>
      <c r="E15" s="15"/>
      <c r="F15" s="15"/>
      <c r="G15" s="15"/>
      <c r="H15" s="15"/>
      <c r="I15" s="15"/>
      <c r="J15" s="15"/>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25">
      <c r="A16" s="137" t="s">
        <v>44</v>
      </c>
      <c r="B16" s="137"/>
      <c r="C16" s="101" t="s">
        <v>72</v>
      </c>
      <c r="D16" s="101"/>
      <c r="E16" s="101"/>
      <c r="F16" s="101"/>
      <c r="G16" s="101"/>
      <c r="H16" s="101"/>
      <c r="I16" s="101"/>
      <c r="J16" s="101"/>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63.341567999999995</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-1.2584319999999991</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t="e">
        <f t="shared" ref="D21:V21" si="2">(VLOOKUP(D$14,$AI2:$AK26,3,FALSE))*D$15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20.128320000000002</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-207.87168</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e">
        <f t="shared" ref="D24:V24" si="4">IF($B31="","",IF(D$23&gt;=0,"INCREASE","DECREASE"))</f>
        <v>#N/A</v>
      </c>
      <c r="E24" s="26" t="e">
        <f t="shared" si="4"/>
        <v>#N/A</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5.12</v>
      </c>
      <c r="C28" s="15">
        <v>0.3</v>
      </c>
      <c r="D28" s="15">
        <v>864</v>
      </c>
      <c r="E28" s="15">
        <v>522</v>
      </c>
      <c r="F28" s="15">
        <v>62.9</v>
      </c>
      <c r="G28" s="15">
        <v>2.34</v>
      </c>
      <c r="H28" s="15">
        <v>56.9</v>
      </c>
      <c r="I28" s="15">
        <v>3.21</v>
      </c>
      <c r="J28" s="15">
        <v>0.05</v>
      </c>
      <c r="K28" s="23">
        <v>0.05</v>
      </c>
      <c r="L28" s="15">
        <v>0.78</v>
      </c>
      <c r="M28" s="15">
        <v>0.93</v>
      </c>
      <c r="N28" s="15"/>
      <c r="O28" s="15"/>
      <c r="P28" s="15">
        <v>1527</v>
      </c>
      <c r="Q28" s="15">
        <v>894</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2211</v>
      </c>
      <c r="B31" s="15">
        <v>32</v>
      </c>
      <c r="C31" s="77">
        <f>IF(C$27="%w/w SAR",((C$28*10)*$B31),IF(C$27="%w/w DM",(((C$28*10)*($B$28/100))*$B31),IF(C$27="kg/t SAR",(C$28*$B31),IF(C$27="kg/t DM",((C$28*($B$28/100))*$B31),IF(C$27="mg/kg SAR",((C$28*0.001)*$B31),IF(C$27="mg/kg DM",(((C$28*0.001)*($B$28/100))*$B31),0))))))</f>
        <v>96</v>
      </c>
      <c r="D31" s="77">
        <f>(IF(D$27="%w/w SAR",((D$28*10)*$B31),IF(D$27="%w/w DM",(((D$28*10)*($B$28/100))*$B31),IF(D$27="kg/t SAR",(D$28*$B31),IF(D$27="kg/t DM",((D$28*($B$28/100))*$B31),IF(D$27="mg/kg SAR",((D$28*0.001)*$B31),IF(D$27="mg/kg DM",(((D$28*0.001)*($B$28/100))*$B31),"0")))))))*2.291</f>
        <v>63.341567999999995</v>
      </c>
      <c r="E31" s="77">
        <f>(IF(E$27="%w/w SAR",((E$28*10)*$B31),IF(E$27="%w/w DM",(((E$28*10)*($B$28/100))*$B31),IF(E$27="kg/t SAR",(E$28*$B31),IF(E$27="kg/t DM",((E$28*($B$28/100))*$B31),IF(E$27="mg/kg SAR",((E$28*0.001)*$B31),IF(E$27="mg/kg DM",(((E$28*0.001)*($B$28/100))*$B31),"0")))))))*1.205</f>
        <v>20.128320000000002</v>
      </c>
      <c r="F31" s="77">
        <f>(IF(F$27="%w/w SAR",((F$28*10)*$B31),IF(F$27="%w/w DM",(((F$28*10)*($B$28/100))*$B31),IF(F$27="kg/t SAR",(F$28*$B31),IF(F$27="kg/t DM",((F$28*($B$28/100))*$B31),IF(F$27="mg/kg SAR",((F$28*0.001)*$B31),IF(F$27="mg/kg DM",(((F$28*0.001)*($B$28/100))*$B31),"0")))))))*1.658</f>
        <v>3.3372223999999999</v>
      </c>
      <c r="G31" s="77">
        <f t="shared" ref="G31:P31" si="5">IF(G$27="%w/w SAR",((G$28*10)*$B31),IF(G$27="%w/w DM",(((G$28*10)*($B$28/100))*$B31),IF(G$27="kg/t SAR",(G$28*$B31),IF(G$27="kg/t DM",((G$28*($B$28/100))*$B31),IF(G$27="mg/kg SAR",((G$28*0.001)*$B31),IF(G$27="mg/kg DM",(((G$28*0.001)*($B$28/100))*$B31),0))))))</f>
        <v>7.4880000000000002E-2</v>
      </c>
      <c r="H31" s="77">
        <f t="shared" si="5"/>
        <v>1.8208</v>
      </c>
      <c r="I31" s="77">
        <f t="shared" si="5"/>
        <v>0.10272000000000001</v>
      </c>
      <c r="J31" s="77">
        <f t="shared" si="5"/>
        <v>1.6000000000000001E-3</v>
      </c>
      <c r="K31" s="77">
        <f t="shared" si="5"/>
        <v>1.6000000000000001E-3</v>
      </c>
      <c r="L31" s="77">
        <f t="shared" si="5"/>
        <v>2.4960000000000003E-2</v>
      </c>
      <c r="M31" s="77">
        <f t="shared" si="5"/>
        <v>2.9760000000000002E-2</v>
      </c>
      <c r="N31" s="77">
        <f t="shared" si="5"/>
        <v>0</v>
      </c>
      <c r="O31" s="77">
        <f t="shared" si="5"/>
        <v>0</v>
      </c>
      <c r="P31" s="77">
        <f t="shared" si="5"/>
        <v>48.864000000000004</v>
      </c>
      <c r="Q31" s="77">
        <f>(IF(Q$27="%w/w SAR",((Q$28*10)*$B31),IF(Q$27="%w/w DM",(((Q$28*10)*($B$28/100))*$B31),IF(Q$27="kg/t SAR",(Q$28*$B31),IF(Q$27="kg/t DM",((Q$28*($B$28/100))*$B31),IF(Q$27="mg/kg SAR",((Q$28*0.001)*$B31),IF(Q$27="mg/kg DM",(((Q$28*0.001)*($B$28/100))*$B31),0)))))))*2.5</f>
        <v>71.52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ref="G32:P50" si="10">IF(G$27="%w/w SAR",((G$28*10)*$B32),IF(G$27="%w/w DM",(((G$28*10)*($B$28/100))*$B32),IF(G$27="kg/t SAR",(G$28*$B32),IF(G$27="kg/t DM",((G$28*($B$28/100))*$B32),IF(G$27="mg/kg SAR",((G$28*0.001)*$B32),IF(G$27="mg/kg DM",(((G$28*0.001)*($B$28/100))*$B32),0))))))</f>
        <v>0</v>
      </c>
      <c r="H32" s="77">
        <f t="shared" si="10"/>
        <v>0</v>
      </c>
      <c r="I32" s="77">
        <f t="shared" si="10"/>
        <v>0</v>
      </c>
      <c r="J32" s="77">
        <f t="shared" si="10"/>
        <v>0</v>
      </c>
      <c r="K32" s="77">
        <f t="shared" si="10"/>
        <v>0</v>
      </c>
      <c r="L32" s="77">
        <f t="shared" si="10"/>
        <v>0</v>
      </c>
      <c r="M32" s="77">
        <f t="shared" si="10"/>
        <v>0</v>
      </c>
      <c r="N32" s="77">
        <f t="shared" si="10"/>
        <v>0</v>
      </c>
      <c r="O32" s="77">
        <f t="shared" si="10"/>
        <v>0</v>
      </c>
      <c r="P32" s="77">
        <f t="shared" si="10"/>
        <v>0</v>
      </c>
      <c r="Q32" s="77">
        <f t="shared" ref="Q32:Q50" si="11">(IF(Q$27="%w/w SAR",((Q$28*10)*$B32),IF(Q$27="%w/w DM",(((Q$28*10)*($B$28/100))*$B32),IF(Q$27="kg/t SAR",(Q$28*$B32),IF(Q$27="kg/t DM",((Q$28*($B$28/100))*$B32),IF(Q$27="mg/kg SAR",((Q$28*0.001)*$B32),IF(Q$27="mg/kg DM",(((Q$28*0.001)*($B$28/100))*$B32),0)))))))*2.5</f>
        <v>0</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10"/>
        <v>0</v>
      </c>
      <c r="H33" s="77">
        <f t="shared" si="10"/>
        <v>0</v>
      </c>
      <c r="I33" s="77">
        <f t="shared" si="10"/>
        <v>0</v>
      </c>
      <c r="J33" s="77">
        <f t="shared" si="10"/>
        <v>0</v>
      </c>
      <c r="K33" s="77">
        <f t="shared" si="10"/>
        <v>0</v>
      </c>
      <c r="L33" s="77">
        <f t="shared" si="10"/>
        <v>0</v>
      </c>
      <c r="M33" s="77">
        <f t="shared" si="10"/>
        <v>0</v>
      </c>
      <c r="N33" s="77">
        <f t="shared" si="10"/>
        <v>0</v>
      </c>
      <c r="O33" s="77">
        <f t="shared" si="10"/>
        <v>0</v>
      </c>
      <c r="P33" s="77">
        <f t="shared" si="10"/>
        <v>0</v>
      </c>
      <c r="Q33" s="77">
        <f t="shared" si="11"/>
        <v>0</v>
      </c>
      <c r="R33" s="77">
        <f t="shared" si="12"/>
        <v>0</v>
      </c>
      <c r="S33" s="77">
        <f t="shared" si="12"/>
        <v>0</v>
      </c>
      <c r="T33" s="77">
        <f t="shared" si="12"/>
        <v>0</v>
      </c>
      <c r="U33" s="77">
        <f t="shared" si="12"/>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10"/>
        <v>0</v>
      </c>
      <c r="H34" s="77">
        <f t="shared" si="10"/>
        <v>0</v>
      </c>
      <c r="I34" s="77">
        <f t="shared" si="10"/>
        <v>0</v>
      </c>
      <c r="J34" s="77">
        <f t="shared" si="10"/>
        <v>0</v>
      </c>
      <c r="K34" s="77">
        <f t="shared" si="10"/>
        <v>0</v>
      </c>
      <c r="L34" s="77">
        <f t="shared" si="10"/>
        <v>0</v>
      </c>
      <c r="M34" s="77">
        <f t="shared" si="10"/>
        <v>0</v>
      </c>
      <c r="N34" s="77">
        <f t="shared" si="10"/>
        <v>0</v>
      </c>
      <c r="O34" s="77">
        <f t="shared" si="10"/>
        <v>0</v>
      </c>
      <c r="P34" s="77">
        <f t="shared" si="10"/>
        <v>0</v>
      </c>
      <c r="Q34" s="77">
        <f t="shared" si="11"/>
        <v>0</v>
      </c>
      <c r="R34" s="77">
        <f t="shared" si="12"/>
        <v>0</v>
      </c>
      <c r="S34" s="77">
        <f t="shared" si="12"/>
        <v>0</v>
      </c>
      <c r="T34" s="77">
        <f t="shared" si="12"/>
        <v>0</v>
      </c>
      <c r="U34" s="77">
        <f t="shared" si="12"/>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10"/>
        <v>0</v>
      </c>
      <c r="H35" s="77">
        <f t="shared" si="10"/>
        <v>0</v>
      </c>
      <c r="I35" s="77">
        <f t="shared" si="10"/>
        <v>0</v>
      </c>
      <c r="J35" s="77">
        <f t="shared" si="10"/>
        <v>0</v>
      </c>
      <c r="K35" s="77">
        <f t="shared" si="10"/>
        <v>0</v>
      </c>
      <c r="L35" s="77">
        <f t="shared" si="10"/>
        <v>0</v>
      </c>
      <c r="M35" s="77">
        <f t="shared" si="10"/>
        <v>0</v>
      </c>
      <c r="N35" s="77">
        <f t="shared" si="10"/>
        <v>0</v>
      </c>
      <c r="O35" s="77">
        <f t="shared" si="10"/>
        <v>0</v>
      </c>
      <c r="P35" s="77">
        <f t="shared" si="10"/>
        <v>0</v>
      </c>
      <c r="Q35" s="77">
        <f t="shared" si="11"/>
        <v>0</v>
      </c>
      <c r="R35" s="77">
        <f t="shared" si="12"/>
        <v>0</v>
      </c>
      <c r="S35" s="77">
        <f t="shared" si="12"/>
        <v>0</v>
      </c>
      <c r="T35" s="77">
        <f t="shared" si="12"/>
        <v>0</v>
      </c>
      <c r="U35" s="77">
        <f t="shared" si="12"/>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10"/>
        <v>0</v>
      </c>
      <c r="H36" s="77">
        <f t="shared" si="10"/>
        <v>0</v>
      </c>
      <c r="I36" s="77">
        <f t="shared" si="10"/>
        <v>0</v>
      </c>
      <c r="J36" s="77">
        <f t="shared" si="10"/>
        <v>0</v>
      </c>
      <c r="K36" s="77">
        <f t="shared" si="10"/>
        <v>0</v>
      </c>
      <c r="L36" s="77">
        <f t="shared" si="10"/>
        <v>0</v>
      </c>
      <c r="M36" s="77">
        <f t="shared" si="10"/>
        <v>0</v>
      </c>
      <c r="N36" s="77">
        <f t="shared" si="10"/>
        <v>0</v>
      </c>
      <c r="O36" s="77">
        <f t="shared" si="10"/>
        <v>0</v>
      </c>
      <c r="P36" s="77">
        <f t="shared" si="10"/>
        <v>0</v>
      </c>
      <c r="Q36" s="77">
        <f t="shared" si="11"/>
        <v>0</v>
      </c>
      <c r="R36" s="77">
        <f t="shared" si="12"/>
        <v>0</v>
      </c>
      <c r="S36" s="77">
        <f t="shared" si="12"/>
        <v>0</v>
      </c>
      <c r="T36" s="77">
        <f t="shared" si="12"/>
        <v>0</v>
      </c>
      <c r="U36" s="77">
        <f t="shared" si="12"/>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10"/>
        <v>0</v>
      </c>
      <c r="H37" s="77">
        <f t="shared" si="10"/>
        <v>0</v>
      </c>
      <c r="I37" s="77">
        <f t="shared" si="10"/>
        <v>0</v>
      </c>
      <c r="J37" s="77">
        <f t="shared" si="10"/>
        <v>0</v>
      </c>
      <c r="K37" s="77">
        <f t="shared" si="10"/>
        <v>0</v>
      </c>
      <c r="L37" s="77">
        <f t="shared" si="10"/>
        <v>0</v>
      </c>
      <c r="M37" s="77">
        <f t="shared" si="10"/>
        <v>0</v>
      </c>
      <c r="N37" s="77">
        <f t="shared" si="10"/>
        <v>0</v>
      </c>
      <c r="O37" s="77">
        <f t="shared" si="10"/>
        <v>0</v>
      </c>
      <c r="P37" s="77">
        <f t="shared" si="10"/>
        <v>0</v>
      </c>
      <c r="Q37" s="77">
        <f t="shared" si="11"/>
        <v>0</v>
      </c>
      <c r="R37" s="77">
        <f t="shared" si="12"/>
        <v>0</v>
      </c>
      <c r="S37" s="77">
        <f t="shared" si="12"/>
        <v>0</v>
      </c>
      <c r="T37" s="77">
        <f t="shared" si="12"/>
        <v>0</v>
      </c>
      <c r="U37" s="77">
        <f t="shared" si="12"/>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2211</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"&amp;(VLOOKUP(C14,Table24[],6,FALSE))</f>
        <v>Medium/Clay I Grass</v>
      </c>
      <c r="C58" s="13" t="e">
        <f>D16&amp;" I "&amp;(VLOOKUP(D14,Table24[],6,FALSE))</f>
        <v>#N/A</v>
      </c>
      <c r="D58" s="13" t="e">
        <f>E16&amp;" I "&amp;(VLOOKUP(E14,Table24[],6,FALSE))</f>
        <v>#N/A</v>
      </c>
      <c r="E58" s="13" t="e">
        <f>F16&amp;" I "&amp;(VLOOKUP(F14,Table24[],6,FALSE))</f>
        <v>#N/A</v>
      </c>
      <c r="F58" s="13" t="e">
        <f>G16&amp;" I "&amp;(VLOOKUP(G14,Table24[],6,FALSE))</f>
        <v>#N/A</v>
      </c>
      <c r="G58" s="13" t="e">
        <f>H16&amp;" I "&amp;(VLOOKUP(H14,Table24[],6,FALSE))</f>
        <v>#N/A</v>
      </c>
      <c r="H58" s="13" t="e">
        <f>I16&amp;" I "&amp;(VLOOKUP(I14,Table24[],6,FALSE))</f>
        <v>#N/A</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111" t="s">
        <v>132</v>
      </c>
      <c r="B59" s="76">
        <f>VLOOKUP(C$14,Table24[],5,FALSE)</f>
        <v>6.2</v>
      </c>
      <c r="C59" s="76" t="e">
        <f>VLOOKUP(D$14,Table24[],5,FALSE)</f>
        <v>#N/A</v>
      </c>
      <c r="D59" s="76" t="e">
        <f>VLOOKUP(E$14,Table24[],5,FALSE)</f>
        <v>#N/A</v>
      </c>
      <c r="E59" s="76" t="e">
        <f>VLOOKUP(F$14,Table24[],5,FALSE)</f>
        <v>#N/A</v>
      </c>
      <c r="F59" s="76" t="e">
        <f>VLOOKUP(G$14,Table24[],5,FALSE)</f>
        <v>#N/A</v>
      </c>
      <c r="G59" s="76" t="e">
        <f>VLOOKUP(H$14,Table24[],5,FALSE)</f>
        <v>#N/A</v>
      </c>
      <c r="H59" s="76" t="e">
        <f>VLOOKUP(I$14,Table24[],5,FALSE)</f>
        <v>#N/A</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
      <c r="A60" s="111" t="s">
        <v>4</v>
      </c>
      <c r="B60" s="76">
        <f>C10</f>
        <v>6</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32</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9"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PAN-021626</v>
      </c>
      <c r="D1" s="141"/>
      <c r="E1" s="93" t="s">
        <v>45</v>
      </c>
      <c r="F1" s="39">
        <f>Secanim!F1</f>
        <v>48.6</v>
      </c>
      <c r="G1" s="123" t="s">
        <v>43</v>
      </c>
      <c r="H1" s="124"/>
      <c r="I1" s="118">
        <v>7.08</v>
      </c>
      <c r="J1" s="127" t="s">
        <v>153</v>
      </c>
      <c r="K1" s="127"/>
      <c r="L1" s="97">
        <v>50</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Secanim!C2:D2</f>
        <v>KP3594VE</v>
      </c>
      <c r="D2" s="143"/>
      <c r="E2" s="93" t="s">
        <v>109</v>
      </c>
      <c r="F2" s="96" t="s">
        <v>168</v>
      </c>
      <c r="G2" s="125" t="s">
        <v>110</v>
      </c>
      <c r="H2" s="126"/>
      <c r="I2" s="118">
        <v>2012</v>
      </c>
      <c r="J2" s="127" t="s">
        <v>158</v>
      </c>
      <c r="K2" s="127"/>
      <c r="L2" s="97">
        <v>7.0000000000000007E-2</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Secanim!C3:D3</f>
        <v>Trade Effluent Services Limited</v>
      </c>
      <c r="D3" s="143"/>
      <c r="E3" s="93" t="s">
        <v>108</v>
      </c>
      <c r="F3" s="31"/>
      <c r="G3" s="127" t="s">
        <v>159</v>
      </c>
      <c r="H3" s="127"/>
      <c r="I3" s="118"/>
      <c r="J3" s="123" t="s">
        <v>154</v>
      </c>
      <c r="K3" s="124"/>
      <c r="L3" s="97">
        <f>(L1/(L2*10000))*100</f>
        <v>7.1428571428571415</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Secanim!C4:D4</f>
        <v>Gwaenynog Bach Farm, Pentrefoelas Road, Bryn Ynys, Denbigh, Y Groes, Denbighshire, LL16 5RP</v>
      </c>
      <c r="D4" s="141"/>
      <c r="E4" s="94" t="s">
        <v>1</v>
      </c>
      <c r="F4" s="96" t="s">
        <v>167</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Secanim!C8</f>
        <v>2211</v>
      </c>
      <c r="D8" s="60">
        <f>Secanim!D8</f>
        <v>0</v>
      </c>
      <c r="E8" s="60">
        <f>Secanim!E8</f>
        <v>0</v>
      </c>
      <c r="F8" s="60">
        <f>Secanim!F8</f>
        <v>0</v>
      </c>
      <c r="G8" s="60">
        <f>Secanim!G8</f>
        <v>0</v>
      </c>
      <c r="H8" s="60">
        <f>Secanim!H8</f>
        <v>0</v>
      </c>
      <c r="I8" s="60">
        <f>Secanim!I8</f>
        <v>0</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Secanim!C9</f>
        <v>Moderate</v>
      </c>
      <c r="D9" s="60">
        <f>Secanim!D9</f>
        <v>0</v>
      </c>
      <c r="E9" s="60">
        <f>Secanim!E9</f>
        <v>0</v>
      </c>
      <c r="F9" s="60">
        <f>Secanim!F9</f>
        <v>0</v>
      </c>
      <c r="G9" s="60">
        <f>Secanim!G9</f>
        <v>0</v>
      </c>
      <c r="H9" s="60">
        <f>Secanim!H9</f>
        <v>0</v>
      </c>
      <c r="I9" s="60">
        <f>Secanim!I9</f>
        <v>0</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Secanim!C10</f>
        <v>6</v>
      </c>
      <c r="D10" s="60">
        <f>Secanim!D10</f>
        <v>0</v>
      </c>
      <c r="E10" s="60">
        <f>Secanim!E10</f>
        <v>0</v>
      </c>
      <c r="F10" s="60">
        <f>Secanim!F10</f>
        <v>0</v>
      </c>
      <c r="G10" s="60">
        <f>Secanim!G10</f>
        <v>0</v>
      </c>
      <c r="H10" s="60">
        <f>Secanim!H10</f>
        <v>0</v>
      </c>
      <c r="I10" s="60">
        <f>Secanim!I10</f>
        <v>0</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Secanim!C11</f>
        <v>3</v>
      </c>
      <c r="D11" s="60">
        <f>Secanim!D11</f>
        <v>0</v>
      </c>
      <c r="E11" s="60">
        <f>Secanim!E11</f>
        <v>0</v>
      </c>
      <c r="F11" s="60">
        <f>Secanim!F11</f>
        <v>0</v>
      </c>
      <c r="G11" s="60">
        <f>Secanim!G11</f>
        <v>0</v>
      </c>
      <c r="H11" s="60">
        <f>Secanim!H11</f>
        <v>0</v>
      </c>
      <c r="I11" s="60">
        <f>Secanim!I11</f>
        <v>0</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t="str">
        <f>Secanim!C12</f>
        <v>2-</v>
      </c>
      <c r="D12" s="60">
        <f>Secanim!D12</f>
        <v>0</v>
      </c>
      <c r="E12" s="60">
        <f>Secanim!E12</f>
        <v>0</v>
      </c>
      <c r="F12" s="60">
        <f>Secanim!F12</f>
        <v>0</v>
      </c>
      <c r="G12" s="60">
        <f>Secanim!G12</f>
        <v>0</v>
      </c>
      <c r="H12" s="60">
        <f>Secanim!H12</f>
        <v>0</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Secanim!C13</f>
        <v>3</v>
      </c>
      <c r="D13" s="60">
        <f>Secanim!D13</f>
        <v>0</v>
      </c>
      <c r="E13" s="60">
        <f>Secanim!E13</f>
        <v>0</v>
      </c>
      <c r="F13" s="60">
        <f>Secanim!F13</f>
        <v>0</v>
      </c>
      <c r="G13" s="60">
        <f>Secanim!G13</f>
        <v>0</v>
      </c>
      <c r="H13" s="60">
        <f>Secanim!H13</f>
        <v>0</v>
      </c>
      <c r="I13" s="60">
        <f>Secanim!I13</f>
        <v>0</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Secanim!C14</f>
        <v xml:space="preserve">Grass Silage (25% DM) </v>
      </c>
      <c r="D14" s="102">
        <f>Secanim!D14</f>
        <v>0</v>
      </c>
      <c r="E14" s="102">
        <f>Secanim!E14</f>
        <v>0</v>
      </c>
      <c r="F14" s="102">
        <f>Secanim!F14</f>
        <v>0</v>
      </c>
      <c r="G14" s="102">
        <f>Secanim!G14</f>
        <v>0</v>
      </c>
      <c r="H14" s="102">
        <f>Secanim!H14</f>
        <v>0</v>
      </c>
      <c r="I14" s="102">
        <f>Secanim!I14</f>
        <v>0</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5" t="s">
        <v>9</v>
      </c>
      <c r="B15" s="135"/>
      <c r="C15" s="60">
        <f>Secanim!C15</f>
        <v>38</v>
      </c>
      <c r="D15" s="60">
        <f>Secanim!D15</f>
        <v>0</v>
      </c>
      <c r="E15" s="60">
        <f>Secanim!E15</f>
        <v>0</v>
      </c>
      <c r="F15" s="60">
        <f>Secanim!F15</f>
        <v>0</v>
      </c>
      <c r="G15" s="60">
        <f>Secanim!G15</f>
        <v>0</v>
      </c>
      <c r="H15" s="60">
        <f>Secanim!H15</f>
        <v>0</v>
      </c>
      <c r="I15" s="60">
        <f>Secanim!I15</f>
        <v>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Secanim!C16</f>
        <v>Medium/Clay</v>
      </c>
      <c r="D16" s="103">
        <f>Secanim!D16</f>
        <v>0</v>
      </c>
      <c r="E16" s="103">
        <f>Secanim!E16</f>
        <v>0</v>
      </c>
      <c r="F16" s="103">
        <f>Secanim!F16</f>
        <v>0</v>
      </c>
      <c r="G16" s="103">
        <f>Secanim!G16</f>
        <v>0</v>
      </c>
      <c r="H16" s="103">
        <f>Secanim!H16</f>
        <v>0</v>
      </c>
      <c r="I16" s="103">
        <f>Secanim!I16</f>
        <v>0</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63.204107999999991</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-1.3958920000000035</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t="e">
        <f t="shared" ref="D21:V21" si="2">(VLOOKUP(D$14,$AI2:$AK26,3,FALSE))*D$15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10.736550000000001</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-217.26345000000001</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e">
        <f t="shared" ref="D24:V24" si="4">IF($B31="","",IF(D$23&gt;=0,"INCREASE","DECREASE"))</f>
        <v>#N/A</v>
      </c>
      <c r="E24" s="26" t="e">
        <f t="shared" si="4"/>
        <v>#N/A</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1.55</v>
      </c>
      <c r="C28" s="15">
        <v>7.0000000000000007E-2</v>
      </c>
      <c r="D28" s="15">
        <v>209</v>
      </c>
      <c r="E28" s="15">
        <v>67.5</v>
      </c>
      <c r="F28" s="15">
        <v>25.3</v>
      </c>
      <c r="G28" s="15">
        <v>0.47</v>
      </c>
      <c r="H28" s="15">
        <v>7.09</v>
      </c>
      <c r="I28" s="15">
        <v>0.5</v>
      </c>
      <c r="J28" s="15">
        <v>0.01</v>
      </c>
      <c r="K28" s="23">
        <v>0.05</v>
      </c>
      <c r="L28" s="15">
        <v>0.23</v>
      </c>
      <c r="M28" s="15">
        <v>2</v>
      </c>
      <c r="N28" s="15"/>
      <c r="O28" s="15"/>
      <c r="P28" s="15">
        <v>2819</v>
      </c>
      <c r="Q28" s="15">
        <v>1275</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2211</v>
      </c>
      <c r="B31" s="15">
        <v>132</v>
      </c>
      <c r="C31" s="77">
        <f>IF(C$27="%w/w SAR",((C$28*10)*$B31),IF(C$27="%w/w DM",(((C$28*10)*($B$28/100))*$B31),IF(C$27="kg/t SAR",(C$28*$B31),IF(C$27="kg/t DM",((C$28*($B$28/100))*$B31),IF(C$27="mg/kg SAR",((C$28*0.001)*$B31),IF(C$27="mg/kg DM",(((C$28*0.001)*($B$28/100))*$B31),0))))))</f>
        <v>92.4</v>
      </c>
      <c r="D31" s="77">
        <f>(IF(D$27="%w/w SAR",((D$28*10)*$B31),IF(D$27="%w/w DM",(((D$28*10)*($B$28/100))*$B31),IF(D$27="kg/t SAR",(D$28*$B31),IF(D$27="kg/t DM",((D$28*($B$28/100))*$B31),IF(D$27="mg/kg SAR",((D$28*0.001)*$B31),IF(D$27="mg/kg DM",(((D$28*0.001)*($B$28/100))*$B31),"0")))))))*2.291</f>
        <v>63.204107999999991</v>
      </c>
      <c r="E31" s="77">
        <f>(IF(E$27="%w/w SAR",((E$28*10)*$B31),IF(E$27="%w/w DM",(((E$28*10)*($B$28/100))*$B31),IF(E$27="kg/t SAR",(E$28*$B31),IF(E$27="kg/t DM",((E$28*($B$28/100))*$B31),IF(E$27="mg/kg SAR",((E$28*0.001)*$B31),IF(E$27="mg/kg DM",(((E$28*0.001)*($B$28/100))*$B31),"0")))))))*1.205</f>
        <v>10.736550000000001</v>
      </c>
      <c r="F31" s="77">
        <f>(IF(F$27="%w/w SAR",((F$28*10)*$B31),IF(F$27="%w/w DM",(((F$28*10)*($B$28/100))*$B31),IF(F$27="kg/t SAR",(F$28*$B31),IF(F$27="kg/t DM",((F$28*($B$28/100))*$B31),IF(F$27="mg/kg SAR",((F$28*0.001)*$B31),IF(F$27="mg/kg DM",(((F$28*0.001)*($B$28/100))*$B31),"0")))))))*1.658</f>
        <v>5.5370567999999993</v>
      </c>
      <c r="G31" s="77">
        <f t="shared" ref="G31:P46" si="5">IF(G$27="%w/w SAR",((G$28*10)*$B31),IF(G$27="%w/w DM",(((G$28*10)*($B$28/100))*$B31),IF(G$27="kg/t SAR",(G$28*$B31),IF(G$27="kg/t DM",((G$28*($B$28/100))*$B31),IF(G$27="mg/kg SAR",((G$28*0.001)*$B31),IF(G$27="mg/kg DM",(((G$28*0.001)*($B$28/100))*$B31),0))))))</f>
        <v>6.2039999999999998E-2</v>
      </c>
      <c r="H31" s="77">
        <f t="shared" si="5"/>
        <v>0.93588000000000005</v>
      </c>
      <c r="I31" s="77">
        <f t="shared" si="5"/>
        <v>6.6000000000000003E-2</v>
      </c>
      <c r="J31" s="77">
        <f t="shared" si="5"/>
        <v>1.3200000000000002E-3</v>
      </c>
      <c r="K31" s="77">
        <f t="shared" si="5"/>
        <v>6.6E-3</v>
      </c>
      <c r="L31" s="77">
        <f t="shared" si="5"/>
        <v>3.0360000000000002E-2</v>
      </c>
      <c r="M31" s="77">
        <f t="shared" si="5"/>
        <v>0.26400000000000001</v>
      </c>
      <c r="N31" s="77">
        <f t="shared" si="5"/>
        <v>0</v>
      </c>
      <c r="O31" s="77">
        <f t="shared" si="5"/>
        <v>0</v>
      </c>
      <c r="P31" s="77">
        <f t="shared" si="5"/>
        <v>372.108</v>
      </c>
      <c r="Q31" s="77">
        <f>(IF(Q$27="%w/w SAR",((Q$28*10)*$B31),IF(Q$27="%w/w DM",(((Q$28*10)*($B$28/100))*$B31),IF(Q$27="kg/t SAR",(Q$28*$B31),IF(Q$27="kg/t DM",((Q$28*($B$28/100))*$B31),IF(Q$27="mg/kg SAR",((Q$28*0.001)*$B31),IF(Q$27="mg/kg DM",(((Q$28*0.001)*($B$28/100))*$B31),0)))))))*2.5</f>
        <v>420.75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2211</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"&amp;(VLOOKUP(C14,Table245[],6,FALSE))</f>
        <v>Medium/Clay I Grass</v>
      </c>
      <c r="C58" s="13" t="e">
        <f>D16&amp;" I "&amp;(VLOOKUP(D14,Table245[],6,FALSE))</f>
        <v>#N/A</v>
      </c>
      <c r="D58" s="13" t="e">
        <f>E16&amp;" I "&amp;(VLOOKUP(E14,Table245[],6,FALSE))</f>
        <v>#N/A</v>
      </c>
      <c r="E58" s="13" t="e">
        <f>F16&amp;" I "&amp;(VLOOKUP(F14,Table245[],6,FALSE))</f>
        <v>#N/A</v>
      </c>
      <c r="F58" s="13" t="e">
        <f>G16&amp;" I "&amp;(VLOOKUP(G14,Table245[],6,FALSE))</f>
        <v>#N/A</v>
      </c>
      <c r="G58" s="13" t="e">
        <f>H16&amp;" I "&amp;(VLOOKUP(H14,Table245[],6,FALSE))</f>
        <v>#N/A</v>
      </c>
      <c r="H58" s="13" t="e">
        <f>I16&amp;" I "&amp;(VLOOKUP(I14,Table245[],6,FALSE))</f>
        <v>#N/A</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111" t="s">
        <v>132</v>
      </c>
      <c r="B59" s="76">
        <f>VLOOKUP(C$14,Table245[],5,FALSE)</f>
        <v>6.2</v>
      </c>
      <c r="C59" s="76" t="e">
        <f>VLOOKUP(D$14,Table245[],5,FALSE)</f>
        <v>#N/A</v>
      </c>
      <c r="D59" s="76" t="e">
        <f>VLOOKUP(E$14,Table245[],5,FALSE)</f>
        <v>#N/A</v>
      </c>
      <c r="E59" s="76" t="e">
        <f>VLOOKUP(F$14,Table245[],5,FALSE)</f>
        <v>#N/A</v>
      </c>
      <c r="F59" s="76" t="e">
        <f>VLOOKUP(G$14,Table245[],5,FALSE)</f>
        <v>#N/A</v>
      </c>
      <c r="G59" s="76" t="e">
        <f>VLOOKUP(H$14,Table245[],5,FALSE)</f>
        <v>#N/A</v>
      </c>
      <c r="H59" s="76" t="e">
        <f>VLOOKUP(I$14,Table245[],5,FALSE)</f>
        <v>#N/A</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
      <c r="A60" s="111" t="s">
        <v>4</v>
      </c>
      <c r="B60" s="76">
        <f>C10</f>
        <v>6</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132</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PAN-021626</v>
      </c>
      <c r="D1" s="141"/>
      <c r="E1" s="93" t="s">
        <v>45</v>
      </c>
      <c r="F1" s="39">
        <f>Secanim!F1</f>
        <v>48.6</v>
      </c>
      <c r="G1" s="123" t="s">
        <v>43</v>
      </c>
      <c r="H1" s="124"/>
      <c r="I1" s="118">
        <v>6.8</v>
      </c>
      <c r="J1" s="127" t="s">
        <v>153</v>
      </c>
      <c r="K1" s="127"/>
      <c r="L1" s="97">
        <v>47</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Secanim!C2:D2</f>
        <v>KP3594VE</v>
      </c>
      <c r="D2" s="143"/>
      <c r="E2" s="93" t="s">
        <v>109</v>
      </c>
      <c r="F2" s="96" t="s">
        <v>170</v>
      </c>
      <c r="G2" s="125" t="s">
        <v>110</v>
      </c>
      <c r="H2" s="126"/>
      <c r="I2" s="118">
        <v>351</v>
      </c>
      <c r="J2" s="127" t="s">
        <v>158</v>
      </c>
      <c r="K2" s="127"/>
      <c r="L2" s="97">
        <v>0.11</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Secanim!C3:D3</f>
        <v>Trade Effluent Services Limited</v>
      </c>
      <c r="D3" s="143"/>
      <c r="E3" s="93" t="s">
        <v>108</v>
      </c>
      <c r="F3" s="31"/>
      <c r="G3" s="127" t="s">
        <v>159</v>
      </c>
      <c r="H3" s="127"/>
      <c r="I3" s="118"/>
      <c r="J3" s="123" t="s">
        <v>154</v>
      </c>
      <c r="K3" s="124"/>
      <c r="L3" s="97">
        <f>(L1/(L2*10000))*100</f>
        <v>4.2727272727272725</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Secanim!C4:D4</f>
        <v>Gwaenynog Bach Farm, Pentrefoelas Road, Bryn Ynys, Denbigh, Y Groes, Denbighshire, LL16 5RP</v>
      </c>
      <c r="D4" s="141"/>
      <c r="E4" s="94" t="s">
        <v>1</v>
      </c>
      <c r="F4" s="96" t="s">
        <v>169</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Secanim!C8</f>
        <v>2211</v>
      </c>
      <c r="D8" s="60">
        <f>Secanim!D8</f>
        <v>0</v>
      </c>
      <c r="E8" s="60">
        <f>Secanim!E8</f>
        <v>0</v>
      </c>
      <c r="F8" s="60">
        <f>Secanim!F8</f>
        <v>0</v>
      </c>
      <c r="G8" s="60">
        <f>Secanim!G8</f>
        <v>0</v>
      </c>
      <c r="H8" s="60">
        <f>Secanim!H8</f>
        <v>0</v>
      </c>
      <c r="I8" s="60">
        <f>Secanim!I8</f>
        <v>0</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Secanim!C9</f>
        <v>Moderate</v>
      </c>
      <c r="D9" s="60">
        <f>Secanim!D9</f>
        <v>0</v>
      </c>
      <c r="E9" s="60">
        <f>Secanim!E9</f>
        <v>0</v>
      </c>
      <c r="F9" s="60">
        <f>Secanim!F9</f>
        <v>0</v>
      </c>
      <c r="G9" s="60">
        <f>Secanim!G9</f>
        <v>0</v>
      </c>
      <c r="H9" s="60">
        <f>Secanim!H9</f>
        <v>0</v>
      </c>
      <c r="I9" s="60">
        <f>Secanim!I9</f>
        <v>0</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Secanim!C10</f>
        <v>6</v>
      </c>
      <c r="D10" s="60">
        <f>Secanim!D10</f>
        <v>0</v>
      </c>
      <c r="E10" s="60">
        <f>Secanim!E10</f>
        <v>0</v>
      </c>
      <c r="F10" s="60">
        <f>Secanim!F10</f>
        <v>0</v>
      </c>
      <c r="G10" s="60">
        <f>Secanim!G10</f>
        <v>0</v>
      </c>
      <c r="H10" s="60">
        <f>Secanim!H10</f>
        <v>0</v>
      </c>
      <c r="I10" s="60">
        <f>Secanim!I10</f>
        <v>0</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Secanim!C11</f>
        <v>3</v>
      </c>
      <c r="D11" s="60">
        <f>Secanim!D11</f>
        <v>0</v>
      </c>
      <c r="E11" s="60">
        <f>Secanim!E11</f>
        <v>0</v>
      </c>
      <c r="F11" s="60">
        <f>Secanim!F11</f>
        <v>0</v>
      </c>
      <c r="G11" s="60">
        <f>Secanim!G11</f>
        <v>0</v>
      </c>
      <c r="H11" s="60">
        <f>Secanim!H11</f>
        <v>0</v>
      </c>
      <c r="I11" s="60">
        <f>Secanim!I11</f>
        <v>0</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t="str">
        <f>Secanim!C12</f>
        <v>2-</v>
      </c>
      <c r="D12" s="60">
        <f>Secanim!D12</f>
        <v>0</v>
      </c>
      <c r="E12" s="60">
        <f>Secanim!E12</f>
        <v>0</v>
      </c>
      <c r="F12" s="60">
        <f>Secanim!F12</f>
        <v>0</v>
      </c>
      <c r="G12" s="60">
        <f>Secanim!G12</f>
        <v>0</v>
      </c>
      <c r="H12" s="60">
        <f>Secanim!H12</f>
        <v>0</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Secanim!C13</f>
        <v>3</v>
      </c>
      <c r="D13" s="60">
        <f>Secanim!D13</f>
        <v>0</v>
      </c>
      <c r="E13" s="60">
        <f>Secanim!E13</f>
        <v>0</v>
      </c>
      <c r="F13" s="60">
        <f>Secanim!F13</f>
        <v>0</v>
      </c>
      <c r="G13" s="60">
        <f>Secanim!G13</f>
        <v>0</v>
      </c>
      <c r="H13" s="60">
        <f>Secanim!H13</f>
        <v>0</v>
      </c>
      <c r="I13" s="60">
        <f>Secanim!I13</f>
        <v>0</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Secanim!C14</f>
        <v xml:space="preserve">Grass Silage (25% DM) </v>
      </c>
      <c r="D14" s="102">
        <f>Secanim!D14</f>
        <v>0</v>
      </c>
      <c r="E14" s="102">
        <f>Secanim!E14</f>
        <v>0</v>
      </c>
      <c r="F14" s="102">
        <f>Secanim!F14</f>
        <v>0</v>
      </c>
      <c r="G14" s="102">
        <f>Secanim!G14</f>
        <v>0</v>
      </c>
      <c r="H14" s="102">
        <f>Secanim!H14</f>
        <v>0</v>
      </c>
      <c r="I14" s="102">
        <f>Secanim!I14</f>
        <v>0</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5" t="s">
        <v>9</v>
      </c>
      <c r="B15" s="135"/>
      <c r="C15" s="60">
        <f>Secanim!C15</f>
        <v>38</v>
      </c>
      <c r="D15" s="60">
        <f>Secanim!D15</f>
        <v>0</v>
      </c>
      <c r="E15" s="60">
        <f>Secanim!E15</f>
        <v>0</v>
      </c>
      <c r="F15" s="60">
        <f>Secanim!F15</f>
        <v>0</v>
      </c>
      <c r="G15" s="60">
        <f>Secanim!G15</f>
        <v>0</v>
      </c>
      <c r="H15" s="60">
        <f>Secanim!H15</f>
        <v>0</v>
      </c>
      <c r="I15" s="60">
        <f>Secanim!I15</f>
        <v>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Secanim!C16</f>
        <v>Medium/Clay</v>
      </c>
      <c r="D16" s="103">
        <f>Secanim!D16</f>
        <v>0</v>
      </c>
      <c r="E16" s="103">
        <f>Secanim!E16</f>
        <v>0</v>
      </c>
      <c r="F16" s="103">
        <f>Secanim!F16</f>
        <v>0</v>
      </c>
      <c r="G16" s="103">
        <f>Secanim!G16</f>
        <v>0</v>
      </c>
      <c r="H16" s="103">
        <f>Secanim!H16</f>
        <v>0</v>
      </c>
      <c r="I16" s="103">
        <f>Secanim!I16</f>
        <v>0</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49.141949999999994</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-15.45805</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t="e">
        <f t="shared" ref="D21:V21" si="2">(VLOOKUP(D$14,$AI2:$AK24,3,FALSE))*D$15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14.615445000000001</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-213.38455500000001</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e">
        <f t="shared" ref="D24:V24" si="4">IF($B31="","",IF(D$23&gt;=0,"INCREASE","DECREASE"))</f>
        <v>#N/A</v>
      </c>
      <c r="E24" s="26" t="e">
        <f t="shared" si="4"/>
        <v>#N/A</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1.51</v>
      </c>
      <c r="C28" s="15">
        <v>0.11</v>
      </c>
      <c r="D28" s="15">
        <v>165</v>
      </c>
      <c r="E28" s="15">
        <v>93.3</v>
      </c>
      <c r="F28" s="15">
        <v>79.900000000000006</v>
      </c>
      <c r="G28" s="15">
        <v>0.68400000000000005</v>
      </c>
      <c r="H28" s="15">
        <v>3.79</v>
      </c>
      <c r="I28" s="15">
        <v>0.5</v>
      </c>
      <c r="J28" s="15">
        <v>0.01</v>
      </c>
      <c r="K28" s="23">
        <v>0.05</v>
      </c>
      <c r="L28" s="15">
        <v>0.2</v>
      </c>
      <c r="M28" s="15">
        <v>0.22600000000000001</v>
      </c>
      <c r="N28" s="15"/>
      <c r="O28" s="15"/>
      <c r="P28" s="15">
        <v>336</v>
      </c>
      <c r="Q28" s="15">
        <v>195</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2211</v>
      </c>
      <c r="B31" s="15">
        <v>130</v>
      </c>
      <c r="C31" s="77">
        <f>IF(C$27="%w/w SAR",((C$28*10)*$B31),IF(C$27="%w/w DM",(((C$28*10)*($B$28/100))*$B31),IF(C$27="kg/t SAR",(C$28*$B31),IF(C$27="kg/t DM",((C$28*($B$28/100))*$B31),IF(C$27="mg/kg SAR",((C$28*0.001)*$B31),IF(C$27="mg/kg DM",(((C$28*0.001)*($B$28/100))*$B31),0))))))</f>
        <v>143</v>
      </c>
      <c r="D31" s="77">
        <f>(IF(D$27="%w/w SAR",((D$28*10)*$B31),IF(D$27="%w/w DM",(((D$28*10)*($B$28/100))*$B31),IF(D$27="kg/t SAR",(D$28*$B31),IF(D$27="kg/t DM",((D$28*($B$28/100))*$B31),IF(D$27="mg/kg SAR",((D$28*0.001)*$B31),IF(D$27="mg/kg DM",(((D$28*0.001)*($B$28/100))*$B31),"0")))))))*2.291</f>
        <v>49.141949999999994</v>
      </c>
      <c r="E31" s="77">
        <f>(IF(E$27="%w/w SAR",((E$28*10)*$B31),IF(E$27="%w/w DM",(((E$28*10)*($B$28/100))*$B31),IF(E$27="kg/t SAR",(E$28*$B31),IF(E$27="kg/t DM",((E$28*($B$28/100))*$B31),IF(E$27="mg/kg SAR",((E$28*0.001)*$B31),IF(E$27="mg/kg DM",(((E$28*0.001)*($B$28/100))*$B31),"0")))))))*1.205</f>
        <v>14.615445000000001</v>
      </c>
      <c r="F31" s="77">
        <f>(IF(F$27="%w/w SAR",((F$28*10)*$B31),IF(F$27="%w/w DM",(((F$28*10)*($B$28/100))*$B31),IF(F$27="kg/t SAR",(F$28*$B31),IF(F$27="kg/t DM",((F$28*($B$28/100))*$B31),IF(F$27="mg/kg SAR",((F$28*0.001)*$B31),IF(F$27="mg/kg DM",(((F$28*0.001)*($B$28/100))*$B31),"0")))))))*1.658</f>
        <v>17.221646000000003</v>
      </c>
      <c r="G31" s="77">
        <f t="shared" ref="G31:P46" si="5">IF(G$27="%w/w SAR",((G$28*10)*$B31),IF(G$27="%w/w DM",(((G$28*10)*($B$28/100))*$B31),IF(G$27="kg/t SAR",(G$28*$B31),IF(G$27="kg/t DM",((G$28*($B$28/100))*$B31),IF(G$27="mg/kg SAR",((G$28*0.001)*$B31),IF(G$27="mg/kg DM",(((G$28*0.001)*($B$28/100))*$B31),0))))))</f>
        <v>8.8919999999999999E-2</v>
      </c>
      <c r="H31" s="77">
        <f t="shared" si="5"/>
        <v>0.49269999999999997</v>
      </c>
      <c r="I31" s="77">
        <f t="shared" si="5"/>
        <v>6.5000000000000002E-2</v>
      </c>
      <c r="J31" s="77">
        <f t="shared" si="5"/>
        <v>1.3000000000000002E-3</v>
      </c>
      <c r="K31" s="77">
        <f t="shared" si="5"/>
        <v>6.5000000000000006E-3</v>
      </c>
      <c r="L31" s="77">
        <f t="shared" si="5"/>
        <v>2.6000000000000002E-2</v>
      </c>
      <c r="M31" s="77">
        <f t="shared" si="5"/>
        <v>2.9380000000000003E-2</v>
      </c>
      <c r="N31" s="77">
        <f t="shared" si="5"/>
        <v>0</v>
      </c>
      <c r="O31" s="77">
        <f t="shared" si="5"/>
        <v>0</v>
      </c>
      <c r="P31" s="77">
        <f t="shared" si="5"/>
        <v>43.68</v>
      </c>
      <c r="Q31" s="77">
        <f>(IF(Q$27="%w/w SAR",((Q$28*10)*$B31),IF(Q$27="%w/w DM",(((Q$28*10)*($B$28/100))*$B31),IF(Q$27="kg/t SAR",(Q$28*$B31),IF(Q$27="kg/t DM",((Q$28*($B$28/100))*$B31),IF(Q$27="mg/kg SAR",((Q$28*0.001)*$B31),IF(Q$27="mg/kg DM",(((Q$28*0.001)*($B$28/100))*$B31),0)))))))*2.5</f>
        <v>63.375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2211</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"&amp;(VLOOKUP(C14,Table245811[],6,FALSE))</f>
        <v>Medium/Clay I Grass</v>
      </c>
      <c r="C58" s="13" t="e">
        <f>D16&amp;" I "&amp;(VLOOKUP(D14,Table245811[],6,FALSE))</f>
        <v>#N/A</v>
      </c>
      <c r="D58" s="13" t="e">
        <f>E16&amp;" I "&amp;(VLOOKUP(E14,Table245811[],6,FALSE))</f>
        <v>#N/A</v>
      </c>
      <c r="E58" s="13" t="e">
        <f>F16&amp;" I "&amp;(VLOOKUP(F14,Table245811[],6,FALSE))</f>
        <v>#N/A</v>
      </c>
      <c r="F58" s="13" t="e">
        <f>G16&amp;" I "&amp;(VLOOKUP(G14,Table245811[],6,FALSE))</f>
        <v>#N/A</v>
      </c>
      <c r="G58" s="13" t="e">
        <f>H16&amp;" I "&amp;(VLOOKUP(H14,Table245811[],6,FALSE))</f>
        <v>#N/A</v>
      </c>
      <c r="H58" s="13" t="e">
        <f>I16&amp;" I "&amp;(VLOOKUP(I14,Table245811[],6,FALSE))</f>
        <v>#N/A</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111" t="s">
        <v>132</v>
      </c>
      <c r="B59" s="76">
        <f>VLOOKUP(C$14,Table245811[],5,FALSE)</f>
        <v>6.2</v>
      </c>
      <c r="C59" s="76" t="e">
        <f>VLOOKUP(D$14,Table245811[],5,FALSE)</f>
        <v>#N/A</v>
      </c>
      <c r="D59" s="76" t="e">
        <f>VLOOKUP(E$14,Table245811[],5,FALSE)</f>
        <v>#N/A</v>
      </c>
      <c r="E59" s="76" t="e">
        <f>VLOOKUP(F$14,Table245811[],5,FALSE)</f>
        <v>#N/A</v>
      </c>
      <c r="F59" s="76" t="e">
        <f>VLOOKUP(G$14,Table245811[],5,FALSE)</f>
        <v>#N/A</v>
      </c>
      <c r="G59" s="76" t="e">
        <f>VLOOKUP(H$14,Table245811[],5,FALSE)</f>
        <v>#N/A</v>
      </c>
      <c r="H59" s="76" t="e">
        <f>VLOOKUP(I$14,Table245811[],5,FALSE)</f>
        <v>#N/A</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
      <c r="A60" s="111" t="s">
        <v>4</v>
      </c>
      <c r="B60" s="76">
        <f>C10</f>
        <v>6</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130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PAN-021626</v>
      </c>
      <c r="D1" s="141"/>
      <c r="E1" s="93" t="s">
        <v>45</v>
      </c>
      <c r="F1" s="39">
        <f>Secanim!F1</f>
        <v>48.6</v>
      </c>
      <c r="G1" s="123" t="s">
        <v>43</v>
      </c>
      <c r="H1" s="124"/>
      <c r="I1" s="118">
        <v>7.06</v>
      </c>
      <c r="J1" s="127" t="s">
        <v>153</v>
      </c>
      <c r="K1" s="127"/>
      <c r="L1" s="97">
        <v>1008</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Secanim!C2:D2</f>
        <v>KP3594VE</v>
      </c>
      <c r="D2" s="143"/>
      <c r="E2" s="93" t="s">
        <v>109</v>
      </c>
      <c r="F2" s="96" t="s">
        <v>166</v>
      </c>
      <c r="G2" s="125" t="s">
        <v>110</v>
      </c>
      <c r="H2" s="126"/>
      <c r="I2" s="118">
        <v>1902</v>
      </c>
      <c r="J2" s="127" t="s">
        <v>158</v>
      </c>
      <c r="K2" s="127"/>
      <c r="L2" s="97">
        <v>0.34</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Secanim!C3:D3</f>
        <v>Trade Effluent Services Limited</v>
      </c>
      <c r="D3" s="143"/>
      <c r="E3" s="93" t="s">
        <v>108</v>
      </c>
      <c r="F3" s="31"/>
      <c r="G3" s="127" t="s">
        <v>159</v>
      </c>
      <c r="H3" s="127"/>
      <c r="I3" s="118">
        <v>580</v>
      </c>
      <c r="J3" s="123" t="s">
        <v>154</v>
      </c>
      <c r="K3" s="124"/>
      <c r="L3" s="97">
        <f>(L1/(L2*10000))*100</f>
        <v>29.647058823529409</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Secanim!C4:D4</f>
        <v>Gwaenynog Bach Farm, Pentrefoelas Road, Bryn Ynys, Denbigh, Y Groes, Denbighshire, LL16 5RP</v>
      </c>
      <c r="D4" s="141"/>
      <c r="E4" s="94" t="s">
        <v>1</v>
      </c>
      <c r="F4" s="96" t="s">
        <v>171</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Secanim!C8</f>
        <v>2211</v>
      </c>
      <c r="D8" s="60">
        <f>Secanim!D8</f>
        <v>0</v>
      </c>
      <c r="E8" s="60">
        <f>Secanim!E8</f>
        <v>0</v>
      </c>
      <c r="F8" s="60">
        <f>Secanim!F8</f>
        <v>0</v>
      </c>
      <c r="G8" s="60">
        <f>Secanim!G8</f>
        <v>0</v>
      </c>
      <c r="H8" s="60">
        <f>Secanim!H8</f>
        <v>0</v>
      </c>
      <c r="I8" s="60">
        <f>Secanim!I8</f>
        <v>0</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Secanim!C9</f>
        <v>Moderate</v>
      </c>
      <c r="D9" s="60">
        <f>Secanim!D9</f>
        <v>0</v>
      </c>
      <c r="E9" s="60">
        <f>Secanim!E9</f>
        <v>0</v>
      </c>
      <c r="F9" s="60">
        <f>Secanim!F9</f>
        <v>0</v>
      </c>
      <c r="G9" s="60">
        <f>Secanim!G9</f>
        <v>0</v>
      </c>
      <c r="H9" s="60">
        <f>Secanim!H9</f>
        <v>0</v>
      </c>
      <c r="I9" s="60">
        <f>Secanim!I9</f>
        <v>0</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Secanim!C10</f>
        <v>6</v>
      </c>
      <c r="D10" s="60">
        <f>Secanim!D10</f>
        <v>0</v>
      </c>
      <c r="E10" s="60">
        <f>Secanim!E10</f>
        <v>0</v>
      </c>
      <c r="F10" s="60">
        <f>Secanim!F10</f>
        <v>0</v>
      </c>
      <c r="G10" s="60">
        <f>Secanim!G10</f>
        <v>0</v>
      </c>
      <c r="H10" s="60">
        <f>Secanim!H10</f>
        <v>0</v>
      </c>
      <c r="I10" s="60">
        <f>Secanim!I10</f>
        <v>0</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Secanim!C11</f>
        <v>3</v>
      </c>
      <c r="D11" s="60">
        <f>Secanim!D11</f>
        <v>0</v>
      </c>
      <c r="E11" s="60">
        <f>Secanim!E11</f>
        <v>0</v>
      </c>
      <c r="F11" s="60">
        <f>Secanim!F11</f>
        <v>0</v>
      </c>
      <c r="G11" s="60">
        <f>Secanim!G11</f>
        <v>0</v>
      </c>
      <c r="H11" s="60">
        <f>Secanim!H11</f>
        <v>0</v>
      </c>
      <c r="I11" s="60">
        <f>Secanim!I11</f>
        <v>0</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t="str">
        <f>Secanim!C12</f>
        <v>2-</v>
      </c>
      <c r="D12" s="60">
        <f>Secanim!D12</f>
        <v>0</v>
      </c>
      <c r="E12" s="60">
        <f>Secanim!E12</f>
        <v>0</v>
      </c>
      <c r="F12" s="60">
        <f>Secanim!F12</f>
        <v>0</v>
      </c>
      <c r="G12" s="60">
        <f>Secanim!G12</f>
        <v>0</v>
      </c>
      <c r="H12" s="60">
        <f>Secanim!H12</f>
        <v>0</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Secanim!C13</f>
        <v>3</v>
      </c>
      <c r="D13" s="60">
        <f>Secanim!D13</f>
        <v>0</v>
      </c>
      <c r="E13" s="60">
        <f>Secanim!E13</f>
        <v>0</v>
      </c>
      <c r="F13" s="60">
        <f>Secanim!F13</f>
        <v>0</v>
      </c>
      <c r="G13" s="60">
        <f>Secanim!G13</f>
        <v>0</v>
      </c>
      <c r="H13" s="60">
        <f>Secanim!H13</f>
        <v>0</v>
      </c>
      <c r="I13" s="60">
        <f>Secanim!I13</f>
        <v>0</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Secanim!C14</f>
        <v xml:space="preserve">Grass Silage (25% DM) </v>
      </c>
      <c r="D14" s="102">
        <f>Secanim!D14</f>
        <v>0</v>
      </c>
      <c r="E14" s="102">
        <f>Secanim!E14</f>
        <v>0</v>
      </c>
      <c r="F14" s="102">
        <f>Secanim!F14</f>
        <v>0</v>
      </c>
      <c r="G14" s="102">
        <f>Secanim!G14</f>
        <v>0</v>
      </c>
      <c r="H14" s="102">
        <f>Secanim!H14</f>
        <v>0</v>
      </c>
      <c r="I14" s="102">
        <f>Secanim!I14</f>
        <v>0</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5" t="s">
        <v>9</v>
      </c>
      <c r="B15" s="135"/>
      <c r="C15" s="60">
        <f>Secanim!C15</f>
        <v>38</v>
      </c>
      <c r="D15" s="60">
        <f>Secanim!D15</f>
        <v>0</v>
      </c>
      <c r="E15" s="60">
        <f>Secanim!E15</f>
        <v>0</v>
      </c>
      <c r="F15" s="60">
        <f>Secanim!F15</f>
        <v>0</v>
      </c>
      <c r="G15" s="60">
        <f>Secanim!G15</f>
        <v>0</v>
      </c>
      <c r="H15" s="60">
        <f>Secanim!H15</f>
        <v>0</v>
      </c>
      <c r="I15" s="60">
        <f>Secanim!I15</f>
        <v>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Secanim!C16</f>
        <v>Medium/Clay</v>
      </c>
      <c r="D16" s="103">
        <f>Secanim!D16</f>
        <v>0</v>
      </c>
      <c r="E16" s="103">
        <f>Secanim!E16</f>
        <v>0</v>
      </c>
      <c r="F16" s="103">
        <f>Secanim!F16</f>
        <v>0</v>
      </c>
      <c r="G16" s="103">
        <f>Secanim!G16</f>
        <v>0</v>
      </c>
      <c r="H16" s="103">
        <f>Secanim!H16</f>
        <v>0</v>
      </c>
      <c r="I16" s="103">
        <f>Secanim!I16</f>
        <v>0</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63.705836999999995</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-0.89416299999999893</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t="e">
        <f t="shared" ref="D21:V21" si="2">(VLOOKUP(D$14,$AI2:$AK26,3,FALSE))*D$15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8.0361450000000012</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-219.963855</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e">
        <f t="shared" ref="D24:V24" si="4">IF($B31="","",IF(D$23&gt;=0,"INCREASE","DECREASE"))</f>
        <v>#N/A</v>
      </c>
      <c r="E24" s="26" t="e">
        <f t="shared" si="4"/>
        <v>#N/A</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5.19</v>
      </c>
      <c r="C28" s="15">
        <v>0.34</v>
      </c>
      <c r="D28" s="15">
        <v>713</v>
      </c>
      <c r="E28" s="15">
        <v>171</v>
      </c>
      <c r="F28" s="15">
        <v>172</v>
      </c>
      <c r="G28" s="15">
        <v>3.31</v>
      </c>
      <c r="H28" s="15">
        <v>18.399999999999999</v>
      </c>
      <c r="I28" s="15">
        <v>0.5</v>
      </c>
      <c r="J28" s="15">
        <v>0.01</v>
      </c>
      <c r="K28" s="23">
        <v>0.05</v>
      </c>
      <c r="L28" s="15">
        <v>1.37</v>
      </c>
      <c r="M28" s="15">
        <v>0.9</v>
      </c>
      <c r="N28" s="15"/>
      <c r="O28" s="15"/>
      <c r="P28" s="15">
        <v>856</v>
      </c>
      <c r="Q28" s="15">
        <v>527</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2211</v>
      </c>
      <c r="B31" s="15">
        <v>39</v>
      </c>
      <c r="C31" s="77">
        <f>IF(C$27="%w/w SAR",((C$28*10)*$B31),IF(C$27="%w/w DM",(((C$28*10)*($B$28/100))*$B31),IF(C$27="kg/t SAR",(C$28*$B31),IF(C$27="kg/t DM",((C$28*($B$28/100))*$B31),IF(C$27="mg/kg SAR",((C$28*0.001)*$B31),IF(C$27="mg/kg DM",(((C$28*0.001)*($B$28/100))*$B31),0))))))</f>
        <v>132.60000000000002</v>
      </c>
      <c r="D31" s="77">
        <f>(IF(D$27="%w/w SAR",((D$28*10)*$B31),IF(D$27="%w/w DM",(((D$28*10)*($B$28/100))*$B31),IF(D$27="kg/t SAR",(D$28*$B31),IF(D$27="kg/t DM",((D$28*($B$28/100))*$B31),IF(D$27="mg/kg SAR",((D$28*0.001)*$B31),IF(D$27="mg/kg DM",(((D$28*0.001)*($B$28/100))*$B31),"0")))))))*2.291</f>
        <v>63.705836999999995</v>
      </c>
      <c r="E31" s="77">
        <f>(IF(E$27="%w/w SAR",((E$28*10)*$B31),IF(E$27="%w/w DM",(((E$28*10)*($B$28/100))*$B31),IF(E$27="kg/t SAR",(E$28*$B31),IF(E$27="kg/t DM",((E$28*($B$28/100))*$B31),IF(E$27="mg/kg SAR",((E$28*0.001)*$B31),IF(E$27="mg/kg DM",(((E$28*0.001)*($B$28/100))*$B31),"0")))))))*1.205</f>
        <v>8.0361450000000012</v>
      </c>
      <c r="F31" s="77">
        <f>(IF(F$27="%w/w SAR",((F$28*10)*$B31),IF(F$27="%w/w DM",(((F$28*10)*($B$28/100))*$B31),IF(F$27="kg/t SAR",(F$28*$B31),IF(F$27="kg/t DM",((F$28*($B$28/100))*$B31),IF(F$27="mg/kg SAR",((F$28*0.001)*$B31),IF(F$27="mg/kg DM",(((F$28*0.001)*($B$28/100))*$B31),"0")))))))*1.658</f>
        <v>11.121864</v>
      </c>
      <c r="G31" s="77">
        <f t="shared" ref="G31:P46" si="5">IF(G$27="%w/w SAR",((G$28*10)*$B31),IF(G$27="%w/w DM",(((G$28*10)*($B$28/100))*$B31),IF(G$27="kg/t SAR",(G$28*$B31),IF(G$27="kg/t DM",((G$28*($B$28/100))*$B31),IF(G$27="mg/kg SAR",((G$28*0.001)*$B31),IF(G$27="mg/kg DM",(((G$28*0.001)*($B$28/100))*$B31),0))))))</f>
        <v>0.12909000000000001</v>
      </c>
      <c r="H31" s="77">
        <f t="shared" si="5"/>
        <v>0.71760000000000002</v>
      </c>
      <c r="I31" s="77">
        <f t="shared" si="5"/>
        <v>1.95E-2</v>
      </c>
      <c r="J31" s="77">
        <f t="shared" si="5"/>
        <v>3.9000000000000005E-4</v>
      </c>
      <c r="K31" s="77">
        <f t="shared" si="5"/>
        <v>1.9500000000000001E-3</v>
      </c>
      <c r="L31" s="77">
        <f t="shared" si="5"/>
        <v>5.3430000000000005E-2</v>
      </c>
      <c r="M31" s="77">
        <f t="shared" si="5"/>
        <v>3.5100000000000006E-2</v>
      </c>
      <c r="N31" s="77">
        <f t="shared" si="5"/>
        <v>0</v>
      </c>
      <c r="O31" s="77">
        <f t="shared" si="5"/>
        <v>0</v>
      </c>
      <c r="P31" s="77">
        <f t="shared" si="5"/>
        <v>33.384</v>
      </c>
      <c r="Q31" s="77">
        <f>(IF(Q$27="%w/w SAR",((Q$28*10)*$B31),IF(Q$27="%w/w DM",(((Q$28*10)*($B$28/100))*$B31),IF(Q$27="kg/t SAR",(Q$28*$B31),IF(Q$27="kg/t DM",((Q$28*($B$28/100))*$B31),IF(Q$27="mg/kg SAR",((Q$28*0.001)*$B31),IF(Q$27="mg/kg DM",(((Q$28*0.001)*($B$28/100))*$B31),0)))))))*2.5</f>
        <v>51.3825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2211</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"&amp;(VLOOKUP(C14,Table24581112[],6,FALSE))</f>
        <v>Medium/Clay I Grass</v>
      </c>
      <c r="C58" s="13" t="e">
        <f>D16&amp;" I "&amp;(VLOOKUP(D14,Table24581112[],6,FALSE))</f>
        <v>#N/A</v>
      </c>
      <c r="D58" s="13" t="e">
        <f>E16&amp;" I "&amp;(VLOOKUP(E14,Table24581112[],6,FALSE))</f>
        <v>#N/A</v>
      </c>
      <c r="E58" s="13" t="e">
        <f>F16&amp;" I "&amp;(VLOOKUP(F14,Table24581112[],6,FALSE))</f>
        <v>#N/A</v>
      </c>
      <c r="F58" s="13" t="e">
        <f>G16&amp;" I "&amp;(VLOOKUP(G14,Table24581112[],6,FALSE))</f>
        <v>#N/A</v>
      </c>
      <c r="G58" s="13" t="e">
        <f>H16&amp;" I "&amp;(VLOOKUP(H14,Table24581112[],6,FALSE))</f>
        <v>#N/A</v>
      </c>
      <c r="H58" s="13" t="e">
        <f>I16&amp;" I "&amp;(VLOOKUP(I14,Table24581112[],6,FALSE))</f>
        <v>#N/A</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111" t="s">
        <v>132</v>
      </c>
      <c r="B59" s="76">
        <f>VLOOKUP(C$14,Table24581112[],5,FALSE)</f>
        <v>6.2</v>
      </c>
      <c r="C59" s="76" t="e">
        <f>VLOOKUP(D$14,Table24581112[],5,FALSE)</f>
        <v>#N/A</v>
      </c>
      <c r="D59" s="76" t="e">
        <f>VLOOKUP(E$14,Table24581112[],5,FALSE)</f>
        <v>#N/A</v>
      </c>
      <c r="E59" s="76" t="e">
        <f>VLOOKUP(F$14,Table24581112[],5,FALSE)</f>
        <v>#N/A</v>
      </c>
      <c r="F59" s="76" t="e">
        <f>VLOOKUP(G$14,Table24581112[],5,FALSE)</f>
        <v>#N/A</v>
      </c>
      <c r="G59" s="76" t="e">
        <f>VLOOKUP(H$14,Table24581112[],5,FALSE)</f>
        <v>#N/A</v>
      </c>
      <c r="H59" s="76" t="e">
        <f>VLOOKUP(I$14,Table24581112[],5,FALSE)</f>
        <v>#N/A</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
      <c r="A60" s="111" t="s">
        <v>4</v>
      </c>
      <c r="B60" s="76">
        <f>C10</f>
        <v>6</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39</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27" t="s">
        <v>41</v>
      </c>
      <c r="B1" s="127"/>
      <c r="C1" s="140" t="str">
        <f>Secanim!C1:D1</f>
        <v>PAN-021626</v>
      </c>
      <c r="D1" s="141"/>
      <c r="E1" s="93" t="s">
        <v>45</v>
      </c>
      <c r="F1" s="39">
        <f>Secanim!F1</f>
        <v>48.6</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Secanim!C2:D2</f>
        <v>KP3594VE</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Secanim!C3:D3</f>
        <v>Trade Effluent Services Limited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Secanim!C4:D4</f>
        <v>Gwaenynog Bach Farm, Pentrefoelas Road, Bryn Ynys, Denbigh, Y Groes, Denbighshire, LL16 5RP</v>
      </c>
      <c r="D4" s="141"/>
      <c r="E4" s="94" t="s">
        <v>1</v>
      </c>
      <c r="F4" s="96" t="s">
        <v>172</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Secanim!C8</f>
        <v>2211</v>
      </c>
      <c r="D8" s="60">
        <f>Secanim!D8</f>
        <v>0</v>
      </c>
      <c r="E8" s="60">
        <f>Secanim!E8</f>
        <v>0</v>
      </c>
      <c r="F8" s="60">
        <f>Secanim!F8</f>
        <v>0</v>
      </c>
      <c r="G8" s="60">
        <f>Secanim!G8</f>
        <v>0</v>
      </c>
      <c r="H8" s="60">
        <f>Secanim!H8</f>
        <v>0</v>
      </c>
      <c r="I8" s="60">
        <f>Secanim!I8</f>
        <v>0</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Secanim!C9</f>
        <v>Moderate</v>
      </c>
      <c r="D9" s="60">
        <f>Secanim!D9</f>
        <v>0</v>
      </c>
      <c r="E9" s="60">
        <f>Secanim!E9</f>
        <v>0</v>
      </c>
      <c r="F9" s="60">
        <f>Secanim!F9</f>
        <v>0</v>
      </c>
      <c r="G9" s="60">
        <f>Secanim!G9</f>
        <v>0</v>
      </c>
      <c r="H9" s="60">
        <f>Secanim!H9</f>
        <v>0</v>
      </c>
      <c r="I9" s="60">
        <f>Secanim!I9</f>
        <v>0</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Secanim!C10</f>
        <v>6</v>
      </c>
      <c r="D10" s="60">
        <f>Secanim!D10</f>
        <v>0</v>
      </c>
      <c r="E10" s="60">
        <f>Secanim!E10</f>
        <v>0</v>
      </c>
      <c r="F10" s="60">
        <f>Secanim!F10</f>
        <v>0</v>
      </c>
      <c r="G10" s="60">
        <f>Secanim!G10</f>
        <v>0</v>
      </c>
      <c r="H10" s="60">
        <f>Secanim!H10</f>
        <v>0</v>
      </c>
      <c r="I10" s="60">
        <f>Secanim!I10</f>
        <v>0</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Secanim!C11</f>
        <v>3</v>
      </c>
      <c r="D11" s="60">
        <f>Secanim!D11</f>
        <v>0</v>
      </c>
      <c r="E11" s="60">
        <f>Secanim!E11</f>
        <v>0</v>
      </c>
      <c r="F11" s="60">
        <f>Secanim!F11</f>
        <v>0</v>
      </c>
      <c r="G11" s="60">
        <f>Secanim!G11</f>
        <v>0</v>
      </c>
      <c r="H11" s="60">
        <f>Secanim!H11</f>
        <v>0</v>
      </c>
      <c r="I11" s="60">
        <f>Secanim!I11</f>
        <v>0</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t="str">
        <f>Secanim!C12</f>
        <v>2-</v>
      </c>
      <c r="D12" s="60">
        <f>Secanim!D12</f>
        <v>0</v>
      </c>
      <c r="E12" s="60">
        <f>Secanim!E12</f>
        <v>0</v>
      </c>
      <c r="F12" s="60">
        <f>Secanim!F12</f>
        <v>0</v>
      </c>
      <c r="G12" s="60">
        <f>Secanim!G12</f>
        <v>0</v>
      </c>
      <c r="H12" s="60">
        <f>Secanim!H12</f>
        <v>0</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Secanim!C13</f>
        <v>3</v>
      </c>
      <c r="D13" s="60">
        <f>Secanim!D13</f>
        <v>0</v>
      </c>
      <c r="E13" s="60">
        <f>Secanim!E13</f>
        <v>0</v>
      </c>
      <c r="F13" s="60">
        <f>Secanim!F13</f>
        <v>0</v>
      </c>
      <c r="G13" s="60">
        <f>Secanim!G13</f>
        <v>0</v>
      </c>
      <c r="H13" s="60">
        <f>Secanim!H13</f>
        <v>0</v>
      </c>
      <c r="I13" s="60">
        <f>Secanim!I13</f>
        <v>0</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Secanim!C14</f>
        <v xml:space="preserve">Grass Silage (25% DM) </v>
      </c>
      <c r="D14" s="102">
        <f>Secanim!D14</f>
        <v>0</v>
      </c>
      <c r="E14" s="102">
        <f>Secanim!E14</f>
        <v>0</v>
      </c>
      <c r="F14" s="102">
        <f>Secanim!F14</f>
        <v>0</v>
      </c>
      <c r="G14" s="102">
        <f>Secanim!G14</f>
        <v>0</v>
      </c>
      <c r="H14" s="102">
        <f>Secanim!H14</f>
        <v>0</v>
      </c>
      <c r="I14" s="102">
        <f>Secanim!I14</f>
        <v>0</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5" t="s">
        <v>9</v>
      </c>
      <c r="B15" s="135"/>
      <c r="C15" s="60">
        <f>Secanim!C15</f>
        <v>38</v>
      </c>
      <c r="D15" s="60">
        <f>Secanim!D15</f>
        <v>0</v>
      </c>
      <c r="E15" s="60">
        <f>Secanim!E15</f>
        <v>0</v>
      </c>
      <c r="F15" s="60">
        <f>Secanim!F15</f>
        <v>0</v>
      </c>
      <c r="G15" s="60">
        <f>Secanim!G15</f>
        <v>0</v>
      </c>
      <c r="H15" s="60">
        <f>Secanim!H15</f>
        <v>0</v>
      </c>
      <c r="I15" s="60">
        <f>Secanim!I15</f>
        <v>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Secanim!C16</f>
        <v>Medium/Clay</v>
      </c>
      <c r="D16" s="103">
        <f>Secanim!D16</f>
        <v>0</v>
      </c>
      <c r="E16" s="103">
        <f>Secanim!E16</f>
        <v>0</v>
      </c>
      <c r="F16" s="103">
        <f>Secanim!F16</f>
        <v>0</v>
      </c>
      <c r="G16" s="103">
        <f>Secanim!G16</f>
        <v>0</v>
      </c>
      <c r="H16" s="103">
        <f>Secanim!H16</f>
        <v>0</v>
      </c>
      <c r="I16" s="103">
        <f>Secanim!I16</f>
        <v>0</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-64.599999999999994</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t="e">
        <f t="shared" ref="D21:V21" si="2">(VLOOKUP(D$14,$AI2:$AK26,3,FALSE))*D$15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-228</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2211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2211</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"&amp;(VLOOKUP(C14,Table24581114[],6,FALSE))</f>
        <v>Medium/Clay I Grass</v>
      </c>
      <c r="C58" s="13" t="e">
        <f>D16&amp;" I "&amp;(VLOOKUP(D14,Table24581114[],6,FALSE))</f>
        <v>#N/A</v>
      </c>
      <c r="D58" s="13" t="e">
        <f>E16&amp;" I "&amp;(VLOOKUP(E14,Table24581114[],6,FALSE))</f>
        <v>#N/A</v>
      </c>
      <c r="E58" s="13" t="e">
        <f>F16&amp;" I "&amp;(VLOOKUP(F14,Table24581114[],6,FALSE))</f>
        <v>#N/A</v>
      </c>
      <c r="F58" s="13" t="e">
        <f>G16&amp;" I "&amp;(VLOOKUP(G14,Table24581114[],6,FALSE))</f>
        <v>#N/A</v>
      </c>
      <c r="G58" s="13" t="e">
        <f>H16&amp;" I "&amp;(VLOOKUP(H14,Table24581114[],6,FALSE))</f>
        <v>#N/A</v>
      </c>
      <c r="H58" s="13" t="e">
        <f>I16&amp;" I "&amp;(VLOOKUP(I14,Table24581114[],6,FALSE))</f>
        <v>#N/A</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
      <c r="A59" s="111" t="s">
        <v>132</v>
      </c>
      <c r="B59" s="76">
        <f>VLOOKUP(C$14,Table24581114[],5,FALSE)</f>
        <v>6.2</v>
      </c>
      <c r="C59" s="76" t="e">
        <f>VLOOKUP(D$14,Table24581114[],5,FALSE)</f>
        <v>#N/A</v>
      </c>
      <c r="D59" s="76" t="e">
        <f>VLOOKUP(E$14,Table24581114[],5,FALSE)</f>
        <v>#N/A</v>
      </c>
      <c r="E59" s="76" t="e">
        <f>VLOOKUP(F$14,Table24581114[],5,FALSE)</f>
        <v>#N/A</v>
      </c>
      <c r="F59" s="76" t="e">
        <f>VLOOKUP(G$14,Table24581114[],5,FALSE)</f>
        <v>#N/A</v>
      </c>
      <c r="G59" s="76" t="e">
        <f>VLOOKUP(H$14,Table24581114[],5,FALSE)</f>
        <v>#N/A</v>
      </c>
      <c r="H59" s="76" t="e">
        <f>VLOOKUP(I$14,Table24581114[],5,FALSE)</f>
        <v>#N/A</v>
      </c>
      <c r="I59" s="76" t="e">
        <f>VLOOKUP(J$14,Table24581114[],5,FALSE)</f>
        <v>#N/A</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
      <c r="A60" s="111" t="s">
        <v>4</v>
      </c>
      <c r="B60" s="76">
        <f>C10</f>
        <v>6</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PAN-021626</v>
      </c>
      <c r="D1" s="141"/>
      <c r="E1" s="93" t="s">
        <v>45</v>
      </c>
      <c r="F1" s="39">
        <f>Secanim!F1</f>
        <v>48.6</v>
      </c>
      <c r="G1" s="123" t="s">
        <v>43</v>
      </c>
      <c r="H1" s="124"/>
      <c r="I1" s="118">
        <v>3.93</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Secanim!C2:D2</f>
        <v>KP3594VE</v>
      </c>
      <c r="D2" s="143"/>
      <c r="E2" s="93" t="s">
        <v>109</v>
      </c>
      <c r="F2" s="96" t="s">
        <v>174</v>
      </c>
      <c r="G2" s="125" t="s">
        <v>110</v>
      </c>
      <c r="H2" s="126"/>
      <c r="I2" s="118">
        <v>297</v>
      </c>
      <c r="J2" s="127" t="s">
        <v>158</v>
      </c>
      <c r="K2" s="127"/>
      <c r="L2" s="97">
        <v>0.02</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Secanim!C3:D3</f>
        <v>Trade Effluent Services Limited</v>
      </c>
      <c r="D3" s="143"/>
      <c r="E3" s="93" t="s">
        <v>108</v>
      </c>
      <c r="F3" s="31"/>
      <c r="G3" s="127" t="s">
        <v>159</v>
      </c>
      <c r="H3" s="127"/>
      <c r="I3" s="118"/>
      <c r="J3" s="123" t="s">
        <v>154</v>
      </c>
      <c r="K3" s="124"/>
      <c r="L3" s="97">
        <f>(L1/(L2*10000))*100</f>
        <v>12.5</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Secanim!C4:D4</f>
        <v>Gwaenynog Bach Farm, Pentrefoelas Road, Bryn Ynys, Denbigh, Y Groes, Denbighshire, LL16 5RP</v>
      </c>
      <c r="D4" s="141"/>
      <c r="E4" s="94" t="s">
        <v>1</v>
      </c>
      <c r="F4" s="96" t="s">
        <v>173</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Secanim!C8</f>
        <v>2211</v>
      </c>
      <c r="D8" s="60">
        <f>Secanim!D8</f>
        <v>0</v>
      </c>
      <c r="E8" s="60">
        <f>Secanim!E8</f>
        <v>0</v>
      </c>
      <c r="F8" s="60">
        <f>Secanim!F8</f>
        <v>0</v>
      </c>
      <c r="G8" s="60">
        <f>Secanim!G8</f>
        <v>0</v>
      </c>
      <c r="H8" s="60">
        <f>Secanim!H8</f>
        <v>0</v>
      </c>
      <c r="I8" s="60">
        <f>Secanim!I8</f>
        <v>0</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Secanim!C9</f>
        <v>Moderate</v>
      </c>
      <c r="D9" s="60">
        <f>Secanim!D9</f>
        <v>0</v>
      </c>
      <c r="E9" s="60">
        <f>Secanim!E9</f>
        <v>0</v>
      </c>
      <c r="F9" s="60">
        <f>Secanim!F9</f>
        <v>0</v>
      </c>
      <c r="G9" s="60">
        <f>Secanim!G9</f>
        <v>0</v>
      </c>
      <c r="H9" s="60">
        <f>Secanim!H9</f>
        <v>0</v>
      </c>
      <c r="I9" s="60">
        <f>Secanim!I9</f>
        <v>0</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Secanim!C10</f>
        <v>6</v>
      </c>
      <c r="D10" s="60">
        <f>Secanim!D10</f>
        <v>0</v>
      </c>
      <c r="E10" s="60">
        <f>Secanim!E10</f>
        <v>0</v>
      </c>
      <c r="F10" s="60">
        <f>Secanim!F10</f>
        <v>0</v>
      </c>
      <c r="G10" s="60">
        <f>Secanim!G10</f>
        <v>0</v>
      </c>
      <c r="H10" s="60">
        <f>Secanim!H10</f>
        <v>0</v>
      </c>
      <c r="I10" s="60">
        <f>Secanim!I10</f>
        <v>0</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Secanim!C11</f>
        <v>3</v>
      </c>
      <c r="D11" s="60">
        <f>Secanim!D11</f>
        <v>0</v>
      </c>
      <c r="E11" s="60">
        <f>Secanim!E11</f>
        <v>0</v>
      </c>
      <c r="F11" s="60">
        <f>Secanim!F11</f>
        <v>0</v>
      </c>
      <c r="G11" s="60">
        <f>Secanim!G11</f>
        <v>0</v>
      </c>
      <c r="H11" s="60">
        <f>Secanim!H11</f>
        <v>0</v>
      </c>
      <c r="I11" s="60">
        <f>Secanim!I11</f>
        <v>0</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t="str">
        <f>Secanim!C12</f>
        <v>2-</v>
      </c>
      <c r="D12" s="60">
        <f>Secanim!D12</f>
        <v>0</v>
      </c>
      <c r="E12" s="60">
        <f>Secanim!E12</f>
        <v>0</v>
      </c>
      <c r="F12" s="60">
        <f>Secanim!F12</f>
        <v>0</v>
      </c>
      <c r="G12" s="60">
        <f>Secanim!G12</f>
        <v>0</v>
      </c>
      <c r="H12" s="60">
        <f>Secanim!H12</f>
        <v>0</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Secanim!C13</f>
        <v>3</v>
      </c>
      <c r="D13" s="60">
        <f>Secanim!D13</f>
        <v>0</v>
      </c>
      <c r="E13" s="60">
        <f>Secanim!E13</f>
        <v>0</v>
      </c>
      <c r="F13" s="60">
        <f>Secanim!F13</f>
        <v>0</v>
      </c>
      <c r="G13" s="60">
        <f>Secanim!G13</f>
        <v>0</v>
      </c>
      <c r="H13" s="60">
        <f>Secanim!H13</f>
        <v>0</v>
      </c>
      <c r="I13" s="60">
        <f>Secanim!I13</f>
        <v>0</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Secanim!C14</f>
        <v xml:space="preserve">Grass Silage (25% DM) </v>
      </c>
      <c r="D14" s="102">
        <f>Secanim!D14</f>
        <v>0</v>
      </c>
      <c r="E14" s="102">
        <f>Secanim!E14</f>
        <v>0</v>
      </c>
      <c r="F14" s="102">
        <f>Secanim!F14</f>
        <v>0</v>
      </c>
      <c r="G14" s="102">
        <f>Secanim!G14</f>
        <v>0</v>
      </c>
      <c r="H14" s="102">
        <f>Secanim!H14</f>
        <v>0</v>
      </c>
      <c r="I14" s="102">
        <f>Secanim!I14</f>
        <v>0</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5" t="s">
        <v>9</v>
      </c>
      <c r="B15" s="135"/>
      <c r="C15" s="60">
        <f>Secanim!C15</f>
        <v>38</v>
      </c>
      <c r="D15" s="60">
        <f>Secanim!D15</f>
        <v>0</v>
      </c>
      <c r="E15" s="60">
        <f>Secanim!E15</f>
        <v>0</v>
      </c>
      <c r="F15" s="60">
        <f>Secanim!F15</f>
        <v>0</v>
      </c>
      <c r="G15" s="60">
        <f>Secanim!G15</f>
        <v>0</v>
      </c>
      <c r="H15" s="60">
        <f>Secanim!H15</f>
        <v>0</v>
      </c>
      <c r="I15" s="60">
        <f>Secanim!I15</f>
        <v>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Secanim!C16</f>
        <v>Medium/Clay</v>
      </c>
      <c r="D16" s="103">
        <f>Secanim!D16</f>
        <v>0</v>
      </c>
      <c r="E16" s="103">
        <f>Secanim!E16</f>
        <v>0</v>
      </c>
      <c r="F16" s="103">
        <f>Secanim!F16</f>
        <v>0</v>
      </c>
      <c r="G16" s="103">
        <f>Secanim!G16</f>
        <v>0</v>
      </c>
      <c r="H16" s="103">
        <f>Secanim!H16</f>
        <v>0</v>
      </c>
      <c r="I16" s="103">
        <f>Secanim!I16</f>
        <v>0</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27.7211</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-36.878899999999994</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t="e">
        <f t="shared" ref="D21:V21" si="2">(VLOOKUP(D$14,$AI2:$AK26,3,FALSE))*D$15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28.227125000000001</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-199.772875</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e">
        <f t="shared" ref="D24:V24" si="4">IF($B31="","",IF(D$23&gt;=0,"INCREASE","DECREASE"))</f>
        <v>#N/A</v>
      </c>
      <c r="E24" s="26" t="e">
        <f t="shared" si="4"/>
        <v>#N/A</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1.19</v>
      </c>
      <c r="C28" s="15">
        <v>0.02</v>
      </c>
      <c r="D28" s="15">
        <v>48.4</v>
      </c>
      <c r="E28" s="15">
        <v>93.7</v>
      </c>
      <c r="F28" s="15">
        <v>10.6</v>
      </c>
      <c r="G28" s="15">
        <v>0.25</v>
      </c>
      <c r="H28" s="15">
        <v>0.54</v>
      </c>
      <c r="I28" s="15">
        <v>0.5</v>
      </c>
      <c r="J28" s="15">
        <v>0.01</v>
      </c>
      <c r="K28" s="23">
        <v>0.05</v>
      </c>
      <c r="L28" s="15">
        <v>0.2</v>
      </c>
      <c r="M28" s="15">
        <v>0.2</v>
      </c>
      <c r="N28" s="15"/>
      <c r="O28" s="15"/>
      <c r="P28" s="15">
        <v>243</v>
      </c>
      <c r="Q28" s="15">
        <v>37</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2211</v>
      </c>
      <c r="B31" s="15">
        <v>250</v>
      </c>
      <c r="C31" s="77">
        <f>IF(C$27="%w/w SAR",((C$28*10)*$B31),IF(C$27="%w/w DM",(((C$28*10)*($B$28/100))*$B31),IF(C$27="kg/t SAR",(C$28*$B31),IF(C$27="kg/t DM",((C$28*($B$28/100))*$B31),IF(C$27="mg/kg SAR",((C$28*0.001)*$B31),IF(C$27="mg/kg DM",(((C$28*0.001)*($B$28/100))*$B31),0))))))</f>
        <v>50</v>
      </c>
      <c r="D31" s="77">
        <f>(IF(D$27="%w/w SAR",((D$28*10)*$B31),IF(D$27="%w/w DM",(((D$28*10)*($B$28/100))*$B31),IF(D$27="kg/t SAR",(D$28*$B31),IF(D$27="kg/t DM",((D$28*($B$28/100))*$B31),IF(D$27="mg/kg SAR",((D$28*0.001)*$B31),IF(D$27="mg/kg DM",(((D$28*0.001)*($B$28/100))*$B31),"0")))))))*2.291</f>
        <v>27.7211</v>
      </c>
      <c r="E31" s="77">
        <f>(IF(E$27="%w/w SAR",((E$28*10)*$B31),IF(E$27="%w/w DM",(((E$28*10)*($B$28/100))*$B31),IF(E$27="kg/t SAR",(E$28*$B31),IF(E$27="kg/t DM",((E$28*($B$28/100))*$B31),IF(E$27="mg/kg SAR",((E$28*0.001)*$B31),IF(E$27="mg/kg DM",(((E$28*0.001)*($B$28/100))*$B31),"0")))))))*1.205</f>
        <v>28.227125000000001</v>
      </c>
      <c r="F31" s="77">
        <f>(IF(F$27="%w/w SAR",((F$28*10)*$B31),IF(F$27="%w/w DM",(((F$28*10)*($B$28/100))*$B31),IF(F$27="kg/t SAR",(F$28*$B31),IF(F$27="kg/t DM",((F$28*($B$28/100))*$B31),IF(F$27="mg/kg SAR",((F$28*0.001)*$B31),IF(F$27="mg/kg DM",(((F$28*0.001)*($B$28/100))*$B31),"0")))))))*1.658</f>
        <v>4.3936999999999999</v>
      </c>
      <c r="G31" s="77">
        <f t="shared" ref="G31:P46" si="5">IF(G$27="%w/w SAR",((G$28*10)*$B31),IF(G$27="%w/w DM",(((G$28*10)*($B$28/100))*$B31),IF(G$27="kg/t SAR",(G$28*$B31),IF(G$27="kg/t DM",((G$28*($B$28/100))*$B31),IF(G$27="mg/kg SAR",((G$28*0.001)*$B31),IF(G$27="mg/kg DM",(((G$28*0.001)*($B$28/100))*$B31),0))))))</f>
        <v>6.25E-2</v>
      </c>
      <c r="H31" s="77">
        <f t="shared" si="5"/>
        <v>0.13500000000000001</v>
      </c>
      <c r="I31" s="77">
        <f t="shared" si="5"/>
        <v>0.125</v>
      </c>
      <c r="J31" s="77">
        <f t="shared" si="5"/>
        <v>2.5000000000000001E-3</v>
      </c>
      <c r="K31" s="77">
        <f t="shared" si="5"/>
        <v>1.2500000000000001E-2</v>
      </c>
      <c r="L31" s="77">
        <f t="shared" si="5"/>
        <v>0.05</v>
      </c>
      <c r="M31" s="77">
        <f t="shared" si="5"/>
        <v>0.05</v>
      </c>
      <c r="N31" s="77">
        <f t="shared" si="5"/>
        <v>0</v>
      </c>
      <c r="O31" s="77">
        <f t="shared" si="5"/>
        <v>0</v>
      </c>
      <c r="P31" s="77">
        <f t="shared" si="5"/>
        <v>60.75</v>
      </c>
      <c r="Q31" s="77">
        <f>(IF(Q$27="%w/w SAR",((Q$28*10)*$B31),IF(Q$27="%w/w DM",(((Q$28*10)*($B$28/100))*$B31),IF(Q$27="kg/t SAR",(Q$28*$B31),IF(Q$27="kg/t DM",((Q$28*($B$28/100))*$B31),IF(Q$27="mg/kg SAR",((Q$28*0.001)*$B31),IF(Q$27="mg/kg DM",(((Q$28*0.001)*($B$28/100))*$B31),0)))))))*2.5</f>
        <v>23.125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2211</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"&amp;(VLOOKUP(C14,Table245810[],6,FALSE))</f>
        <v>Medium/Clay I Grass</v>
      </c>
      <c r="C58" s="13" t="e">
        <f>D16&amp;" I "&amp;(VLOOKUP(D14,Table245810[],6,FALSE))</f>
        <v>#N/A</v>
      </c>
      <c r="D58" s="13" t="e">
        <f>E16&amp;" I "&amp;(VLOOKUP(E14,Table245810[],6,FALSE))</f>
        <v>#N/A</v>
      </c>
      <c r="E58" s="13" t="e">
        <f>F16&amp;" I "&amp;(VLOOKUP(F14,Table245810[],6,FALSE))</f>
        <v>#N/A</v>
      </c>
      <c r="F58" s="13" t="e">
        <f>G16&amp;" I "&amp;(VLOOKUP(G14,Table245810[],6,FALSE))</f>
        <v>#N/A</v>
      </c>
      <c r="G58" s="13" t="e">
        <f>H16&amp;" I "&amp;(VLOOKUP(H14,Table245810[],6,FALSE))</f>
        <v>#N/A</v>
      </c>
      <c r="H58" s="13" t="e">
        <f>I16&amp;" I "&amp;(VLOOKUP(I14,Table245810[],6,FALSE))</f>
        <v>#N/A</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
      <c r="A59" s="111" t="s">
        <v>132</v>
      </c>
      <c r="B59" s="76">
        <f>VLOOKUP(C$14,Table245810[],5,FALSE)</f>
        <v>6.2</v>
      </c>
      <c r="C59" s="76" t="e">
        <f>VLOOKUP(D$14,Table245810[],5,FALSE)</f>
        <v>#N/A</v>
      </c>
      <c r="D59" s="76" t="e">
        <f>VLOOKUP(E$14,Table245810[],5,FALSE)</f>
        <v>#N/A</v>
      </c>
      <c r="E59" s="76" t="e">
        <f>VLOOKUP(F$14,Table245810[],5,FALSE)</f>
        <v>#N/A</v>
      </c>
      <c r="F59" s="76" t="e">
        <f>VLOOKUP(G$14,Table245810[],5,FALSE)</f>
        <v>#N/A</v>
      </c>
      <c r="G59" s="76" t="e">
        <f>VLOOKUP(H$14,Table245810[],5,FALSE)</f>
        <v>#N/A</v>
      </c>
      <c r="H59" s="76" t="e">
        <f>VLOOKUP(I$14,Table245810[],5,FALSE)</f>
        <v>#N/A</v>
      </c>
      <c r="I59" s="76" t="e">
        <f>VLOOKUP(J$14,Table245810[],5,FALSE)</f>
        <v>#N/A</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
      <c r="A60" s="111" t="s">
        <v>4</v>
      </c>
      <c r="B60" s="76">
        <f>C10</f>
        <v>6</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250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PAN-021626</v>
      </c>
      <c r="D1" s="141"/>
      <c r="E1" s="93" t="s">
        <v>45</v>
      </c>
      <c r="F1" s="39">
        <f>Secanim!F1</f>
        <v>48.6</v>
      </c>
      <c r="G1" s="123" t="s">
        <v>43</v>
      </c>
      <c r="H1" s="124"/>
      <c r="I1" s="118">
        <v>3.74</v>
      </c>
      <c r="J1" s="127" t="s">
        <v>153</v>
      </c>
      <c r="K1" s="127"/>
      <c r="L1" s="97">
        <v>29</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Secanim!C2:D2</f>
        <v>KP3594VE</v>
      </c>
      <c r="D2" s="143"/>
      <c r="E2" s="93" t="s">
        <v>109</v>
      </c>
      <c r="F2" s="96" t="s">
        <v>176</v>
      </c>
      <c r="G2" s="125" t="s">
        <v>110</v>
      </c>
      <c r="H2" s="126"/>
      <c r="I2" s="118">
        <v>471</v>
      </c>
      <c r="J2" s="127" t="s">
        <v>158</v>
      </c>
      <c r="K2" s="127"/>
      <c r="L2" s="97">
        <v>7.0000000000000007E-2</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Secanim!C3:D3</f>
        <v>Trade Effluent Services Limited</v>
      </c>
      <c r="D3" s="143"/>
      <c r="E3" s="93" t="s">
        <v>108</v>
      </c>
      <c r="F3" s="31"/>
      <c r="G3" s="127" t="s">
        <v>159</v>
      </c>
      <c r="H3" s="127"/>
      <c r="I3" s="118"/>
      <c r="J3" s="123" t="s">
        <v>154</v>
      </c>
      <c r="K3" s="124"/>
      <c r="L3" s="97">
        <f>(L1/(L2*10000))*100</f>
        <v>4.1428571428571415</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Secanim!C4:D4</f>
        <v>Gwaenynog Bach Farm, Pentrefoelas Road, Bryn Ynys, Denbigh, Y Groes, Denbighshire, LL16 5RP</v>
      </c>
      <c r="D4" s="141"/>
      <c r="E4" s="94" t="s">
        <v>1</v>
      </c>
      <c r="F4" s="96" t="s">
        <v>175</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Secanim!C8</f>
        <v>2211</v>
      </c>
      <c r="D8" s="60">
        <f>Secanim!D8</f>
        <v>0</v>
      </c>
      <c r="E8" s="60">
        <f>Secanim!E8</f>
        <v>0</v>
      </c>
      <c r="F8" s="60">
        <f>Secanim!F8</f>
        <v>0</v>
      </c>
      <c r="G8" s="60">
        <f>Secanim!G8</f>
        <v>0</v>
      </c>
      <c r="H8" s="60">
        <f>Secanim!H8</f>
        <v>0</v>
      </c>
      <c r="I8" s="60">
        <f>Secanim!I8</f>
        <v>0</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Secanim!C9</f>
        <v>Moderate</v>
      </c>
      <c r="D9" s="60">
        <f>Secanim!D9</f>
        <v>0</v>
      </c>
      <c r="E9" s="60">
        <f>Secanim!E9</f>
        <v>0</v>
      </c>
      <c r="F9" s="60">
        <f>Secanim!F9</f>
        <v>0</v>
      </c>
      <c r="G9" s="60">
        <f>Secanim!G9</f>
        <v>0</v>
      </c>
      <c r="H9" s="60">
        <f>Secanim!H9</f>
        <v>0</v>
      </c>
      <c r="I9" s="60">
        <f>Secanim!I9</f>
        <v>0</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Secanim!C10</f>
        <v>6</v>
      </c>
      <c r="D10" s="60">
        <f>Secanim!D10</f>
        <v>0</v>
      </c>
      <c r="E10" s="60">
        <f>Secanim!E10</f>
        <v>0</v>
      </c>
      <c r="F10" s="60">
        <f>Secanim!F10</f>
        <v>0</v>
      </c>
      <c r="G10" s="60">
        <f>Secanim!G10</f>
        <v>0</v>
      </c>
      <c r="H10" s="60">
        <f>Secanim!H10</f>
        <v>0</v>
      </c>
      <c r="I10" s="60">
        <f>Secanim!I10</f>
        <v>0</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Secanim!C11</f>
        <v>3</v>
      </c>
      <c r="D11" s="60">
        <f>Secanim!D11</f>
        <v>0</v>
      </c>
      <c r="E11" s="60">
        <f>Secanim!E11</f>
        <v>0</v>
      </c>
      <c r="F11" s="60">
        <f>Secanim!F11</f>
        <v>0</v>
      </c>
      <c r="G11" s="60">
        <f>Secanim!G11</f>
        <v>0</v>
      </c>
      <c r="H11" s="60">
        <f>Secanim!H11</f>
        <v>0</v>
      </c>
      <c r="I11" s="60">
        <f>Secanim!I11</f>
        <v>0</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t="str">
        <f>Secanim!C12</f>
        <v>2-</v>
      </c>
      <c r="D12" s="60">
        <f>Secanim!D12</f>
        <v>0</v>
      </c>
      <c r="E12" s="60">
        <f>Secanim!E12</f>
        <v>0</v>
      </c>
      <c r="F12" s="60">
        <f>Secanim!F12</f>
        <v>0</v>
      </c>
      <c r="G12" s="60">
        <f>Secanim!G12</f>
        <v>0</v>
      </c>
      <c r="H12" s="60">
        <f>Secanim!H12</f>
        <v>0</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Secanim!C13</f>
        <v>3</v>
      </c>
      <c r="D13" s="60">
        <f>Secanim!D13</f>
        <v>0</v>
      </c>
      <c r="E13" s="60">
        <f>Secanim!E13</f>
        <v>0</v>
      </c>
      <c r="F13" s="60">
        <f>Secanim!F13</f>
        <v>0</v>
      </c>
      <c r="G13" s="60">
        <f>Secanim!G13</f>
        <v>0</v>
      </c>
      <c r="H13" s="60">
        <f>Secanim!H13</f>
        <v>0</v>
      </c>
      <c r="I13" s="60">
        <f>Secanim!I13</f>
        <v>0</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Secanim!C14</f>
        <v xml:space="preserve">Grass Silage (25% DM) </v>
      </c>
      <c r="D14" s="102">
        <f>Secanim!D14</f>
        <v>0</v>
      </c>
      <c r="E14" s="102">
        <f>Secanim!E14</f>
        <v>0</v>
      </c>
      <c r="F14" s="102">
        <f>Secanim!F14</f>
        <v>0</v>
      </c>
      <c r="G14" s="102">
        <f>Secanim!G14</f>
        <v>0</v>
      </c>
      <c r="H14" s="102">
        <f>Secanim!H14</f>
        <v>0</v>
      </c>
      <c r="I14" s="102">
        <f>Secanim!I14</f>
        <v>0</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5" t="s">
        <v>9</v>
      </c>
      <c r="B15" s="135"/>
      <c r="C15" s="60">
        <f>Secanim!C15</f>
        <v>38</v>
      </c>
      <c r="D15" s="60">
        <f>Secanim!D15</f>
        <v>0</v>
      </c>
      <c r="E15" s="60">
        <f>Secanim!E15</f>
        <v>0</v>
      </c>
      <c r="F15" s="60">
        <f>Secanim!F15</f>
        <v>0</v>
      </c>
      <c r="G15" s="60">
        <f>Secanim!G15</f>
        <v>0</v>
      </c>
      <c r="H15" s="60">
        <f>Secanim!H15</f>
        <v>0</v>
      </c>
      <c r="I15" s="60">
        <f>Secanim!I15</f>
        <v>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Secanim!C16</f>
        <v>Medium/Clay</v>
      </c>
      <c r="D16" s="103">
        <f>Secanim!D16</f>
        <v>0</v>
      </c>
      <c r="E16" s="103">
        <f>Secanim!E16</f>
        <v>0</v>
      </c>
      <c r="F16" s="103">
        <f>Secanim!F16</f>
        <v>0</v>
      </c>
      <c r="G16" s="103">
        <f>Secanim!G16</f>
        <v>0</v>
      </c>
      <c r="H16" s="103">
        <f>Secanim!H16</f>
        <v>0</v>
      </c>
      <c r="I16" s="103">
        <f>Secanim!I16</f>
        <v>0</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64.413755999999992</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-0.18624400000000207</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t="e">
        <f t="shared" ref="D21:V21" si="2">(VLOOKUP(D$14,$AI2:$AK26,3,FALSE))*D$15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85.726110000000006</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-142.27388999999999</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e">
        <f t="shared" ref="D24:V24" si="4">IF($B31="","",IF(D$23&gt;=0,"INCREASE","DECREASE"))</f>
        <v>#N/A</v>
      </c>
      <c r="E24" s="26" t="e">
        <f t="shared" si="4"/>
        <v>#N/A</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1.23</v>
      </c>
      <c r="C28" s="15">
        <v>7.0000000000000007E-2</v>
      </c>
      <c r="D28" s="15">
        <v>198</v>
      </c>
      <c r="E28" s="15">
        <v>501</v>
      </c>
      <c r="F28" s="15">
        <v>69.8</v>
      </c>
      <c r="G28" s="15">
        <v>4.72</v>
      </c>
      <c r="H28" s="15">
        <v>2.02</v>
      </c>
      <c r="I28" s="15">
        <v>0.5</v>
      </c>
      <c r="J28" s="15">
        <v>0.01</v>
      </c>
      <c r="K28" s="23">
        <v>0.05</v>
      </c>
      <c r="L28" s="15">
        <v>0.2</v>
      </c>
      <c r="M28" s="15">
        <v>0.2</v>
      </c>
      <c r="N28" s="15"/>
      <c r="O28" s="15"/>
      <c r="P28" s="15">
        <v>26.3</v>
      </c>
      <c r="Q28" s="15">
        <v>90.3</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2211</v>
      </c>
      <c r="B31" s="15">
        <v>142</v>
      </c>
      <c r="C31" s="77">
        <f>IF(C$27="%w/w SAR",((C$28*10)*$B31),IF(C$27="%w/w DM",(((C$28*10)*($B$28/100))*$B31),IF(C$27="kg/t SAR",(C$28*$B31),IF(C$27="kg/t DM",((C$28*($B$28/100))*$B31),IF(C$27="mg/kg SAR",((C$28*0.001)*$B31),IF(C$27="mg/kg DM",(((C$28*0.001)*($B$28/100))*$B31),0))))))</f>
        <v>99.4</v>
      </c>
      <c r="D31" s="77">
        <f>(IF(D$27="%w/w SAR",((D$28*10)*$B31),IF(D$27="%w/w DM",(((D$28*10)*($B$28/100))*$B31),IF(D$27="kg/t SAR",(D$28*$B31),IF(D$27="kg/t DM",((D$28*($B$28/100))*$B31),IF(D$27="mg/kg SAR",((D$28*0.001)*$B31),IF(D$27="mg/kg DM",(((D$28*0.001)*($B$28/100))*$B31),"0")))))))*2.291</f>
        <v>64.413755999999992</v>
      </c>
      <c r="E31" s="77">
        <f>(IF(E$27="%w/w SAR",((E$28*10)*$B31),IF(E$27="%w/w DM",(((E$28*10)*($B$28/100))*$B31),IF(E$27="kg/t SAR",(E$28*$B31),IF(E$27="kg/t DM",((E$28*($B$28/100))*$B31),IF(E$27="mg/kg SAR",((E$28*0.001)*$B31),IF(E$27="mg/kg DM",(((E$28*0.001)*($B$28/100))*$B31),"0")))))))*1.205</f>
        <v>85.726110000000006</v>
      </c>
      <c r="F31" s="77">
        <f>(IF(F$27="%w/w SAR",((F$28*10)*$B31),IF(F$27="%w/w DM",(((F$28*10)*($B$28/100))*$B31),IF(F$27="kg/t SAR",(F$28*$B31),IF(F$27="kg/t DM",((F$28*($B$28/100))*$B31),IF(F$27="mg/kg SAR",((F$28*0.001)*$B31),IF(F$27="mg/kg DM",(((F$28*0.001)*($B$28/100))*$B31),"0")))))))*1.658</f>
        <v>16.433432799999999</v>
      </c>
      <c r="G31" s="77">
        <f t="shared" ref="G31:P46" si="5">IF(G$27="%w/w SAR",((G$28*10)*$B31),IF(G$27="%w/w DM",(((G$28*10)*($B$28/100))*$B31),IF(G$27="kg/t SAR",(G$28*$B31),IF(G$27="kg/t DM",((G$28*($B$28/100))*$B31),IF(G$27="mg/kg SAR",((G$28*0.001)*$B31),IF(G$27="mg/kg DM",(((G$28*0.001)*($B$28/100))*$B31),0))))))</f>
        <v>0.67024000000000006</v>
      </c>
      <c r="H31" s="77">
        <f t="shared" si="5"/>
        <v>0.28684000000000004</v>
      </c>
      <c r="I31" s="77">
        <f t="shared" si="5"/>
        <v>7.1000000000000008E-2</v>
      </c>
      <c r="J31" s="77">
        <f t="shared" si="5"/>
        <v>1.42E-3</v>
      </c>
      <c r="K31" s="77">
        <f t="shared" si="5"/>
        <v>7.1000000000000004E-3</v>
      </c>
      <c r="L31" s="77">
        <f t="shared" si="5"/>
        <v>2.8400000000000002E-2</v>
      </c>
      <c r="M31" s="77">
        <f t="shared" si="5"/>
        <v>2.8400000000000002E-2</v>
      </c>
      <c r="N31" s="77">
        <f t="shared" si="5"/>
        <v>0</v>
      </c>
      <c r="O31" s="77">
        <f t="shared" si="5"/>
        <v>0</v>
      </c>
      <c r="P31" s="77">
        <f t="shared" si="5"/>
        <v>3.7345999999999999</v>
      </c>
      <c r="Q31" s="77">
        <f>(IF(Q$27="%w/w SAR",((Q$28*10)*$B31),IF(Q$27="%w/w DM",(((Q$28*10)*($B$28/100))*$B31),IF(Q$27="kg/t SAR",(Q$28*$B31),IF(Q$27="kg/t DM",((Q$28*($B$28/100))*$B31),IF(Q$27="mg/kg SAR",((Q$28*0.001)*$B31),IF(Q$27="mg/kg DM",(((Q$28*0.001)*($B$28/100))*$B31),0)))))))*2.5</f>
        <v>32.0565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2211</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"&amp;(VLOOKUP(C14,Table2458[],6,FALSE))</f>
        <v>Medium/Clay I Grass</v>
      </c>
      <c r="C58" s="13" t="e">
        <f>D16&amp;" I "&amp;(VLOOKUP(D14,Table2458[],6,FALSE))</f>
        <v>#N/A</v>
      </c>
      <c r="D58" s="13" t="e">
        <f>E16&amp;" I "&amp;(VLOOKUP(E14,Table2458[],6,FALSE))</f>
        <v>#N/A</v>
      </c>
      <c r="E58" s="13" t="e">
        <f>F16&amp;" I "&amp;(VLOOKUP(F14,Table2458[],6,FALSE))</f>
        <v>#N/A</v>
      </c>
      <c r="F58" s="13" t="e">
        <f>G16&amp;" I "&amp;(VLOOKUP(G14,Table2458[],6,FALSE))</f>
        <v>#N/A</v>
      </c>
      <c r="G58" s="13" t="e">
        <f>H16&amp;" I "&amp;(VLOOKUP(H14,Table2458[],6,FALSE))</f>
        <v>#N/A</v>
      </c>
      <c r="H58" s="13" t="e">
        <f>I16&amp;" I "&amp;(VLOOKUP(I14,Table2458[],6,FALSE))</f>
        <v>#N/A</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
      <c r="A59" s="111" t="s">
        <v>132</v>
      </c>
      <c r="B59" s="76">
        <f>VLOOKUP(C$14,Table2458[],5,FALSE)</f>
        <v>6.2</v>
      </c>
      <c r="C59" s="76" t="e">
        <f>VLOOKUP(D$14,Table2458[],5,FALSE)</f>
        <v>#N/A</v>
      </c>
      <c r="D59" s="76" t="e">
        <f>VLOOKUP(E$14,Table2458[],5,FALSE)</f>
        <v>#N/A</v>
      </c>
      <c r="E59" s="76" t="e">
        <f>VLOOKUP(F$14,Table2458[],5,FALSE)</f>
        <v>#N/A</v>
      </c>
      <c r="F59" s="76" t="e">
        <f>VLOOKUP(G$14,Table2458[],5,FALSE)</f>
        <v>#N/A</v>
      </c>
      <c r="G59" s="76" t="e">
        <f>VLOOKUP(H$14,Table2458[],5,FALSE)</f>
        <v>#N/A</v>
      </c>
      <c r="H59" s="76" t="e">
        <f>VLOOKUP(I$14,Table2458[],5,FALSE)</f>
        <v>#N/A</v>
      </c>
      <c r="I59" s="76" t="e">
        <f>VLOOKUP(J$14,Table2458[],5,FALSE)</f>
        <v>#N/A</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
      <c r="A60" s="111" t="s">
        <v>4</v>
      </c>
      <c r="B60" s="76">
        <f>C10</f>
        <v>6</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142</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PAN-021626</v>
      </c>
      <c r="D1" s="141"/>
      <c r="E1" s="93" t="s">
        <v>45</v>
      </c>
      <c r="F1" s="39">
        <f>Secanim!F1</f>
        <v>48.6</v>
      </c>
      <c r="G1" s="123" t="s">
        <v>43</v>
      </c>
      <c r="H1" s="124"/>
      <c r="I1" s="118">
        <v>4.0199999999999996</v>
      </c>
      <c r="J1" s="127" t="s">
        <v>153</v>
      </c>
      <c r="K1" s="127"/>
      <c r="L1" s="97">
        <v>50</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Secanim!C2:D2</f>
        <v>KP3594VE</v>
      </c>
      <c r="D2" s="143"/>
      <c r="E2" s="93" t="s">
        <v>109</v>
      </c>
      <c r="F2" s="96" t="s">
        <v>170</v>
      </c>
      <c r="G2" s="125" t="s">
        <v>110</v>
      </c>
      <c r="H2" s="126"/>
      <c r="I2" s="118">
        <v>299</v>
      </c>
      <c r="J2" s="127" t="s">
        <v>158</v>
      </c>
      <c r="K2" s="127"/>
      <c r="L2" s="97">
        <v>0.32</v>
      </c>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Secanim!C3:D3</f>
        <v>Trade Effluent Services Limited</v>
      </c>
      <c r="D3" s="143"/>
      <c r="E3" s="93" t="s">
        <v>108</v>
      </c>
      <c r="F3" s="31"/>
      <c r="G3" s="127" t="s">
        <v>159</v>
      </c>
      <c r="H3" s="127"/>
      <c r="I3" s="118">
        <v>200</v>
      </c>
      <c r="J3" s="123" t="s">
        <v>154</v>
      </c>
      <c r="K3" s="124"/>
      <c r="L3" s="97">
        <f>(L1/(L2*10000))*100</f>
        <v>1.5625</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Secanim!C4:D4</f>
        <v>Gwaenynog Bach Farm, Pentrefoelas Road, Bryn Ynys, Denbigh, Y Groes, Denbighshire, LL16 5RP</v>
      </c>
      <c r="D4" s="141"/>
      <c r="E4" s="94" t="s">
        <v>1</v>
      </c>
      <c r="F4" s="96" t="s">
        <v>177</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Secanim!C8</f>
        <v>2211</v>
      </c>
      <c r="D8" s="60">
        <f>Secanim!D8</f>
        <v>0</v>
      </c>
      <c r="E8" s="60">
        <f>Secanim!E8</f>
        <v>0</v>
      </c>
      <c r="F8" s="60">
        <f>Secanim!F8</f>
        <v>0</v>
      </c>
      <c r="G8" s="60">
        <f>Secanim!G8</f>
        <v>0</v>
      </c>
      <c r="H8" s="60">
        <f>Secanim!H8</f>
        <v>0</v>
      </c>
      <c r="I8" s="60">
        <f>Secanim!I8</f>
        <v>0</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Secanim!C9</f>
        <v>Moderate</v>
      </c>
      <c r="D9" s="60">
        <f>Secanim!D9</f>
        <v>0</v>
      </c>
      <c r="E9" s="60">
        <f>Secanim!E9</f>
        <v>0</v>
      </c>
      <c r="F9" s="60">
        <f>Secanim!F9</f>
        <v>0</v>
      </c>
      <c r="G9" s="60">
        <f>Secanim!G9</f>
        <v>0</v>
      </c>
      <c r="H9" s="60">
        <f>Secanim!H9</f>
        <v>0</v>
      </c>
      <c r="I9" s="60">
        <f>Secanim!I9</f>
        <v>0</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Secanim!C10</f>
        <v>6</v>
      </c>
      <c r="D10" s="60">
        <f>Secanim!D10</f>
        <v>0</v>
      </c>
      <c r="E10" s="60">
        <f>Secanim!E10</f>
        <v>0</v>
      </c>
      <c r="F10" s="60">
        <f>Secanim!F10</f>
        <v>0</v>
      </c>
      <c r="G10" s="60">
        <f>Secanim!G10</f>
        <v>0</v>
      </c>
      <c r="H10" s="60">
        <f>Secanim!H10</f>
        <v>0</v>
      </c>
      <c r="I10" s="60">
        <f>Secanim!I10</f>
        <v>0</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Secanim!C11</f>
        <v>3</v>
      </c>
      <c r="D11" s="60">
        <f>Secanim!D11</f>
        <v>0</v>
      </c>
      <c r="E11" s="60">
        <f>Secanim!E11</f>
        <v>0</v>
      </c>
      <c r="F11" s="60">
        <f>Secanim!F11</f>
        <v>0</v>
      </c>
      <c r="G11" s="60">
        <f>Secanim!G11</f>
        <v>0</v>
      </c>
      <c r="H11" s="60">
        <f>Secanim!H11</f>
        <v>0</v>
      </c>
      <c r="I11" s="60">
        <f>Secanim!I11</f>
        <v>0</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t="str">
        <f>Secanim!C12</f>
        <v>2-</v>
      </c>
      <c r="D12" s="60">
        <f>Secanim!D12</f>
        <v>0</v>
      </c>
      <c r="E12" s="60">
        <f>Secanim!E12</f>
        <v>0</v>
      </c>
      <c r="F12" s="60">
        <f>Secanim!F12</f>
        <v>0</v>
      </c>
      <c r="G12" s="60">
        <f>Secanim!G12</f>
        <v>0</v>
      </c>
      <c r="H12" s="60">
        <f>Secanim!H12</f>
        <v>0</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Secanim!C13</f>
        <v>3</v>
      </c>
      <c r="D13" s="60">
        <f>Secanim!D13</f>
        <v>0</v>
      </c>
      <c r="E13" s="60">
        <f>Secanim!E13</f>
        <v>0</v>
      </c>
      <c r="F13" s="60">
        <f>Secanim!F13</f>
        <v>0</v>
      </c>
      <c r="G13" s="60">
        <f>Secanim!G13</f>
        <v>0</v>
      </c>
      <c r="H13" s="60">
        <f>Secanim!H13</f>
        <v>0</v>
      </c>
      <c r="I13" s="60">
        <f>Secanim!I13</f>
        <v>0</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Secanim!C14</f>
        <v xml:space="preserve">Grass Silage (25% DM) </v>
      </c>
      <c r="D14" s="102">
        <f>Secanim!D14</f>
        <v>0</v>
      </c>
      <c r="E14" s="102">
        <f>Secanim!E14</f>
        <v>0</v>
      </c>
      <c r="F14" s="102">
        <f>Secanim!F14</f>
        <v>0</v>
      </c>
      <c r="G14" s="102">
        <f>Secanim!G14</f>
        <v>0</v>
      </c>
      <c r="H14" s="102">
        <f>Secanim!H14</f>
        <v>0</v>
      </c>
      <c r="I14" s="102">
        <f>Secanim!I14</f>
        <v>0</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5" t="s">
        <v>9</v>
      </c>
      <c r="B15" s="135"/>
      <c r="C15" s="60">
        <f>Secanim!C15</f>
        <v>38</v>
      </c>
      <c r="D15" s="60">
        <f>Secanim!D15</f>
        <v>0</v>
      </c>
      <c r="E15" s="60">
        <f>Secanim!E15</f>
        <v>0</v>
      </c>
      <c r="F15" s="60">
        <f>Secanim!F15</f>
        <v>0</v>
      </c>
      <c r="G15" s="60">
        <f>Secanim!G15</f>
        <v>0</v>
      </c>
      <c r="H15" s="60">
        <f>Secanim!H15</f>
        <v>0</v>
      </c>
      <c r="I15" s="60">
        <f>Secanim!I15</f>
        <v>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Secanim!C16</f>
        <v>Medium/Clay</v>
      </c>
      <c r="D16" s="103">
        <f>Secanim!D16</f>
        <v>0</v>
      </c>
      <c r="E16" s="103">
        <f>Secanim!E16</f>
        <v>0</v>
      </c>
      <c r="F16" s="103">
        <f>Secanim!F16</f>
        <v>0</v>
      </c>
      <c r="G16" s="103">
        <f>Secanim!G16</f>
        <v>0</v>
      </c>
      <c r="H16" s="103">
        <f>Secanim!H16</f>
        <v>0</v>
      </c>
      <c r="I16" s="103">
        <f>Secanim!I16</f>
        <v>0</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62.663432</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-1.9365679999999941</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DECREASE</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t="e">
        <f t="shared" ref="D21:V21" si="2">(VLOOKUP(D$14,$AI2:$AK26,3,FALSE))*D$15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15.790319999999999</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-212.20967999999999</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DECREASE</v>
      </c>
      <c r="D24" s="26" t="e">
        <f t="shared" ref="D24:V24" si="4">IF($B31="","",IF(D$23&gt;=0,"INCREASE","DECREASE"))</f>
        <v>#N/A</v>
      </c>
      <c r="E24" s="26" t="e">
        <f t="shared" si="4"/>
        <v>#N/A</v>
      </c>
      <c r="F24" s="26" t="e">
        <f t="shared" si="4"/>
        <v>#N/A</v>
      </c>
      <c r="G24" s="26" t="e">
        <f t="shared" si="4"/>
        <v>#N/A</v>
      </c>
      <c r="H24" s="26" t="e">
        <f t="shared" si="4"/>
        <v>#N/A</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25">
      <c r="A28" s="108"/>
      <c r="B28" s="24">
        <v>5.99</v>
      </c>
      <c r="C28" s="15">
        <v>0.32</v>
      </c>
      <c r="D28" s="15">
        <v>526</v>
      </c>
      <c r="E28" s="15">
        <v>252</v>
      </c>
      <c r="F28" s="15">
        <v>64.5</v>
      </c>
      <c r="G28" s="15">
        <v>1.21</v>
      </c>
      <c r="H28" s="15">
        <v>2.33</v>
      </c>
      <c r="I28" s="15">
        <v>0.5</v>
      </c>
      <c r="J28" s="15">
        <v>0.01</v>
      </c>
      <c r="K28" s="23">
        <v>0.05</v>
      </c>
      <c r="L28" s="15">
        <v>0.2</v>
      </c>
      <c r="M28" s="15">
        <v>0.47299999999999998</v>
      </c>
      <c r="N28" s="15"/>
      <c r="O28" s="15"/>
      <c r="P28" s="15">
        <v>61.7</v>
      </c>
      <c r="Q28" s="15">
        <v>177</v>
      </c>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2211</v>
      </c>
      <c r="B31" s="15">
        <v>52</v>
      </c>
      <c r="C31" s="77">
        <f>IF(C$27="%w/w SAR",((C$28*10)*$B31),IF(C$27="%w/w DM",(((C$28*10)*($B$28/100))*$B31),IF(C$27="kg/t SAR",(C$28*$B31),IF(C$27="kg/t DM",((C$28*($B$28/100))*$B31),IF(C$27="mg/kg SAR",((C$28*0.001)*$B31),IF(C$27="mg/kg DM",(((C$28*0.001)*($B$28/100))*$B31),0))))))</f>
        <v>166.4</v>
      </c>
      <c r="D31" s="77">
        <f>(IF(D$27="%w/w SAR",((D$28*10)*$B31),IF(D$27="%w/w DM",(((D$28*10)*($B$28/100))*$B31),IF(D$27="kg/t SAR",(D$28*$B31),IF(D$27="kg/t DM",((D$28*($B$28/100))*$B31),IF(D$27="mg/kg SAR",((D$28*0.001)*$B31),IF(D$27="mg/kg DM",(((D$28*0.001)*($B$28/100))*$B31),"0")))))))*2.291</f>
        <v>62.663432</v>
      </c>
      <c r="E31" s="77">
        <f>(IF(E$27="%w/w SAR",((E$28*10)*$B31),IF(E$27="%w/w DM",(((E$28*10)*($B$28/100))*$B31),IF(E$27="kg/t SAR",(E$28*$B31),IF(E$27="kg/t DM",((E$28*($B$28/100))*$B31),IF(E$27="mg/kg SAR",((E$28*0.001)*$B31),IF(E$27="mg/kg DM",(((E$28*0.001)*($B$28/100))*$B31),"0")))))))*1.205</f>
        <v>15.790319999999999</v>
      </c>
      <c r="F31" s="77">
        <f>(IF(F$27="%w/w SAR",((F$28*10)*$B31),IF(F$27="%w/w DM",(((F$28*10)*($B$28/100))*$B31),IF(F$27="kg/t SAR",(F$28*$B31),IF(F$27="kg/t DM",((F$28*($B$28/100))*$B31),IF(F$27="mg/kg SAR",((F$28*0.001)*$B31),IF(F$27="mg/kg DM",(((F$28*0.001)*($B$28/100))*$B31),"0")))))))*1.658</f>
        <v>5.5609320000000002</v>
      </c>
      <c r="G31" s="77">
        <f t="shared" ref="G31:P46" si="5">IF(G$27="%w/w SAR",((G$28*10)*$B31),IF(G$27="%w/w DM",(((G$28*10)*($B$28/100))*$B31),IF(G$27="kg/t SAR",(G$28*$B31),IF(G$27="kg/t DM",((G$28*($B$28/100))*$B31),IF(G$27="mg/kg SAR",((G$28*0.001)*$B31),IF(G$27="mg/kg DM",(((G$28*0.001)*($B$28/100))*$B31),0))))))</f>
        <v>6.291999999999999E-2</v>
      </c>
      <c r="H31" s="77">
        <f t="shared" si="5"/>
        <v>0.12116</v>
      </c>
      <c r="I31" s="77">
        <f t="shared" si="5"/>
        <v>2.6000000000000002E-2</v>
      </c>
      <c r="J31" s="77">
        <f t="shared" si="5"/>
        <v>5.2000000000000006E-4</v>
      </c>
      <c r="K31" s="77">
        <f t="shared" si="5"/>
        <v>2.6000000000000003E-3</v>
      </c>
      <c r="L31" s="77">
        <f t="shared" si="5"/>
        <v>1.0400000000000001E-2</v>
      </c>
      <c r="M31" s="77">
        <f t="shared" si="5"/>
        <v>2.4596E-2</v>
      </c>
      <c r="N31" s="77">
        <f t="shared" si="5"/>
        <v>0</v>
      </c>
      <c r="O31" s="77">
        <f t="shared" si="5"/>
        <v>0</v>
      </c>
      <c r="P31" s="77">
        <f t="shared" si="5"/>
        <v>3.2084000000000001</v>
      </c>
      <c r="Q31" s="77">
        <f>(IF(Q$27="%w/w SAR",((Q$28*10)*$B31),IF(Q$27="%w/w DM",(((Q$28*10)*($B$28/100))*$B31),IF(Q$27="kg/t SAR",(Q$28*$B31),IF(Q$27="kg/t DM",((Q$28*($B$28/100))*$B31),IF(Q$27="mg/kg SAR",((Q$28*0.001)*$B31),IF(Q$27="mg/kg DM",(((Q$28*0.001)*($B$28/100))*$B31),0)))))))*2.5</f>
        <v>23.009999999999998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2211</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"&amp;(VLOOKUP(C14,Table24581113[],6,FALSE))</f>
        <v>Medium/Clay I Grass</v>
      </c>
      <c r="C58" s="13" t="e">
        <f>D16&amp;" I "&amp;(VLOOKUP(D14,Table24581113[],6,FALSE))</f>
        <v>#N/A</v>
      </c>
      <c r="D58" s="13" t="e">
        <f>E16&amp;" I "&amp;(VLOOKUP(E14,Table24581113[],6,FALSE))</f>
        <v>#N/A</v>
      </c>
      <c r="E58" s="13" t="e">
        <f>F16&amp;" I "&amp;(VLOOKUP(F14,Table24581113[],6,FALSE))</f>
        <v>#N/A</v>
      </c>
      <c r="F58" s="13" t="e">
        <f>G16&amp;" I "&amp;(VLOOKUP(G14,Table24581113[],6,FALSE))</f>
        <v>#N/A</v>
      </c>
      <c r="G58" s="13" t="e">
        <f>H16&amp;" I "&amp;(VLOOKUP(H14,Table24581113[],6,FALSE))</f>
        <v>#N/A</v>
      </c>
      <c r="H58" s="13" t="e">
        <f>I16&amp;" I "&amp;(VLOOKUP(I14,Table24581113[],6,FALSE))</f>
        <v>#N/A</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x14ac:dyDescent="0.2">
      <c r="A59" s="111" t="s">
        <v>132</v>
      </c>
      <c r="B59" s="76">
        <f>VLOOKUP(C$14,Table24581113[],5,FALSE)</f>
        <v>6.2</v>
      </c>
      <c r="C59" s="76" t="e">
        <f>VLOOKUP(D$14,Table24581113[],5,FALSE)</f>
        <v>#N/A</v>
      </c>
      <c r="D59" s="76" t="e">
        <f>VLOOKUP(E$14,Table24581113[],5,FALSE)</f>
        <v>#N/A</v>
      </c>
      <c r="E59" s="76" t="e">
        <f>VLOOKUP(F$14,Table24581113[],5,FALSE)</f>
        <v>#N/A</v>
      </c>
      <c r="F59" s="76" t="e">
        <f>VLOOKUP(G$14,Table24581113[],5,FALSE)</f>
        <v>#N/A</v>
      </c>
      <c r="G59" s="76" t="e">
        <f>VLOOKUP(H$14,Table24581113[],5,FALSE)</f>
        <v>#N/A</v>
      </c>
      <c r="H59" s="76" t="e">
        <f>VLOOKUP(I$14,Table24581113[],5,FALSE)</f>
        <v>#N/A</v>
      </c>
      <c r="I59" s="76" t="e">
        <f>VLOOKUP(J$14,Table24581113[],5,FALSE)</f>
        <v>#N/A</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x14ac:dyDescent="0.2">
      <c r="A60" s="111" t="s">
        <v>4</v>
      </c>
      <c r="B60" s="76">
        <f>C10</f>
        <v>6</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52</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PAN-021626</v>
      </c>
      <c r="D1" s="141"/>
      <c r="E1" s="93" t="s">
        <v>45</v>
      </c>
      <c r="F1" s="39">
        <f>Secanim!F1</f>
        <v>48.6</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Secanim!C2:D2</f>
        <v>KP3594VE</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Secanim!C3:D3</f>
        <v>Trade Effluent Services Limited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Secanim!C4:D4</f>
        <v>Gwaenynog Bach Farm, Pentrefoelas Road, Bryn Ynys, Denbigh, Y Groes, Denbighshire, LL16 5RP</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Secanim!C8</f>
        <v>2211</v>
      </c>
      <c r="D8" s="60">
        <f>Secanim!D8</f>
        <v>0</v>
      </c>
      <c r="E8" s="60">
        <f>Secanim!E8</f>
        <v>0</v>
      </c>
      <c r="F8" s="60">
        <f>Secanim!F8</f>
        <v>0</v>
      </c>
      <c r="G8" s="60">
        <f>Secanim!G8</f>
        <v>0</v>
      </c>
      <c r="H8" s="60">
        <f>Secanim!H8</f>
        <v>0</v>
      </c>
      <c r="I8" s="60">
        <f>Secanim!I8</f>
        <v>0</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Secanim!C9</f>
        <v>Moderate</v>
      </c>
      <c r="D9" s="60">
        <f>Secanim!D9</f>
        <v>0</v>
      </c>
      <c r="E9" s="60">
        <f>Secanim!E9</f>
        <v>0</v>
      </c>
      <c r="F9" s="60">
        <f>Secanim!F9</f>
        <v>0</v>
      </c>
      <c r="G9" s="60">
        <f>Secanim!G9</f>
        <v>0</v>
      </c>
      <c r="H9" s="60">
        <f>Secanim!H9</f>
        <v>0</v>
      </c>
      <c r="I9" s="60">
        <f>Secanim!I9</f>
        <v>0</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Secanim!C10</f>
        <v>6</v>
      </c>
      <c r="D10" s="60">
        <f>Secanim!D10</f>
        <v>0</v>
      </c>
      <c r="E10" s="60">
        <f>Secanim!E10</f>
        <v>0</v>
      </c>
      <c r="F10" s="60">
        <f>Secanim!F10</f>
        <v>0</v>
      </c>
      <c r="G10" s="60">
        <f>Secanim!G10</f>
        <v>0</v>
      </c>
      <c r="H10" s="60">
        <f>Secanim!H10</f>
        <v>0</v>
      </c>
      <c r="I10" s="60">
        <f>Secanim!I10</f>
        <v>0</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Secanim!C11</f>
        <v>3</v>
      </c>
      <c r="D11" s="60">
        <f>Secanim!D11</f>
        <v>0</v>
      </c>
      <c r="E11" s="60">
        <f>Secanim!E11</f>
        <v>0</v>
      </c>
      <c r="F11" s="60">
        <f>Secanim!F11</f>
        <v>0</v>
      </c>
      <c r="G11" s="60">
        <f>Secanim!G11</f>
        <v>0</v>
      </c>
      <c r="H11" s="60">
        <f>Secanim!H11</f>
        <v>0</v>
      </c>
      <c r="I11" s="60">
        <f>Secanim!I11</f>
        <v>0</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t="str">
        <f>Secanim!C12</f>
        <v>2-</v>
      </c>
      <c r="D12" s="60">
        <f>Secanim!D12</f>
        <v>0</v>
      </c>
      <c r="E12" s="60">
        <f>Secanim!E12</f>
        <v>0</v>
      </c>
      <c r="F12" s="60">
        <f>Secanim!F12</f>
        <v>0</v>
      </c>
      <c r="G12" s="60">
        <f>Secanim!G12</f>
        <v>0</v>
      </c>
      <c r="H12" s="60">
        <f>Secanim!H12</f>
        <v>0</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Secanim!C13</f>
        <v>3</v>
      </c>
      <c r="D13" s="60">
        <f>Secanim!D13</f>
        <v>0</v>
      </c>
      <c r="E13" s="60">
        <f>Secanim!E13</f>
        <v>0</v>
      </c>
      <c r="F13" s="60">
        <f>Secanim!F13</f>
        <v>0</v>
      </c>
      <c r="G13" s="60">
        <f>Secanim!G13</f>
        <v>0</v>
      </c>
      <c r="H13" s="60">
        <f>Secanim!H13</f>
        <v>0</v>
      </c>
      <c r="I13" s="60">
        <f>Secanim!I13</f>
        <v>0</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Secanim!C14</f>
        <v xml:space="preserve">Grass Silage (25% DM) </v>
      </c>
      <c r="D14" s="102">
        <f>Secanim!D14</f>
        <v>0</v>
      </c>
      <c r="E14" s="102">
        <f>Secanim!E14</f>
        <v>0</v>
      </c>
      <c r="F14" s="102">
        <f>Secanim!F14</f>
        <v>0</v>
      </c>
      <c r="G14" s="102">
        <f>Secanim!G14</f>
        <v>0</v>
      </c>
      <c r="H14" s="102">
        <f>Secanim!H14</f>
        <v>0</v>
      </c>
      <c r="I14" s="102">
        <f>Secanim!I14</f>
        <v>0</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5" t="s">
        <v>9</v>
      </c>
      <c r="B15" s="135"/>
      <c r="C15" s="60">
        <f>Secanim!C15</f>
        <v>38</v>
      </c>
      <c r="D15" s="60">
        <f>Secanim!D15</f>
        <v>0</v>
      </c>
      <c r="E15" s="60">
        <f>Secanim!E15</f>
        <v>0</v>
      </c>
      <c r="F15" s="60">
        <f>Secanim!F15</f>
        <v>0</v>
      </c>
      <c r="G15" s="60">
        <f>Secanim!G15</f>
        <v>0</v>
      </c>
      <c r="H15" s="60">
        <f>Secanim!H15</f>
        <v>0</v>
      </c>
      <c r="I15" s="60">
        <f>Secanim!I15</f>
        <v>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Secanim!C16</f>
        <v>Medium/Clay</v>
      </c>
      <c r="D16" s="103">
        <f>Secanim!D16</f>
        <v>0</v>
      </c>
      <c r="E16" s="103">
        <f>Secanim!E16</f>
        <v>0</v>
      </c>
      <c r="F16" s="103">
        <f>Secanim!F16</f>
        <v>0</v>
      </c>
      <c r="G16" s="103">
        <f>Secanim!G16</f>
        <v>0</v>
      </c>
      <c r="H16" s="103">
        <f>Secanim!H16</f>
        <v>0</v>
      </c>
      <c r="I16" s="103">
        <f>Secanim!I16</f>
        <v>0</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-64.599999999999994</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t="e">
        <f t="shared" ref="D21:V21" si="2">(VLOOKUP(D$14,$AI2:$AK26,3,FALSE))*D$15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-228</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2211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2211</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"&amp;(VLOOKUP(C14,Table24567[],6,FALSE))</f>
        <v>Medium/Clay I Grass</v>
      </c>
      <c r="C58" s="13" t="e">
        <f>D16&amp;" I "&amp;(VLOOKUP(D14,Table24567[],6,FALSE))</f>
        <v>#N/A</v>
      </c>
      <c r="D58" s="13" t="e">
        <f>E16&amp;" I "&amp;(VLOOKUP(E14,Table24567[],6,FALSE))</f>
        <v>#N/A</v>
      </c>
      <c r="E58" s="13" t="e">
        <f>F16&amp;" I "&amp;(VLOOKUP(F14,Table24567[],6,FALSE))</f>
        <v>#N/A</v>
      </c>
      <c r="F58" s="13" t="e">
        <f>G16&amp;" I "&amp;(VLOOKUP(G14,Table24567[],6,FALSE))</f>
        <v>#N/A</v>
      </c>
      <c r="G58" s="13" t="e">
        <f>H16&amp;" I "&amp;(VLOOKUP(H14,Table24567[],6,FALSE))</f>
        <v>#N/A</v>
      </c>
      <c r="H58" s="13" t="e">
        <f>I16&amp;" I "&amp;(VLOOKUP(I14,Table24567[],6,FALSE))</f>
        <v>#N/A</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x14ac:dyDescent="0.2">
      <c r="A59" s="111" t="s">
        <v>132</v>
      </c>
      <c r="B59" s="76">
        <f>VLOOKUP(C$14,Table24567[],5,FALSE)</f>
        <v>6.2</v>
      </c>
      <c r="C59" s="76" t="e">
        <f>VLOOKUP(D$14,Table24567[],5,FALSE)</f>
        <v>#N/A</v>
      </c>
      <c r="D59" s="76" t="e">
        <f>VLOOKUP(E$14,Table24567[],5,FALSE)</f>
        <v>#N/A</v>
      </c>
      <c r="E59" s="76" t="e">
        <f>VLOOKUP(F$14,Table24567[],5,FALSE)</f>
        <v>#N/A</v>
      </c>
      <c r="F59" s="76" t="e">
        <f>VLOOKUP(G$14,Table24567[],5,FALSE)</f>
        <v>#N/A</v>
      </c>
      <c r="G59" s="76" t="e">
        <f>VLOOKUP(H$14,Table24567[],5,FALSE)</f>
        <v>#N/A</v>
      </c>
      <c r="H59" s="76" t="e">
        <f>VLOOKUP(I$14,Table24567[],5,FALSE)</f>
        <v>#N/A</v>
      </c>
      <c r="I59" s="76" t="e">
        <f>VLOOKUP(J$14,Table24567[],5,FALSE)</f>
        <v>#N/A</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x14ac:dyDescent="0.2">
      <c r="A60" s="111" t="s">
        <v>4</v>
      </c>
      <c r="B60" s="76">
        <f>C10</f>
        <v>6</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7" t="s">
        <v>41</v>
      </c>
      <c r="B1" s="127"/>
      <c r="C1" s="140" t="str">
        <f>Secanim!C1:D1</f>
        <v>PAN-021626</v>
      </c>
      <c r="D1" s="141"/>
      <c r="E1" s="93" t="s">
        <v>45</v>
      </c>
      <c r="F1" s="39">
        <f>Secanim!F1</f>
        <v>48.6</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7" t="s">
        <v>87</v>
      </c>
      <c r="B2" s="127"/>
      <c r="C2" s="142" t="str">
        <f>Secanim!C2:D2</f>
        <v>KP3594VE</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x14ac:dyDescent="0.2">
      <c r="A3" s="123" t="s">
        <v>42</v>
      </c>
      <c r="B3" s="124"/>
      <c r="C3" s="142" t="str">
        <f>Secanim!C3:D3</f>
        <v>Trade Effluent Services Limited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7" t="s">
        <v>0</v>
      </c>
      <c r="B4" s="127"/>
      <c r="C4" s="140" t="str">
        <f>Secanim!C4:D4</f>
        <v>Gwaenynog Bach Farm, Pentrefoelas Road, Bryn Ynys, Denbigh, Y Groes, Denbighshire, LL16 5RP</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
      <c r="A5" s="127" t="s">
        <v>47</v>
      </c>
      <c r="B5" s="127"/>
      <c r="C5" s="140" t="str">
        <f>Secanim!C5:D5</f>
        <v>Louise Bailey</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7" t="s">
        <v>2</v>
      </c>
      <c r="B8" s="127"/>
      <c r="C8" s="60">
        <f>Secanim!C8</f>
        <v>2211</v>
      </c>
      <c r="D8" s="60">
        <f>Secanim!D8</f>
        <v>0</v>
      </c>
      <c r="E8" s="60">
        <f>Secanim!E8</f>
        <v>0</v>
      </c>
      <c r="F8" s="60">
        <f>Secanim!F8</f>
        <v>0</v>
      </c>
      <c r="G8" s="60">
        <f>Secanim!G8</f>
        <v>0</v>
      </c>
      <c r="H8" s="60">
        <f>Secanim!H8</f>
        <v>0</v>
      </c>
      <c r="I8" s="60">
        <f>Secanim!I8</f>
        <v>0</v>
      </c>
      <c r="J8" s="60">
        <f>Secanim!J8</f>
        <v>0</v>
      </c>
      <c r="K8" s="60">
        <f>Secanim!K8</f>
        <v>0</v>
      </c>
      <c r="L8" s="60">
        <f>Secanim!L8</f>
        <v>0</v>
      </c>
      <c r="M8" s="60">
        <f>Secanim!M8</f>
        <v>0</v>
      </c>
      <c r="N8" s="60">
        <f>Secanim!N8</f>
        <v>0</v>
      </c>
      <c r="O8" s="60">
        <f>Secanim!O8</f>
        <v>0</v>
      </c>
      <c r="P8" s="60">
        <f>Secanim!P8</f>
        <v>0</v>
      </c>
      <c r="Q8" s="60">
        <f>Secanim!Q8</f>
        <v>0</v>
      </c>
      <c r="R8" s="60">
        <f>Secanim!R8</f>
        <v>0</v>
      </c>
      <c r="S8" s="60">
        <f>Secanim!S8</f>
        <v>0</v>
      </c>
      <c r="T8" s="60">
        <f>Secanim!T8</f>
        <v>0</v>
      </c>
      <c r="U8" s="60">
        <f>Secanim!U8</f>
        <v>0</v>
      </c>
      <c r="V8" s="60">
        <f>Secanim!V8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7" t="s">
        <v>3</v>
      </c>
      <c r="B9" s="127"/>
      <c r="C9" s="60" t="str">
        <f>Secanim!C9</f>
        <v>Moderate</v>
      </c>
      <c r="D9" s="60">
        <f>Secanim!D9</f>
        <v>0</v>
      </c>
      <c r="E9" s="60">
        <f>Secanim!E9</f>
        <v>0</v>
      </c>
      <c r="F9" s="60">
        <f>Secanim!F9</f>
        <v>0</v>
      </c>
      <c r="G9" s="60">
        <f>Secanim!G9</f>
        <v>0</v>
      </c>
      <c r="H9" s="60">
        <f>Secanim!H9</f>
        <v>0</v>
      </c>
      <c r="I9" s="60">
        <f>Secanim!I9</f>
        <v>0</v>
      </c>
      <c r="J9" s="60">
        <f>Secanim!J9</f>
        <v>0</v>
      </c>
      <c r="K9" s="60">
        <f>Secanim!K9</f>
        <v>0</v>
      </c>
      <c r="L9" s="60">
        <f>Secanim!L9</f>
        <v>0</v>
      </c>
      <c r="M9" s="60">
        <f>Secanim!M9</f>
        <v>0</v>
      </c>
      <c r="N9" s="60">
        <f>Secanim!N9</f>
        <v>0</v>
      </c>
      <c r="O9" s="60">
        <f>Secanim!O9</f>
        <v>0</v>
      </c>
      <c r="P9" s="60">
        <f>Secanim!P9</f>
        <v>0</v>
      </c>
      <c r="Q9" s="60">
        <f>Secanim!Q9</f>
        <v>0</v>
      </c>
      <c r="R9" s="60">
        <f>Secanim!R9</f>
        <v>0</v>
      </c>
      <c r="S9" s="60">
        <f>Secanim!S9</f>
        <v>0</v>
      </c>
      <c r="T9" s="60">
        <f>Secanim!T9</f>
        <v>0</v>
      </c>
      <c r="U9" s="60">
        <f>Secanim!U9</f>
        <v>0</v>
      </c>
      <c r="V9" s="60">
        <f>Secanim!V9</f>
        <v>0</v>
      </c>
      <c r="AB9" s="17"/>
      <c r="AC9" s="17"/>
      <c r="AD9" s="30" t="s">
        <v>137</v>
      </c>
      <c r="AE9" s="30">
        <v>4.5</v>
      </c>
      <c r="AF9" s="17"/>
      <c r="AG9" s="18"/>
      <c r="AH9" s="18"/>
      <c r="AI9" s="63" t="s">
        <v>103</v>
      </c>
      <c r="AJ9" s="64">
        <v>0.7</v>
      </c>
      <c r="AK9" s="65">
        <v>4</v>
      </c>
      <c r="AL9" s="29">
        <v>7</v>
      </c>
      <c r="AM9" s="11">
        <v>6.7</v>
      </c>
      <c r="AN9" s="11" t="s">
        <v>135</v>
      </c>
      <c r="AO9" s="99"/>
    </row>
    <row r="10" spans="1:41" x14ac:dyDescent="0.2">
      <c r="A10" s="127" t="s">
        <v>4</v>
      </c>
      <c r="B10" s="127"/>
      <c r="C10" s="60">
        <f>Secanim!C10</f>
        <v>6</v>
      </c>
      <c r="D10" s="60">
        <f>Secanim!D10</f>
        <v>0</v>
      </c>
      <c r="E10" s="60">
        <f>Secanim!E10</f>
        <v>0</v>
      </c>
      <c r="F10" s="60">
        <f>Secanim!F10</f>
        <v>0</v>
      </c>
      <c r="G10" s="60">
        <f>Secanim!G10</f>
        <v>0</v>
      </c>
      <c r="H10" s="60">
        <f>Secanim!H10</f>
        <v>0</v>
      </c>
      <c r="I10" s="60">
        <f>Secanim!I10</f>
        <v>0</v>
      </c>
      <c r="J10" s="60">
        <f>Secanim!J10</f>
        <v>0</v>
      </c>
      <c r="K10" s="60">
        <f>Secanim!K10</f>
        <v>0</v>
      </c>
      <c r="L10" s="60">
        <f>Secanim!L10</f>
        <v>0</v>
      </c>
      <c r="M10" s="60">
        <f>Secanim!M10</f>
        <v>0</v>
      </c>
      <c r="N10" s="60">
        <f>Secanim!N10</f>
        <v>0</v>
      </c>
      <c r="O10" s="60">
        <f>Secanim!O10</f>
        <v>0</v>
      </c>
      <c r="P10" s="60">
        <f>Secanim!P10</f>
        <v>0</v>
      </c>
      <c r="Q10" s="60">
        <f>Secanim!Q10</f>
        <v>0</v>
      </c>
      <c r="R10" s="60">
        <f>Secanim!R10</f>
        <v>0</v>
      </c>
      <c r="S10" s="60">
        <f>Secanim!S10</f>
        <v>0</v>
      </c>
      <c r="T10" s="60">
        <f>Secanim!T10</f>
        <v>0</v>
      </c>
      <c r="U10" s="60">
        <f>Secanim!U10</f>
        <v>0</v>
      </c>
      <c r="V10" s="60">
        <f>Secanim!V10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7" t="s">
        <v>5</v>
      </c>
      <c r="B11" s="127"/>
      <c r="C11" s="60">
        <f>Secanim!C11</f>
        <v>3</v>
      </c>
      <c r="D11" s="60">
        <f>Secanim!D11</f>
        <v>0</v>
      </c>
      <c r="E11" s="60">
        <f>Secanim!E11</f>
        <v>0</v>
      </c>
      <c r="F11" s="60">
        <f>Secanim!F11</f>
        <v>0</v>
      </c>
      <c r="G11" s="60">
        <f>Secanim!G11</f>
        <v>0</v>
      </c>
      <c r="H11" s="60">
        <f>Secanim!H11</f>
        <v>0</v>
      </c>
      <c r="I11" s="60">
        <f>Secanim!I11</f>
        <v>0</v>
      </c>
      <c r="J11" s="60">
        <f>Secanim!J11</f>
        <v>0</v>
      </c>
      <c r="K11" s="60">
        <f>Secanim!K11</f>
        <v>0</v>
      </c>
      <c r="L11" s="60">
        <f>Secanim!L11</f>
        <v>0</v>
      </c>
      <c r="M11" s="60">
        <f>Secanim!M11</f>
        <v>0</v>
      </c>
      <c r="N11" s="60">
        <f>Secanim!N11</f>
        <v>0</v>
      </c>
      <c r="O11" s="60">
        <f>Secanim!O11</f>
        <v>0</v>
      </c>
      <c r="P11" s="60">
        <f>Secanim!P11</f>
        <v>0</v>
      </c>
      <c r="Q11" s="60">
        <f>Secanim!Q11</f>
        <v>0</v>
      </c>
      <c r="R11" s="60">
        <f>Secanim!R11</f>
        <v>0</v>
      </c>
      <c r="S11" s="60">
        <f>Secanim!S11</f>
        <v>0</v>
      </c>
      <c r="T11" s="60">
        <f>Secanim!T11</f>
        <v>0</v>
      </c>
      <c r="U11" s="60">
        <f>Secanim!U11</f>
        <v>0</v>
      </c>
      <c r="V11" s="60">
        <f>Secanim!V11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7" t="s">
        <v>6</v>
      </c>
      <c r="B12" s="127"/>
      <c r="C12" s="60" t="str">
        <f>Secanim!C12</f>
        <v>2-</v>
      </c>
      <c r="D12" s="60">
        <f>Secanim!D12</f>
        <v>0</v>
      </c>
      <c r="E12" s="60">
        <f>Secanim!E12</f>
        <v>0</v>
      </c>
      <c r="F12" s="60">
        <f>Secanim!F12</f>
        <v>0</v>
      </c>
      <c r="G12" s="60">
        <f>Secanim!G12</f>
        <v>0</v>
      </c>
      <c r="H12" s="60">
        <f>Secanim!H12</f>
        <v>0</v>
      </c>
      <c r="I12" s="60">
        <f>Secanim!I12</f>
        <v>0</v>
      </c>
      <c r="J12" s="60">
        <f>Secanim!J12</f>
        <v>0</v>
      </c>
      <c r="K12" s="60">
        <f>Secanim!K12</f>
        <v>0</v>
      </c>
      <c r="L12" s="60">
        <f>Secanim!L12</f>
        <v>0</v>
      </c>
      <c r="M12" s="60">
        <f>Secanim!M12</f>
        <v>0</v>
      </c>
      <c r="N12" s="60">
        <f>Secanim!N12</f>
        <v>0</v>
      </c>
      <c r="O12" s="60">
        <f>Secanim!O12</f>
        <v>0</v>
      </c>
      <c r="P12" s="60">
        <f>Secanim!P12</f>
        <v>0</v>
      </c>
      <c r="Q12" s="60">
        <f>Secanim!Q12</f>
        <v>0</v>
      </c>
      <c r="R12" s="60">
        <f>Secanim!R12</f>
        <v>0</v>
      </c>
      <c r="S12" s="60">
        <f>Secanim!S12</f>
        <v>0</v>
      </c>
      <c r="T12" s="60">
        <f>Secanim!T12</f>
        <v>0</v>
      </c>
      <c r="U12" s="60">
        <f>Secanim!U12</f>
        <v>0</v>
      </c>
      <c r="V12" s="60">
        <f>Secanim!V12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7" t="s">
        <v>7</v>
      </c>
      <c r="B13" s="127"/>
      <c r="C13" s="60">
        <f>Secanim!C13</f>
        <v>3</v>
      </c>
      <c r="D13" s="60">
        <f>Secanim!D13</f>
        <v>0</v>
      </c>
      <c r="E13" s="60">
        <f>Secanim!E13</f>
        <v>0</v>
      </c>
      <c r="F13" s="60">
        <f>Secanim!F13</f>
        <v>0</v>
      </c>
      <c r="G13" s="60">
        <f>Secanim!G13</f>
        <v>0</v>
      </c>
      <c r="H13" s="60">
        <f>Secanim!H13</f>
        <v>0</v>
      </c>
      <c r="I13" s="60">
        <f>Secanim!I13</f>
        <v>0</v>
      </c>
      <c r="J13" s="60">
        <f>Secanim!J13</f>
        <v>0</v>
      </c>
      <c r="K13" s="60">
        <f>Secanim!K13</f>
        <v>0</v>
      </c>
      <c r="L13" s="60">
        <f>Secanim!L13</f>
        <v>0</v>
      </c>
      <c r="M13" s="60">
        <f>Secanim!M13</f>
        <v>0</v>
      </c>
      <c r="N13" s="60">
        <f>Secanim!N13</f>
        <v>0</v>
      </c>
      <c r="O13" s="60">
        <f>Secanim!O13</f>
        <v>0</v>
      </c>
      <c r="P13" s="60">
        <f>Secanim!P13</f>
        <v>0</v>
      </c>
      <c r="Q13" s="60">
        <f>Secanim!Q13</f>
        <v>0</v>
      </c>
      <c r="R13" s="60">
        <f>Secanim!R13</f>
        <v>0</v>
      </c>
      <c r="S13" s="60">
        <f>Secanim!S13</f>
        <v>0</v>
      </c>
      <c r="T13" s="60">
        <f>Secanim!T13</f>
        <v>0</v>
      </c>
      <c r="U13" s="60">
        <f>Secanim!U13</f>
        <v>0</v>
      </c>
      <c r="V13" s="60">
        <f>Secanim!V13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6" t="s">
        <v>8</v>
      </c>
      <c r="B14" s="136"/>
      <c r="C14" s="102" t="str">
        <f>Secanim!C14</f>
        <v xml:space="preserve">Grass Silage (25% DM) </v>
      </c>
      <c r="D14" s="102">
        <f>Secanim!D14</f>
        <v>0</v>
      </c>
      <c r="E14" s="102">
        <f>Secanim!E14</f>
        <v>0</v>
      </c>
      <c r="F14" s="102">
        <f>Secanim!F14</f>
        <v>0</v>
      </c>
      <c r="G14" s="102">
        <f>Secanim!G14</f>
        <v>0</v>
      </c>
      <c r="H14" s="102">
        <f>Secanim!H14</f>
        <v>0</v>
      </c>
      <c r="I14" s="102">
        <f>Secanim!I14</f>
        <v>0</v>
      </c>
      <c r="J14" s="102">
        <f>Secanim!J14</f>
        <v>0</v>
      </c>
      <c r="K14" s="102">
        <f>Secanim!K14</f>
        <v>0</v>
      </c>
      <c r="L14" s="102">
        <f>Secanim!L14</f>
        <v>0</v>
      </c>
      <c r="M14" s="102">
        <f>Secanim!M14</f>
        <v>0</v>
      </c>
      <c r="N14" s="102">
        <f>Secanim!N14</f>
        <v>0</v>
      </c>
      <c r="O14" s="102">
        <f>Secanim!O14</f>
        <v>0</v>
      </c>
      <c r="P14" s="102">
        <f>Secanim!P14</f>
        <v>0</v>
      </c>
      <c r="Q14" s="102">
        <f>Secanim!Q14</f>
        <v>0</v>
      </c>
      <c r="R14" s="102">
        <f>Secanim!R14</f>
        <v>0</v>
      </c>
      <c r="S14" s="102">
        <f>Secanim!S14</f>
        <v>0</v>
      </c>
      <c r="T14" s="102">
        <f>Secanim!T14</f>
        <v>0</v>
      </c>
      <c r="U14" s="102">
        <f>Secanim!U14</f>
        <v>0</v>
      </c>
      <c r="V14" s="102">
        <f>Secanim!V14</f>
        <v>0</v>
      </c>
      <c r="AD14" s="30" t="s">
        <v>138</v>
      </c>
      <c r="AE14" s="30">
        <v>6</v>
      </c>
      <c r="AI14" s="53" t="s">
        <v>119</v>
      </c>
      <c r="AJ14" s="54">
        <v>0.8</v>
      </c>
      <c r="AK14" s="55">
        <v>1.7</v>
      </c>
      <c r="AL14" s="11">
        <v>12</v>
      </c>
      <c r="AM14" s="11">
        <v>6.7</v>
      </c>
      <c r="AN14" s="11" t="s">
        <v>135</v>
      </c>
    </row>
    <row r="15" spans="1:41" x14ac:dyDescent="0.2">
      <c r="A15" s="135" t="s">
        <v>9</v>
      </c>
      <c r="B15" s="135"/>
      <c r="C15" s="60">
        <f>Secanim!C15</f>
        <v>38</v>
      </c>
      <c r="D15" s="60">
        <f>Secanim!D15</f>
        <v>0</v>
      </c>
      <c r="E15" s="60">
        <f>Secanim!E15</f>
        <v>0</v>
      </c>
      <c r="F15" s="60">
        <f>Secanim!F15</f>
        <v>0</v>
      </c>
      <c r="G15" s="60">
        <f>Secanim!G15</f>
        <v>0</v>
      </c>
      <c r="H15" s="60">
        <f>Secanim!H15</f>
        <v>0</v>
      </c>
      <c r="I15" s="60">
        <f>Secanim!I15</f>
        <v>0</v>
      </c>
      <c r="J15" s="60">
        <f>Secanim!J15</f>
        <v>0</v>
      </c>
      <c r="K15" s="60">
        <f>Secanim!K15</f>
        <v>0</v>
      </c>
      <c r="L15" s="60">
        <f>Secanim!L15</f>
        <v>0</v>
      </c>
      <c r="M15" s="60">
        <f>Secanim!M15</f>
        <v>0</v>
      </c>
      <c r="N15" s="60">
        <f>Secanim!N15</f>
        <v>0</v>
      </c>
      <c r="O15" s="60">
        <f>Secanim!O15</f>
        <v>0</v>
      </c>
      <c r="P15" s="60">
        <f>Secanim!P15</f>
        <v>0</v>
      </c>
      <c r="Q15" s="60">
        <f>Secanim!Q15</f>
        <v>0</v>
      </c>
      <c r="R15" s="60">
        <f>Secanim!R15</f>
        <v>0</v>
      </c>
      <c r="S15" s="60">
        <f>Secanim!S15</f>
        <v>0</v>
      </c>
      <c r="T15" s="60">
        <f>Secanim!T15</f>
        <v>0</v>
      </c>
      <c r="U15" s="60">
        <f>Secanim!U15</f>
        <v>0</v>
      </c>
      <c r="V15" s="60">
        <f>Secanim!V15</f>
        <v>0</v>
      </c>
      <c r="AD15" s="30" t="s">
        <v>144</v>
      </c>
      <c r="AE15" s="30">
        <v>7</v>
      </c>
      <c r="AI15" s="53" t="s">
        <v>101</v>
      </c>
      <c r="AJ15" s="62">
        <v>1.8</v>
      </c>
      <c r="AK15" s="55">
        <v>5.4</v>
      </c>
      <c r="AL15" s="11">
        <v>13</v>
      </c>
      <c r="AM15" s="11">
        <v>6.7</v>
      </c>
      <c r="AN15" s="11" t="s">
        <v>135</v>
      </c>
    </row>
    <row r="16" spans="1:41" ht="13.5" thickBot="1" x14ac:dyDescent="0.25">
      <c r="A16" s="137" t="s">
        <v>44</v>
      </c>
      <c r="B16" s="137"/>
      <c r="C16" s="103" t="str">
        <f>Secanim!C16</f>
        <v>Medium/Clay</v>
      </c>
      <c r="D16" s="103">
        <f>Secanim!D16</f>
        <v>0</v>
      </c>
      <c r="E16" s="103">
        <f>Secanim!E16</f>
        <v>0</v>
      </c>
      <c r="F16" s="103">
        <f>Secanim!F16</f>
        <v>0</v>
      </c>
      <c r="G16" s="103">
        <f>Secanim!G16</f>
        <v>0</v>
      </c>
      <c r="H16" s="103">
        <f>Secanim!H16</f>
        <v>0</v>
      </c>
      <c r="I16" s="103">
        <f>Secanim!I16</f>
        <v>0</v>
      </c>
      <c r="J16" s="103">
        <f>Secanim!J16</f>
        <v>0</v>
      </c>
      <c r="K16" s="103">
        <f>Secanim!K16</f>
        <v>0</v>
      </c>
      <c r="L16" s="103">
        <f>Secanim!L16</f>
        <v>0</v>
      </c>
      <c r="M16" s="103">
        <f>Secanim!M16</f>
        <v>0</v>
      </c>
      <c r="N16" s="103">
        <f>Secanim!N16</f>
        <v>0</v>
      </c>
      <c r="O16" s="103">
        <f>Secanim!O16</f>
        <v>0</v>
      </c>
      <c r="P16" s="103">
        <f>Secanim!P16</f>
        <v>0</v>
      </c>
      <c r="Q16" s="103">
        <f>Secanim!Q16</f>
        <v>0</v>
      </c>
      <c r="R16" s="103">
        <f>Secanim!R16</f>
        <v>0</v>
      </c>
      <c r="S16" s="103">
        <f>Secanim!S16</f>
        <v>0</v>
      </c>
      <c r="T16" s="103">
        <f>Secanim!T16</f>
        <v>0</v>
      </c>
      <c r="U16" s="103">
        <f>Secanim!U16</f>
        <v>0</v>
      </c>
      <c r="V16" s="103">
        <f>Secanim!V16</f>
        <v>0</v>
      </c>
      <c r="AD16" s="52" t="s">
        <v>145</v>
      </c>
      <c r="AE16" s="30">
        <v>8</v>
      </c>
      <c r="AI16" s="53" t="s">
        <v>118</v>
      </c>
      <c r="AJ16" s="54">
        <v>8</v>
      </c>
      <c r="AK16" s="55">
        <v>5.5</v>
      </c>
      <c r="AL16" s="12">
        <v>14</v>
      </c>
      <c r="AM16" s="11">
        <v>6.7</v>
      </c>
      <c r="AN16" s="11" t="s">
        <v>135</v>
      </c>
    </row>
    <row r="17" spans="1:40" x14ac:dyDescent="0.2">
      <c r="A17" s="133" t="s">
        <v>69</v>
      </c>
      <c r="B17" s="134"/>
      <c r="C17" s="28">
        <f>(VLOOKUP(C$14,$AI2:$AK26,2,FALSE))*C$15</f>
        <v>64.599999999999994</v>
      </c>
      <c r="D17" s="28" t="e">
        <f t="shared" ref="D17:V17" si="0">(VLOOKUP(D$14,$AI2:$AK26,2,FALSE))*D$15</f>
        <v>#N/A</v>
      </c>
      <c r="E17" s="28" t="e">
        <f t="shared" si="0"/>
        <v>#N/A</v>
      </c>
      <c r="F17" s="28" t="e">
        <f t="shared" si="0"/>
        <v>#N/A</v>
      </c>
      <c r="G17" s="28" t="e">
        <f t="shared" si="0"/>
        <v>#N/A</v>
      </c>
      <c r="H17" s="28" t="e">
        <f t="shared" si="0"/>
        <v>#N/A</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1" t="s">
        <v>90</v>
      </c>
      <c r="B19" s="132"/>
      <c r="C19" s="16">
        <f>C18-C17</f>
        <v>-64.599999999999994</v>
      </c>
      <c r="D19" s="16" t="e">
        <f t="shared" ref="D19:V19" si="1">D18-D17</f>
        <v>#N/A</v>
      </c>
      <c r="E19" s="16" t="e">
        <f t="shared" si="1"/>
        <v>#N/A</v>
      </c>
      <c r="F19" s="16" t="e">
        <f t="shared" si="1"/>
        <v>#N/A</v>
      </c>
      <c r="G19" s="16" t="e">
        <f t="shared" si="1"/>
        <v>#N/A</v>
      </c>
      <c r="H19" s="16" t="e">
        <f t="shared" si="1"/>
        <v>#N/A</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3" t="s">
        <v>88</v>
      </c>
      <c r="B21" s="134"/>
      <c r="C21" s="28">
        <f>(VLOOKUP(C$14,$AI2:$AK26,3,FALSE))*C$15</f>
        <v>228</v>
      </c>
      <c r="D21" s="28" t="e">
        <f t="shared" ref="D21:V21" si="2">(VLOOKUP(D$14,$AI2:$AK26,3,FALSE))*D$15</f>
        <v>#N/A</v>
      </c>
      <c r="E21" s="28" t="e">
        <f t="shared" si="2"/>
        <v>#N/A</v>
      </c>
      <c r="F21" s="28" t="e">
        <f t="shared" si="2"/>
        <v>#N/A</v>
      </c>
      <c r="G21" s="28" t="e">
        <f t="shared" si="2"/>
        <v>#N/A</v>
      </c>
      <c r="H21" s="28" t="e">
        <f t="shared" si="2"/>
        <v>#N/A</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1" t="s">
        <v>92</v>
      </c>
      <c r="B23" s="132"/>
      <c r="C23" s="16">
        <f>C22-C21</f>
        <v>-228</v>
      </c>
      <c r="D23" s="16" t="e">
        <f t="shared" ref="D23:V23" si="3">D22-D21</f>
        <v>#N/A</v>
      </c>
      <c r="E23" s="16" t="e">
        <f t="shared" si="3"/>
        <v>#N/A</v>
      </c>
      <c r="F23" s="16" t="e">
        <f t="shared" si="3"/>
        <v>#N/A</v>
      </c>
      <c r="G23" s="16" t="e">
        <f t="shared" si="3"/>
        <v>#N/A</v>
      </c>
      <c r="H23" s="16" t="e">
        <f t="shared" si="3"/>
        <v>#N/A</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f>C8</f>
        <v>2211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f>D8</f>
        <v>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f>E8</f>
        <v>0</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f>F8</f>
        <v>0</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f>G8</f>
        <v>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f>H8</f>
        <v>0</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f>C8</f>
        <v>2211</v>
      </c>
      <c r="C57" s="8">
        <f t="shared" ref="C57:U57" si="13">D8</f>
        <v>0</v>
      </c>
      <c r="D57" s="8">
        <f t="shared" si="13"/>
        <v>0</v>
      </c>
      <c r="E57" s="8">
        <f t="shared" si="13"/>
        <v>0</v>
      </c>
      <c r="F57" s="8">
        <f t="shared" si="13"/>
        <v>0</v>
      </c>
      <c r="G57" s="8">
        <f t="shared" si="13"/>
        <v>0</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"&amp;(VLOOKUP(C14,Table2456[],6,FALSE))</f>
        <v>Medium/Clay I Grass</v>
      </c>
      <c r="C58" s="13" t="e">
        <f>D16&amp;" I "&amp;(VLOOKUP(D14,Table2456[],6,FALSE))</f>
        <v>#N/A</v>
      </c>
      <c r="D58" s="13" t="e">
        <f>E16&amp;" I "&amp;(VLOOKUP(E14,Table2456[],6,FALSE))</f>
        <v>#N/A</v>
      </c>
      <c r="E58" s="13" t="e">
        <f>F16&amp;" I "&amp;(VLOOKUP(F14,Table2456[],6,FALSE))</f>
        <v>#N/A</v>
      </c>
      <c r="F58" s="13" t="e">
        <f>G16&amp;" I "&amp;(VLOOKUP(G14,Table2456[],6,FALSE))</f>
        <v>#N/A</v>
      </c>
      <c r="G58" s="13" t="e">
        <f>H16&amp;" I "&amp;(VLOOKUP(H14,Table2456[],6,FALSE))</f>
        <v>#N/A</v>
      </c>
      <c r="H58" s="13" t="e">
        <f>I16&amp;" I "&amp;(VLOOKUP(I14,Table2456[],6,FALSE))</f>
        <v>#N/A</v>
      </c>
      <c r="I58" s="13" t="e">
        <f>J16&amp;" I "&amp;(VLOOKUP(J14,Table2456[],6,FALSE))</f>
        <v>#N/A</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x14ac:dyDescent="0.2">
      <c r="A59" s="111" t="s">
        <v>132</v>
      </c>
      <c r="B59" s="76">
        <f>VLOOKUP(C$14,Table2456[],5,FALSE)</f>
        <v>6.2</v>
      </c>
      <c r="C59" s="76" t="e">
        <f>VLOOKUP(D$14,Table2456[],5,FALSE)</f>
        <v>#N/A</v>
      </c>
      <c r="D59" s="76" t="e">
        <f>VLOOKUP(E$14,Table2456[],5,FALSE)</f>
        <v>#N/A</v>
      </c>
      <c r="E59" s="76" t="e">
        <f>VLOOKUP(F$14,Table2456[],5,FALSE)</f>
        <v>#N/A</v>
      </c>
      <c r="F59" s="76" t="e">
        <f>VLOOKUP(G$14,Table2456[],5,FALSE)</f>
        <v>#N/A</v>
      </c>
      <c r="G59" s="76" t="e">
        <f>VLOOKUP(H$14,Table2456[],5,FALSE)</f>
        <v>#N/A</v>
      </c>
      <c r="H59" s="76" t="e">
        <f>VLOOKUP(I$14,Table2456[],5,FALSE)</f>
        <v>#N/A</v>
      </c>
      <c r="I59" s="76" t="e">
        <f>VLOOKUP(J$14,Table2456[],5,FALSE)</f>
        <v>#N/A</v>
      </c>
      <c r="J59" s="76" t="e">
        <f>VLOOKUP(K$14,Table2456[],5,FALSE)</f>
        <v>#N/A</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x14ac:dyDescent="0.2">
      <c r="A60" s="111" t="s">
        <v>4</v>
      </c>
      <c r="B60" s="76">
        <f>C10</f>
        <v>6</v>
      </c>
      <c r="C60" s="76">
        <f t="shared" ref="C60:U60" si="14">D10</f>
        <v>0</v>
      </c>
      <c r="D60" s="76">
        <f t="shared" si="14"/>
        <v>0</v>
      </c>
      <c r="E60" s="76">
        <f t="shared" si="14"/>
        <v>0</v>
      </c>
      <c r="F60" s="76">
        <f t="shared" si="14"/>
        <v>0</v>
      </c>
      <c r="G60" s="76">
        <f t="shared" si="14"/>
        <v>0</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6</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1.2000000000000011</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-1.2000000000000011</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79"/>
    <col min="14" max="14" width="9.7109375" style="79" bestFit="1" customWidth="1"/>
    <col min="15" max="19" width="9.140625" style="79"/>
    <col min="20" max="20" width="10" style="79" bestFit="1" customWidth="1"/>
    <col min="21" max="16384" width="9.140625" style="79"/>
  </cols>
  <sheetData>
    <row r="1" spans="1:21" ht="38.25" x14ac:dyDescent="0.2">
      <c r="A1" s="144" t="s">
        <v>84</v>
      </c>
      <c r="B1" s="38" t="str">
        <f>Secanim!B29</f>
        <v>Application Rate</v>
      </c>
      <c r="C1" s="38" t="str">
        <f>Secanim!C29</f>
        <v>Nitrogen Addition</v>
      </c>
      <c r="D1" s="38" t="str">
        <f>Secanim!D29</f>
        <v>Phosphate Addition</v>
      </c>
      <c r="E1" s="38" t="str">
        <f>Secanim!E29</f>
        <v>Potash  Addition</v>
      </c>
      <c r="F1" s="38" t="str">
        <f>Secanim!F29</f>
        <v>Mg Oxide Addition</v>
      </c>
      <c r="G1" s="38" t="str">
        <f>Secanim!G29</f>
        <v>Copper Addition</v>
      </c>
      <c r="H1" s="38" t="str">
        <f>Secanim!H29</f>
        <v>Zinc Addition</v>
      </c>
      <c r="I1" s="38" t="str">
        <f>Secanim!I29</f>
        <v>Lead Addition</v>
      </c>
      <c r="J1" s="38" t="str">
        <f>Secanim!J29</f>
        <v>Cadmium Addition</v>
      </c>
      <c r="K1" s="38" t="str">
        <f>Secanim!K29</f>
        <v>Mercury Addition</v>
      </c>
      <c r="L1" s="38" t="str">
        <f>Secanim!L29</f>
        <v>Nickel Addition</v>
      </c>
      <c r="M1" s="38" t="str">
        <f>Secanim!M29</f>
        <v>Chromium Addition</v>
      </c>
      <c r="N1" s="38" t="str">
        <f>Secanim!N29</f>
        <v>Aluminium Addition</v>
      </c>
      <c r="O1" s="38" t="str">
        <f>Secanim!O29</f>
        <v>Iron Addition</v>
      </c>
      <c r="P1" s="38" t="str">
        <f>Secanim!P29</f>
        <v xml:space="preserve">Sodium Addition                 </v>
      </c>
      <c r="Q1" s="38" t="str">
        <f>Secanim!Q29</f>
        <v>SO3  Addition                             kg/ha</v>
      </c>
      <c r="R1" s="38" t="str">
        <f>Secanim!R29</f>
        <v xml:space="preserve">Selenium Addition </v>
      </c>
      <c r="S1" s="38" t="str">
        <f>Secanim!S29</f>
        <v xml:space="preserve">Arsenic  Addition  </v>
      </c>
      <c r="T1" s="38" t="str">
        <f>Secanim!T29</f>
        <v xml:space="preserve">Molybdenum Addition  </v>
      </c>
      <c r="U1" s="38" t="str">
        <f>Secanim!U29</f>
        <v xml:space="preserve">Fluoride Addition </v>
      </c>
    </row>
    <row r="2" spans="1:21" ht="25.5" x14ac:dyDescent="0.2">
      <c r="A2" s="144"/>
      <c r="B2" s="38" t="str">
        <f>Secanim!B30</f>
        <v>tonnes/ha</v>
      </c>
      <c r="C2" s="38" t="str">
        <f>Secanim!C30</f>
        <v>kg/ha</v>
      </c>
      <c r="D2" s="38" t="str">
        <f>Secanim!D30</f>
        <v>P2O5 
kg/ha</v>
      </c>
      <c r="E2" s="38" t="str">
        <f>Secanim!E30</f>
        <v>K2O 
kg/ha</v>
      </c>
      <c r="F2" s="38" t="str">
        <f>Secanim!F30</f>
        <v>MgO 
kg/ha</v>
      </c>
      <c r="G2" s="38" t="str">
        <f>Secanim!G30</f>
        <v>kg/ha</v>
      </c>
      <c r="H2" s="38" t="str">
        <f>Secanim!H30</f>
        <v>kg/ha</v>
      </c>
      <c r="I2" s="38" t="str">
        <f>Secanim!I30</f>
        <v>kg/ha</v>
      </c>
      <c r="J2" s="38" t="str">
        <f>Secanim!J30</f>
        <v>kg/ha</v>
      </c>
      <c r="K2" s="38" t="str">
        <f>Secanim!K30</f>
        <v>kg/ha</v>
      </c>
      <c r="L2" s="38" t="str">
        <f>Secanim!L30</f>
        <v>kg/ha</v>
      </c>
      <c r="M2" s="38" t="str">
        <f>Secanim!M30</f>
        <v>kg/ha</v>
      </c>
      <c r="N2" s="38" t="str">
        <f>Secanim!N30</f>
        <v>kg/ha</v>
      </c>
      <c r="O2" s="38" t="str">
        <f>Secanim!O30</f>
        <v>kg/ha</v>
      </c>
      <c r="P2" s="38" t="str">
        <f>Secanim!P30</f>
        <v>kg/ha</v>
      </c>
      <c r="Q2" s="38" t="str">
        <f>Secanim!Q30</f>
        <v>kg/ha</v>
      </c>
      <c r="R2" s="38" t="str">
        <f>Secanim!R30</f>
        <v>kg/ha</v>
      </c>
      <c r="S2" s="38" t="str">
        <f>Secanim!S30</f>
        <v>kg/ha</v>
      </c>
      <c r="T2" s="38" t="str">
        <f>Secanim!T30</f>
        <v>kg/ha</v>
      </c>
      <c r="U2" s="38" t="str">
        <f>Secanim!U30</f>
        <v>kg/ha</v>
      </c>
    </row>
    <row r="3" spans="1:21" x14ac:dyDescent="0.2">
      <c r="A3" s="36">
        <v>1</v>
      </c>
      <c r="B3" s="33">
        <f>Secanim!B31</f>
        <v>32</v>
      </c>
      <c r="C3" s="33">
        <f>Secanim!C31</f>
        <v>96</v>
      </c>
      <c r="D3" s="33">
        <f>Secanim!D31</f>
        <v>63.341567999999995</v>
      </c>
      <c r="E3" s="33">
        <f>Secanim!E31</f>
        <v>20.128320000000002</v>
      </c>
      <c r="F3" s="33">
        <f>Secanim!F31</f>
        <v>3.3372223999999999</v>
      </c>
      <c r="G3" s="33">
        <f>Secanim!G31</f>
        <v>7.4880000000000002E-2</v>
      </c>
      <c r="H3" s="33">
        <f>Secanim!H31</f>
        <v>1.8208</v>
      </c>
      <c r="I3" s="33">
        <f>Secanim!I31</f>
        <v>0.10272000000000001</v>
      </c>
      <c r="J3" s="33">
        <f>Secanim!J31</f>
        <v>1.6000000000000001E-3</v>
      </c>
      <c r="K3" s="33">
        <f>Secanim!K31</f>
        <v>1.6000000000000001E-3</v>
      </c>
      <c r="L3" s="33">
        <f>Secanim!L31</f>
        <v>2.4960000000000003E-2</v>
      </c>
      <c r="M3" s="33">
        <f>Secanim!M31</f>
        <v>2.9760000000000002E-2</v>
      </c>
      <c r="N3" s="33">
        <f>Secanim!N31</f>
        <v>0</v>
      </c>
      <c r="O3" s="33">
        <f>Secanim!O31</f>
        <v>0</v>
      </c>
      <c r="P3" s="33">
        <f>Secanim!P31</f>
        <v>48.864000000000004</v>
      </c>
      <c r="Q3" s="33">
        <f>Secanim!Q31</f>
        <v>71.52</v>
      </c>
      <c r="R3" s="33">
        <f>Secanim!R31</f>
        <v>0</v>
      </c>
      <c r="S3" s="33">
        <f>Secanim!S31</f>
        <v>0</v>
      </c>
      <c r="T3" s="33">
        <f>Secanim!T31</f>
        <v>0</v>
      </c>
      <c r="U3" s="33">
        <f>Secanim!U31</f>
        <v>0</v>
      </c>
    </row>
    <row r="4" spans="1:21" x14ac:dyDescent="0.2">
      <c r="A4" s="36">
        <v>2</v>
      </c>
      <c r="B4" s="33">
        <f>'Croda Goole'!B31</f>
        <v>132</v>
      </c>
      <c r="C4" s="33">
        <f>'Croda Goole'!C31</f>
        <v>92.4</v>
      </c>
      <c r="D4" s="33">
        <f>'Croda Goole'!D31</f>
        <v>63.204107999999991</v>
      </c>
      <c r="E4" s="33">
        <f>'Croda Goole'!E31</f>
        <v>10.736550000000001</v>
      </c>
      <c r="F4" s="33">
        <f>'Croda Goole'!F31</f>
        <v>5.5370567999999993</v>
      </c>
      <c r="G4" s="33">
        <f>'Croda Goole'!G31</f>
        <v>6.2039999999999998E-2</v>
      </c>
      <c r="H4" s="33">
        <f>'Croda Goole'!H31</f>
        <v>0.93588000000000005</v>
      </c>
      <c r="I4" s="33">
        <f>'Croda Goole'!I31</f>
        <v>6.6000000000000003E-2</v>
      </c>
      <c r="J4" s="33">
        <f>'Croda Goole'!J31</f>
        <v>1.3200000000000002E-3</v>
      </c>
      <c r="K4" s="33">
        <f>'Croda Goole'!K31</f>
        <v>6.6E-3</v>
      </c>
      <c r="L4" s="33">
        <f>'Croda Goole'!L31</f>
        <v>3.0360000000000002E-2</v>
      </c>
      <c r="M4" s="33">
        <f>'Croda Goole'!M31</f>
        <v>0.26400000000000001</v>
      </c>
      <c r="N4" s="33">
        <f>'Croda Goole'!N31</f>
        <v>0</v>
      </c>
      <c r="O4" s="33">
        <f>'Croda Goole'!O31</f>
        <v>0</v>
      </c>
      <c r="P4" s="33">
        <f>'Croda Goole'!P31</f>
        <v>372.108</v>
      </c>
      <c r="Q4" s="33">
        <f>'Croda Goole'!Q31</f>
        <v>420.75</v>
      </c>
      <c r="R4" s="33">
        <f>'Croda Goole'!R31</f>
        <v>0</v>
      </c>
      <c r="S4" s="33">
        <f>'Croda Goole'!S31</f>
        <v>0</v>
      </c>
      <c r="T4" s="33">
        <f>'Croda Goole'!T31</f>
        <v>0</v>
      </c>
      <c r="U4" s="33">
        <f>'Croda Goole'!U31</f>
        <v>0</v>
      </c>
    </row>
    <row r="5" spans="1:21" x14ac:dyDescent="0.2">
      <c r="A5" s="36">
        <v>3</v>
      </c>
      <c r="B5" s="33">
        <f>'Croda Widnes'!B31</f>
        <v>130</v>
      </c>
      <c r="C5" s="33">
        <f>'Croda Widnes'!C31</f>
        <v>143</v>
      </c>
      <c r="D5" s="33">
        <f>'Croda Widnes'!D31</f>
        <v>49.141949999999994</v>
      </c>
      <c r="E5" s="33">
        <f>'Croda Widnes'!E31</f>
        <v>14.615445000000001</v>
      </c>
      <c r="F5" s="33">
        <f>'Croda Widnes'!F31</f>
        <v>17.221646000000003</v>
      </c>
      <c r="G5" s="33">
        <f>'Croda Widnes'!G31</f>
        <v>8.8919999999999999E-2</v>
      </c>
      <c r="H5" s="33">
        <f>'Croda Widnes'!H31</f>
        <v>0.49269999999999997</v>
      </c>
      <c r="I5" s="33">
        <f>'Croda Widnes'!I31</f>
        <v>6.5000000000000002E-2</v>
      </c>
      <c r="J5" s="33">
        <f>'Croda Widnes'!J31</f>
        <v>1.3000000000000002E-3</v>
      </c>
      <c r="K5" s="33">
        <f>'Croda Widnes'!K31</f>
        <v>6.5000000000000006E-3</v>
      </c>
      <c r="L5" s="33">
        <f>'Croda Widnes'!L31</f>
        <v>2.6000000000000002E-2</v>
      </c>
      <c r="M5" s="33">
        <f>'Croda Widnes'!M31</f>
        <v>2.9380000000000003E-2</v>
      </c>
      <c r="N5" s="33">
        <f>'Croda Widnes'!N31</f>
        <v>0</v>
      </c>
      <c r="O5" s="33">
        <f>'Croda Widnes'!O31</f>
        <v>0</v>
      </c>
      <c r="P5" s="33">
        <f>'Croda Widnes'!P31</f>
        <v>43.68</v>
      </c>
      <c r="Q5" s="33">
        <f>'Croda Widnes'!Q31</f>
        <v>63.375</v>
      </c>
      <c r="R5" s="33">
        <f>'Croda Widnes'!R31</f>
        <v>0</v>
      </c>
      <c r="S5" s="33">
        <f>'Croda Widnes'!S31</f>
        <v>0</v>
      </c>
      <c r="T5" s="33">
        <f>'Croda Widnes'!T31</f>
        <v>0</v>
      </c>
      <c r="U5" s="33">
        <f>'Croda Widnes'!U31</f>
        <v>0</v>
      </c>
    </row>
    <row r="6" spans="1:21" x14ac:dyDescent="0.2">
      <c r="A6" s="36">
        <v>4</v>
      </c>
      <c r="B6" s="33">
        <f>Maelor!B31</f>
        <v>39</v>
      </c>
      <c r="C6" s="33">
        <f>Maelor!C31</f>
        <v>132.60000000000002</v>
      </c>
      <c r="D6" s="33">
        <f>Maelor!D31</f>
        <v>63.705836999999995</v>
      </c>
      <c r="E6" s="33">
        <f>Maelor!E31</f>
        <v>8.0361450000000012</v>
      </c>
      <c r="F6" s="33">
        <f>Maelor!F31</f>
        <v>11.121864</v>
      </c>
      <c r="G6" s="33">
        <f>Maelor!G31</f>
        <v>0.12909000000000001</v>
      </c>
      <c r="H6" s="33">
        <f>Maelor!H31</f>
        <v>0.71760000000000002</v>
      </c>
      <c r="I6" s="33">
        <f>Maelor!I31</f>
        <v>1.95E-2</v>
      </c>
      <c r="J6" s="33">
        <f>Maelor!J31</f>
        <v>3.9000000000000005E-4</v>
      </c>
      <c r="K6" s="33">
        <f>Maelor!K31</f>
        <v>1.9500000000000001E-3</v>
      </c>
      <c r="L6" s="33">
        <f>Maelor!L31</f>
        <v>5.3430000000000005E-2</v>
      </c>
      <c r="M6" s="33">
        <f>Maelor!M31</f>
        <v>3.5100000000000006E-2</v>
      </c>
      <c r="N6" s="33">
        <f>Maelor!N31</f>
        <v>0</v>
      </c>
      <c r="O6" s="33">
        <f>Maelor!O31</f>
        <v>0</v>
      </c>
      <c r="P6" s="33">
        <f>Maelor!P31</f>
        <v>33.384</v>
      </c>
      <c r="Q6" s="33">
        <f>Maelor!Q31</f>
        <v>51.3825</v>
      </c>
      <c r="R6" s="33">
        <f>Maelor!R31</f>
        <v>0</v>
      </c>
      <c r="S6" s="33">
        <f>Maelor!S31</f>
        <v>0</v>
      </c>
      <c r="T6" s="33">
        <f>Maelor!T31</f>
        <v>0</v>
      </c>
      <c r="U6" s="33">
        <f>Maelor!U31</f>
        <v>0</v>
      </c>
    </row>
    <row r="7" spans="1:21" x14ac:dyDescent="0.2">
      <c r="A7" s="36">
        <v>5</v>
      </c>
      <c r="B7" s="33">
        <f>Encirc!B31</f>
        <v>0</v>
      </c>
      <c r="C7" s="33">
        <f>Encirc!C31</f>
        <v>0</v>
      </c>
      <c r="D7" s="33">
        <f>Encirc!D31</f>
        <v>0</v>
      </c>
      <c r="E7" s="33">
        <f>Encirc!E31</f>
        <v>0</v>
      </c>
      <c r="F7" s="33">
        <f>Encirc!F31</f>
        <v>0</v>
      </c>
      <c r="G7" s="33">
        <f>Encirc!G31</f>
        <v>0</v>
      </c>
      <c r="H7" s="33">
        <f>Encirc!H31</f>
        <v>0</v>
      </c>
      <c r="I7" s="33">
        <f>Encirc!I31</f>
        <v>0</v>
      </c>
      <c r="J7" s="33">
        <f>Encirc!J31</f>
        <v>0</v>
      </c>
      <c r="K7" s="33">
        <f>Encirc!K31</f>
        <v>0</v>
      </c>
      <c r="L7" s="33">
        <f>Encirc!L31</f>
        <v>0</v>
      </c>
      <c r="M7" s="33">
        <f>Encirc!M31</f>
        <v>0</v>
      </c>
      <c r="N7" s="33">
        <f>Encirc!N31</f>
        <v>0</v>
      </c>
      <c r="O7" s="33">
        <f>Encirc!O31</f>
        <v>0</v>
      </c>
      <c r="P7" s="33">
        <f>Encirc!P31</f>
        <v>0</v>
      </c>
      <c r="Q7" s="33">
        <f>Encirc!Q31</f>
        <v>0</v>
      </c>
      <c r="R7" s="33">
        <f>Encirc!R31</f>
        <v>0</v>
      </c>
      <c r="S7" s="33">
        <f>Encirc!S31</f>
        <v>0</v>
      </c>
      <c r="T7" s="33">
        <f>Encirc!T31</f>
        <v>0</v>
      </c>
      <c r="U7" s="33">
        <f>Encirc!U31</f>
        <v>0</v>
      </c>
    </row>
    <row r="8" spans="1:21" x14ac:dyDescent="0.2">
      <c r="A8" s="36">
        <v>6</v>
      </c>
      <c r="B8" s="33">
        <f>'Beechdean Ice Cream'!B31</f>
        <v>250</v>
      </c>
      <c r="C8" s="33">
        <f>'Beechdean Ice Cream'!C31</f>
        <v>50</v>
      </c>
      <c r="D8" s="33">
        <f>'Beechdean Ice Cream'!D31</f>
        <v>27.7211</v>
      </c>
      <c r="E8" s="33">
        <f>'Beechdean Ice Cream'!E31</f>
        <v>28.227125000000001</v>
      </c>
      <c r="F8" s="33">
        <f>'Beechdean Ice Cream'!F31</f>
        <v>4.3936999999999999</v>
      </c>
      <c r="G8" s="33">
        <f>'Beechdean Ice Cream'!G31</f>
        <v>6.25E-2</v>
      </c>
      <c r="H8" s="33">
        <f>'Beechdean Ice Cream'!H31</f>
        <v>0.13500000000000001</v>
      </c>
      <c r="I8" s="33">
        <f>'Beechdean Ice Cream'!I31</f>
        <v>0.125</v>
      </c>
      <c r="J8" s="33">
        <f>'Beechdean Ice Cream'!J31</f>
        <v>2.5000000000000001E-3</v>
      </c>
      <c r="K8" s="33">
        <f>'Beechdean Ice Cream'!K31</f>
        <v>1.2500000000000001E-2</v>
      </c>
      <c r="L8" s="33">
        <f>'Beechdean Ice Cream'!L31</f>
        <v>0.05</v>
      </c>
      <c r="M8" s="33">
        <f>'Beechdean Ice Cream'!M31</f>
        <v>0.05</v>
      </c>
      <c r="N8" s="33">
        <f>'Beechdean Ice Cream'!N31</f>
        <v>0</v>
      </c>
      <c r="O8" s="33">
        <f>'Beechdean Ice Cream'!O31</f>
        <v>0</v>
      </c>
      <c r="P8" s="33">
        <f>'Beechdean Ice Cream'!P31</f>
        <v>60.75</v>
      </c>
      <c r="Q8" s="33">
        <f>'Beechdean Ice Cream'!Q31</f>
        <v>23.125</v>
      </c>
      <c r="R8" s="33">
        <f>'Beechdean Ice Cream'!R31</f>
        <v>0</v>
      </c>
      <c r="S8" s="33">
        <f>'Beechdean Ice Cream'!S31</f>
        <v>0</v>
      </c>
      <c r="T8" s="33">
        <f>'Beechdean Ice Cream'!T31</f>
        <v>0</v>
      </c>
      <c r="U8" s="33">
        <f>'Beechdean Ice Cream'!U31</f>
        <v>0</v>
      </c>
    </row>
    <row r="9" spans="1:21" x14ac:dyDescent="0.2">
      <c r="A9" s="36">
        <v>7</v>
      </c>
      <c r="B9" s="33">
        <f>'Penderyn Distillery'!B31</f>
        <v>142</v>
      </c>
      <c r="C9" s="33">
        <f>'Penderyn Distillery'!C31</f>
        <v>99.4</v>
      </c>
      <c r="D9" s="33">
        <f>'Penderyn Distillery'!D31</f>
        <v>64.413755999999992</v>
      </c>
      <c r="E9" s="33">
        <f>'Penderyn Distillery'!E31</f>
        <v>85.726110000000006</v>
      </c>
      <c r="F9" s="33">
        <f>'Penderyn Distillery'!F31</f>
        <v>16.433432799999999</v>
      </c>
      <c r="G9" s="33">
        <f>'Penderyn Distillery'!G31</f>
        <v>0.67024000000000006</v>
      </c>
      <c r="H9" s="33">
        <f>'Penderyn Distillery'!H31</f>
        <v>0.28684000000000004</v>
      </c>
      <c r="I9" s="33">
        <f>'Penderyn Distillery'!I31</f>
        <v>7.1000000000000008E-2</v>
      </c>
      <c r="J9" s="33">
        <f>'Penderyn Distillery'!J31</f>
        <v>1.42E-3</v>
      </c>
      <c r="K9" s="33">
        <f>'Penderyn Distillery'!K31</f>
        <v>7.1000000000000004E-3</v>
      </c>
      <c r="L9" s="33">
        <f>'Penderyn Distillery'!L31</f>
        <v>2.8400000000000002E-2</v>
      </c>
      <c r="M9" s="33">
        <f>'Penderyn Distillery'!M31</f>
        <v>2.8400000000000002E-2</v>
      </c>
      <c r="N9" s="33">
        <f>'Penderyn Distillery'!N31</f>
        <v>0</v>
      </c>
      <c r="O9" s="33">
        <f>'Penderyn Distillery'!O31</f>
        <v>0</v>
      </c>
      <c r="P9" s="33">
        <f>'Penderyn Distillery'!P31</f>
        <v>3.7345999999999999</v>
      </c>
      <c r="Q9" s="33">
        <f>'Penderyn Distillery'!Q31</f>
        <v>32.0565</v>
      </c>
      <c r="R9" s="33">
        <f>'Penderyn Distillery'!R31</f>
        <v>0</v>
      </c>
      <c r="S9" s="33">
        <f>'Penderyn Distillery'!S31</f>
        <v>0</v>
      </c>
      <c r="T9" s="33">
        <f>'Penderyn Distillery'!T31</f>
        <v>0</v>
      </c>
      <c r="U9" s="33">
        <f>'Penderyn Distillery'!U31</f>
        <v>0</v>
      </c>
    </row>
    <row r="10" spans="1:21" x14ac:dyDescent="0.2">
      <c r="A10" s="36">
        <v>8</v>
      </c>
      <c r="B10" s="33">
        <f>Kelloggs!B31</f>
        <v>52</v>
      </c>
      <c r="C10" s="33">
        <f>Kelloggs!C31</f>
        <v>166.4</v>
      </c>
      <c r="D10" s="33">
        <f>Kelloggs!D31</f>
        <v>62.663432</v>
      </c>
      <c r="E10" s="33">
        <f>Kelloggs!E31</f>
        <v>15.790319999999999</v>
      </c>
      <c r="F10" s="33">
        <f>Kelloggs!F31</f>
        <v>5.5609320000000002</v>
      </c>
      <c r="G10" s="33">
        <f>Kelloggs!G31</f>
        <v>6.291999999999999E-2</v>
      </c>
      <c r="H10" s="33">
        <f>Kelloggs!H31</f>
        <v>0.12116</v>
      </c>
      <c r="I10" s="33">
        <f>Kelloggs!I31</f>
        <v>2.6000000000000002E-2</v>
      </c>
      <c r="J10" s="33">
        <f>Kelloggs!J31</f>
        <v>5.2000000000000006E-4</v>
      </c>
      <c r="K10" s="33">
        <f>Kelloggs!K31</f>
        <v>2.6000000000000003E-3</v>
      </c>
      <c r="L10" s="33">
        <f>Kelloggs!L31</f>
        <v>1.0400000000000001E-2</v>
      </c>
      <c r="M10" s="33">
        <f>Kelloggs!M31</f>
        <v>2.4596E-2</v>
      </c>
      <c r="N10" s="33">
        <f>Kelloggs!N31</f>
        <v>0</v>
      </c>
      <c r="O10" s="33">
        <f>Kelloggs!O31</f>
        <v>0</v>
      </c>
      <c r="P10" s="33">
        <f>Kelloggs!P31</f>
        <v>3.2084000000000001</v>
      </c>
      <c r="Q10" s="33">
        <f>Kelloggs!Q31</f>
        <v>23.009999999999998</v>
      </c>
      <c r="R10" s="33">
        <f>Kelloggs!R31</f>
        <v>0</v>
      </c>
      <c r="S10" s="33">
        <f>Kelloggs!S31</f>
        <v>0</v>
      </c>
      <c r="T10" s="33">
        <f>Kelloggs!T31</f>
        <v>0</v>
      </c>
      <c r="U10" s="33">
        <f>Kelloggs!U31</f>
        <v>0</v>
      </c>
    </row>
    <row r="11" spans="1:21" x14ac:dyDescent="0.2">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75" x14ac:dyDescent="0.25">
      <c r="A13" s="80" t="s">
        <v>85</v>
      </c>
      <c r="B13" s="81">
        <f>SUM(B3:B12)</f>
        <v>777</v>
      </c>
      <c r="C13" s="81">
        <f t="shared" ref="C13:U13" si="0">SUM(C3:C12)</f>
        <v>779.8</v>
      </c>
      <c r="D13" s="81">
        <f t="shared" si="0"/>
        <v>394.19175099999995</v>
      </c>
      <c r="E13" s="81">
        <f t="shared" si="0"/>
        <v>183.26001500000001</v>
      </c>
      <c r="F13" s="81">
        <f t="shared" si="0"/>
        <v>63.605854000000008</v>
      </c>
      <c r="G13" s="81">
        <f t="shared" si="0"/>
        <v>1.1505900000000002</v>
      </c>
      <c r="H13" s="81">
        <f t="shared" si="0"/>
        <v>4.5099799999999997</v>
      </c>
      <c r="I13" s="81">
        <f t="shared" si="0"/>
        <v>0.47522000000000003</v>
      </c>
      <c r="J13" s="81">
        <f t="shared" si="0"/>
        <v>9.049999999999999E-3</v>
      </c>
      <c r="K13" s="81">
        <f t="shared" si="0"/>
        <v>3.8850000000000003E-2</v>
      </c>
      <c r="L13" s="81">
        <f t="shared" si="0"/>
        <v>0.22355000000000003</v>
      </c>
      <c r="M13" s="81">
        <f t="shared" si="0"/>
        <v>0.46123600000000003</v>
      </c>
      <c r="N13" s="81">
        <f t="shared" si="0"/>
        <v>0</v>
      </c>
      <c r="O13" s="81">
        <f t="shared" si="0"/>
        <v>0</v>
      </c>
      <c r="P13" s="81">
        <f t="shared" si="0"/>
        <v>565.72900000000004</v>
      </c>
      <c r="Q13" s="81">
        <f t="shared" si="0"/>
        <v>685.21900000000005</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79"/>
    <col min="3" max="3" width="11" style="79" customWidth="1"/>
    <col min="4" max="4" width="9.140625" style="79"/>
    <col min="5" max="5" width="9.7109375" style="79" customWidth="1"/>
    <col min="6" max="14" width="9.140625" style="79"/>
    <col min="15" max="15" width="9.7109375" style="79" bestFit="1" customWidth="1"/>
    <col min="16" max="20" width="9.140625" style="79"/>
    <col min="21" max="21" width="10" style="79" bestFit="1" customWidth="1"/>
    <col min="22" max="16384" width="9.140625" style="79"/>
  </cols>
  <sheetData>
    <row r="1" spans="1:22" s="83" customFormat="1" ht="38.25" x14ac:dyDescent="0.25">
      <c r="A1" s="145" t="s">
        <v>84</v>
      </c>
      <c r="B1" s="34" t="s">
        <v>152</v>
      </c>
      <c r="C1" s="35" t="str">
        <f>Secanim!B29</f>
        <v>Application Rate</v>
      </c>
      <c r="D1" s="35" t="str">
        <f>Secanim!C29</f>
        <v>Nitrogen Addition</v>
      </c>
      <c r="E1" s="35" t="str">
        <f>Secanim!D29</f>
        <v>Phosphate Addition</v>
      </c>
      <c r="F1" s="35" t="str">
        <f>Secanim!E29</f>
        <v>Potash  Addition</v>
      </c>
      <c r="G1" s="35" t="str">
        <f>Secanim!F29</f>
        <v>Mg Oxide Addition</v>
      </c>
      <c r="H1" s="35" t="str">
        <f>Secanim!G29</f>
        <v>Copper Addition</v>
      </c>
      <c r="I1" s="35" t="str">
        <f>Secanim!H29</f>
        <v>Zinc Addition</v>
      </c>
      <c r="J1" s="35" t="str">
        <f>Secanim!I29</f>
        <v>Lead Addition</v>
      </c>
      <c r="K1" s="35" t="str">
        <f>Secanim!J29</f>
        <v>Cadmium Addition</v>
      </c>
      <c r="L1" s="35" t="str">
        <f>Secanim!K29</f>
        <v>Mercury Addition</v>
      </c>
      <c r="M1" s="35" t="str">
        <f>Secanim!L29</f>
        <v>Nickel Addition</v>
      </c>
      <c r="N1" s="35" t="str">
        <f>Secanim!M29</f>
        <v>Chromium Addition</v>
      </c>
      <c r="O1" s="35" t="str">
        <f>Secanim!N29</f>
        <v>Aluminium Addition</v>
      </c>
      <c r="P1" s="35" t="str">
        <f>Secanim!O29</f>
        <v>Iron Addition</v>
      </c>
      <c r="Q1" s="35" t="str">
        <f>Secanim!P29</f>
        <v xml:space="preserve">Sodium Addition                 </v>
      </c>
      <c r="R1" s="35" t="str">
        <f>Secanim!Q29</f>
        <v>SO3  Addition                             kg/ha</v>
      </c>
      <c r="S1" s="35" t="str">
        <f>Secanim!R29</f>
        <v xml:space="preserve">Selenium Addition </v>
      </c>
      <c r="T1" s="35" t="str">
        <f>Secanim!S29</f>
        <v xml:space="preserve">Arsenic  Addition  </v>
      </c>
      <c r="U1" s="35" t="str">
        <f>Secanim!T29</f>
        <v xml:space="preserve">Molybdenum Addition  </v>
      </c>
      <c r="V1" s="35" t="str">
        <f>Secanim!U29</f>
        <v xml:space="preserve">Fluoride Addition </v>
      </c>
    </row>
    <row r="2" spans="1:22" s="83" customFormat="1" ht="25.5" x14ac:dyDescent="0.25">
      <c r="A2" s="145"/>
      <c r="B2" s="32" t="s">
        <v>46</v>
      </c>
      <c r="C2" s="35" t="str">
        <f>Secanim!B30</f>
        <v>tonnes/ha</v>
      </c>
      <c r="D2" s="35" t="str">
        <f>Secanim!C30</f>
        <v>kg/ha</v>
      </c>
      <c r="E2" s="35" t="str">
        <f>Secanim!D30</f>
        <v>P2O5 
kg/ha</v>
      </c>
      <c r="F2" s="35" t="str">
        <f>Secanim!E30</f>
        <v>K2O 
kg/ha</v>
      </c>
      <c r="G2" s="35" t="str">
        <f>Secanim!F30</f>
        <v>MgO 
kg/ha</v>
      </c>
      <c r="H2" s="35" t="str">
        <f>Secanim!G30</f>
        <v>kg/ha</v>
      </c>
      <c r="I2" s="35" t="str">
        <f>Secanim!H30</f>
        <v>kg/ha</v>
      </c>
      <c r="J2" s="35" t="str">
        <f>Secanim!I30</f>
        <v>kg/ha</v>
      </c>
      <c r="K2" s="35" t="str">
        <f>Secanim!J30</f>
        <v>kg/ha</v>
      </c>
      <c r="L2" s="35" t="str">
        <f>Secanim!K30</f>
        <v>kg/ha</v>
      </c>
      <c r="M2" s="35" t="str">
        <f>Secanim!L30</f>
        <v>kg/ha</v>
      </c>
      <c r="N2" s="35" t="str">
        <f>Secanim!M30</f>
        <v>kg/ha</v>
      </c>
      <c r="O2" s="35" t="str">
        <f>Secanim!N30</f>
        <v>kg/ha</v>
      </c>
      <c r="P2" s="35" t="str">
        <f>Secanim!O30</f>
        <v>kg/ha</v>
      </c>
      <c r="Q2" s="35" t="str">
        <f>Secanim!P30</f>
        <v>kg/ha</v>
      </c>
      <c r="R2" s="35" t="str">
        <f>Secanim!Q30</f>
        <v>kg/ha</v>
      </c>
      <c r="S2" s="35" t="str">
        <f>Secanim!R30</f>
        <v>kg/ha</v>
      </c>
      <c r="T2" s="35" t="str">
        <f>Secanim!S30</f>
        <v>kg/ha</v>
      </c>
      <c r="U2" s="35" t="str">
        <f>Secanim!T30</f>
        <v>kg/ha</v>
      </c>
      <c r="V2" s="35" t="str">
        <f>Secanim!U30</f>
        <v>kg/ha</v>
      </c>
    </row>
    <row r="3" spans="1:22" x14ac:dyDescent="0.2">
      <c r="A3" s="36">
        <v>1</v>
      </c>
      <c r="B3" s="91"/>
      <c r="C3" s="33">
        <f>Secanim!B31</f>
        <v>32</v>
      </c>
      <c r="D3" s="33">
        <f>Secanim!C31</f>
        <v>96</v>
      </c>
      <c r="E3" s="33">
        <f>Secanim!D31</f>
        <v>63.341567999999995</v>
      </c>
      <c r="F3" s="33">
        <f>Secanim!E31</f>
        <v>20.128320000000002</v>
      </c>
      <c r="G3" s="33">
        <f>Secanim!F31</f>
        <v>3.3372223999999999</v>
      </c>
      <c r="H3" s="33">
        <f>Secanim!G31</f>
        <v>7.4880000000000002E-2</v>
      </c>
      <c r="I3" s="33">
        <f>Secanim!H31</f>
        <v>1.8208</v>
      </c>
      <c r="J3" s="33">
        <f>Secanim!I31</f>
        <v>0.10272000000000001</v>
      </c>
      <c r="K3" s="33">
        <f>Secanim!J31</f>
        <v>1.6000000000000001E-3</v>
      </c>
      <c r="L3" s="33">
        <f>Secanim!K31</f>
        <v>1.6000000000000001E-3</v>
      </c>
      <c r="M3" s="33">
        <f>Secanim!L31</f>
        <v>2.4960000000000003E-2</v>
      </c>
      <c r="N3" s="33">
        <f>Secanim!M31</f>
        <v>2.9760000000000002E-2</v>
      </c>
      <c r="O3" s="33">
        <f>Secanim!N31</f>
        <v>0</v>
      </c>
      <c r="P3" s="33">
        <f>Secanim!O31</f>
        <v>0</v>
      </c>
      <c r="Q3" s="33">
        <f>Secanim!P31</f>
        <v>48.864000000000004</v>
      </c>
      <c r="R3" s="33">
        <f>Secanim!Q31</f>
        <v>71.52</v>
      </c>
      <c r="S3" s="33">
        <f>Secanim!R31</f>
        <v>0</v>
      </c>
      <c r="T3" s="33">
        <f>Secanim!S31</f>
        <v>0</v>
      </c>
      <c r="U3" s="33">
        <f>Secanim!T31</f>
        <v>0</v>
      </c>
      <c r="V3" s="33">
        <f>Secanim!U31</f>
        <v>0</v>
      </c>
    </row>
    <row r="4" spans="1:22" x14ac:dyDescent="0.2">
      <c r="A4" s="36">
        <v>2</v>
      </c>
      <c r="B4" s="91"/>
      <c r="C4" s="33">
        <f>'Croda Goole'!B31</f>
        <v>132</v>
      </c>
      <c r="D4" s="33">
        <f>'Croda Goole'!C31</f>
        <v>92.4</v>
      </c>
      <c r="E4" s="33">
        <f>'Croda Goole'!D31</f>
        <v>63.204107999999991</v>
      </c>
      <c r="F4" s="33">
        <f>'Croda Goole'!E31</f>
        <v>10.736550000000001</v>
      </c>
      <c r="G4" s="33">
        <f>'Croda Goole'!F31</f>
        <v>5.5370567999999993</v>
      </c>
      <c r="H4" s="33">
        <f>'Croda Goole'!G31</f>
        <v>6.2039999999999998E-2</v>
      </c>
      <c r="I4" s="33">
        <f>'Croda Goole'!H31</f>
        <v>0.93588000000000005</v>
      </c>
      <c r="J4" s="33">
        <f>'Croda Goole'!I31</f>
        <v>6.6000000000000003E-2</v>
      </c>
      <c r="K4" s="33">
        <f>'Croda Goole'!J31</f>
        <v>1.3200000000000002E-3</v>
      </c>
      <c r="L4" s="33">
        <f>'Croda Goole'!K31</f>
        <v>6.6E-3</v>
      </c>
      <c r="M4" s="33">
        <f>'Croda Goole'!L31</f>
        <v>3.0360000000000002E-2</v>
      </c>
      <c r="N4" s="33">
        <f>'Croda Goole'!M31</f>
        <v>0.26400000000000001</v>
      </c>
      <c r="O4" s="33">
        <f>'Croda Goole'!N31</f>
        <v>0</v>
      </c>
      <c r="P4" s="33">
        <f>'Croda Goole'!O31</f>
        <v>0</v>
      </c>
      <c r="Q4" s="33">
        <f>'Croda Goole'!P31</f>
        <v>372.108</v>
      </c>
      <c r="R4" s="33">
        <f>'Croda Goole'!Q31</f>
        <v>420.75</v>
      </c>
      <c r="S4" s="33">
        <f>'Croda Goole'!R31</f>
        <v>0</v>
      </c>
      <c r="T4" s="33">
        <f>'Croda Goole'!S31</f>
        <v>0</v>
      </c>
      <c r="U4" s="33">
        <f>'Croda Goole'!T31</f>
        <v>0</v>
      </c>
      <c r="V4" s="33">
        <f>'Croda Goole'!U31</f>
        <v>0</v>
      </c>
    </row>
    <row r="5" spans="1:22" x14ac:dyDescent="0.2">
      <c r="A5" s="36">
        <v>3</v>
      </c>
      <c r="B5" s="91"/>
      <c r="C5" s="33">
        <f>'Croda Widnes'!B31</f>
        <v>130</v>
      </c>
      <c r="D5" s="33">
        <f>'Croda Widnes'!C31</f>
        <v>143</v>
      </c>
      <c r="E5" s="33">
        <f>'Croda Widnes'!D31</f>
        <v>49.141949999999994</v>
      </c>
      <c r="F5" s="33">
        <f>'Croda Widnes'!E31</f>
        <v>14.615445000000001</v>
      </c>
      <c r="G5" s="33">
        <f>'Croda Widnes'!F31</f>
        <v>17.221646000000003</v>
      </c>
      <c r="H5" s="33">
        <f>'Croda Widnes'!G31</f>
        <v>8.8919999999999999E-2</v>
      </c>
      <c r="I5" s="33">
        <f>'Croda Widnes'!H31</f>
        <v>0.49269999999999997</v>
      </c>
      <c r="J5" s="33">
        <f>'Croda Widnes'!I31</f>
        <v>6.5000000000000002E-2</v>
      </c>
      <c r="K5" s="33">
        <f>'Croda Widnes'!J31</f>
        <v>1.3000000000000002E-3</v>
      </c>
      <c r="L5" s="33">
        <f>'Croda Widnes'!K31</f>
        <v>6.5000000000000006E-3</v>
      </c>
      <c r="M5" s="33">
        <f>'Croda Widnes'!L31</f>
        <v>2.6000000000000002E-2</v>
      </c>
      <c r="N5" s="33">
        <f>'Croda Widnes'!M31</f>
        <v>2.9380000000000003E-2</v>
      </c>
      <c r="O5" s="33">
        <f>'Croda Widnes'!N31</f>
        <v>0</v>
      </c>
      <c r="P5" s="33">
        <f>'Croda Widnes'!O31</f>
        <v>0</v>
      </c>
      <c r="Q5" s="33">
        <f>'Croda Widnes'!P31</f>
        <v>43.68</v>
      </c>
      <c r="R5" s="33">
        <f>'Croda Widnes'!Q31</f>
        <v>63.375</v>
      </c>
      <c r="S5" s="33">
        <f>'Croda Widnes'!R31</f>
        <v>0</v>
      </c>
      <c r="T5" s="33">
        <f>'Croda Widnes'!S31</f>
        <v>0</v>
      </c>
      <c r="U5" s="33">
        <f>'Croda Widnes'!T31</f>
        <v>0</v>
      </c>
      <c r="V5" s="33">
        <f>'Croda Widnes'!U31</f>
        <v>0</v>
      </c>
    </row>
    <row r="6" spans="1:22" x14ac:dyDescent="0.2">
      <c r="A6" s="36">
        <v>4</v>
      </c>
      <c r="B6" s="91"/>
      <c r="C6" s="33">
        <f>Maelor!B31</f>
        <v>39</v>
      </c>
      <c r="D6" s="33">
        <f>Maelor!C31</f>
        <v>132.60000000000002</v>
      </c>
      <c r="E6" s="33">
        <f>Maelor!D31</f>
        <v>63.705836999999995</v>
      </c>
      <c r="F6" s="33">
        <f>Maelor!E31</f>
        <v>8.0361450000000012</v>
      </c>
      <c r="G6" s="33">
        <f>Maelor!F31</f>
        <v>11.121864</v>
      </c>
      <c r="H6" s="33">
        <f>Maelor!G31</f>
        <v>0.12909000000000001</v>
      </c>
      <c r="I6" s="33">
        <f>Maelor!H31</f>
        <v>0.71760000000000002</v>
      </c>
      <c r="J6" s="33">
        <f>Maelor!I31</f>
        <v>1.95E-2</v>
      </c>
      <c r="K6" s="33">
        <f>Maelor!J31</f>
        <v>3.9000000000000005E-4</v>
      </c>
      <c r="L6" s="33">
        <f>Maelor!K31</f>
        <v>1.9500000000000001E-3</v>
      </c>
      <c r="M6" s="33">
        <f>Maelor!L31</f>
        <v>5.3430000000000005E-2</v>
      </c>
      <c r="N6" s="33">
        <f>Maelor!M31</f>
        <v>3.5100000000000006E-2</v>
      </c>
      <c r="O6" s="33">
        <f>Maelor!N31</f>
        <v>0</v>
      </c>
      <c r="P6" s="33">
        <f>Maelor!O31</f>
        <v>0</v>
      </c>
      <c r="Q6" s="33">
        <f>Maelor!P31</f>
        <v>33.384</v>
      </c>
      <c r="R6" s="33">
        <f>Maelor!Q31</f>
        <v>51.3825</v>
      </c>
      <c r="S6" s="33">
        <f>Maelor!R31</f>
        <v>0</v>
      </c>
      <c r="T6" s="33">
        <f>Maelor!S31</f>
        <v>0</v>
      </c>
      <c r="U6" s="33">
        <f>Maelor!T31</f>
        <v>0</v>
      </c>
      <c r="V6" s="33">
        <f>Maelor!U31</f>
        <v>0</v>
      </c>
    </row>
    <row r="7" spans="1:22" x14ac:dyDescent="0.2">
      <c r="A7" s="36">
        <v>5</v>
      </c>
      <c r="B7" s="91"/>
      <c r="C7" s="33">
        <f>Encirc!B31</f>
        <v>0</v>
      </c>
      <c r="D7" s="33">
        <f>Encirc!C31</f>
        <v>0</v>
      </c>
      <c r="E7" s="33">
        <f>Encirc!D31</f>
        <v>0</v>
      </c>
      <c r="F7" s="33">
        <f>Encirc!E31</f>
        <v>0</v>
      </c>
      <c r="G7" s="33">
        <f>Encirc!F31</f>
        <v>0</v>
      </c>
      <c r="H7" s="33">
        <f>Encirc!G31</f>
        <v>0</v>
      </c>
      <c r="I7" s="33">
        <f>Encirc!H31</f>
        <v>0</v>
      </c>
      <c r="J7" s="33">
        <f>Encirc!I31</f>
        <v>0</v>
      </c>
      <c r="K7" s="33">
        <f>Encirc!J31</f>
        <v>0</v>
      </c>
      <c r="L7" s="33">
        <f>Encirc!K31</f>
        <v>0</v>
      </c>
      <c r="M7" s="33">
        <f>Encirc!L31</f>
        <v>0</v>
      </c>
      <c r="N7" s="33">
        <f>Encirc!M31</f>
        <v>0</v>
      </c>
      <c r="O7" s="33">
        <f>Encirc!N31</f>
        <v>0</v>
      </c>
      <c r="P7" s="33">
        <f>Encirc!O31</f>
        <v>0</v>
      </c>
      <c r="Q7" s="33">
        <f>Encirc!P31</f>
        <v>0</v>
      </c>
      <c r="R7" s="33">
        <f>Encirc!Q31</f>
        <v>0</v>
      </c>
      <c r="S7" s="33">
        <f>Encirc!R31</f>
        <v>0</v>
      </c>
      <c r="T7" s="33">
        <f>Encirc!S31</f>
        <v>0</v>
      </c>
      <c r="U7" s="33">
        <f>Encirc!T31</f>
        <v>0</v>
      </c>
      <c r="V7" s="33">
        <f>Encirc!U31</f>
        <v>0</v>
      </c>
    </row>
    <row r="8" spans="1:22" x14ac:dyDescent="0.2">
      <c r="A8" s="36">
        <v>6</v>
      </c>
      <c r="B8" s="91"/>
      <c r="C8" s="33">
        <f>'Beechdean Ice Cream'!B31</f>
        <v>250</v>
      </c>
      <c r="D8" s="33">
        <f>'Beechdean Ice Cream'!C31</f>
        <v>50</v>
      </c>
      <c r="E8" s="33">
        <f>'Beechdean Ice Cream'!D31</f>
        <v>27.7211</v>
      </c>
      <c r="F8" s="33">
        <f>'Beechdean Ice Cream'!E31</f>
        <v>28.227125000000001</v>
      </c>
      <c r="G8" s="33">
        <f>'Beechdean Ice Cream'!F31</f>
        <v>4.3936999999999999</v>
      </c>
      <c r="H8" s="33">
        <f>'Beechdean Ice Cream'!G31</f>
        <v>6.25E-2</v>
      </c>
      <c r="I8" s="33">
        <f>'Beechdean Ice Cream'!H31</f>
        <v>0.13500000000000001</v>
      </c>
      <c r="J8" s="33">
        <f>'Beechdean Ice Cream'!I31</f>
        <v>0.125</v>
      </c>
      <c r="K8" s="33">
        <f>'Beechdean Ice Cream'!J31</f>
        <v>2.5000000000000001E-3</v>
      </c>
      <c r="L8" s="33">
        <f>'Beechdean Ice Cream'!K31</f>
        <v>1.2500000000000001E-2</v>
      </c>
      <c r="M8" s="33">
        <f>'Beechdean Ice Cream'!L31</f>
        <v>0.05</v>
      </c>
      <c r="N8" s="33">
        <f>'Beechdean Ice Cream'!M31</f>
        <v>0.05</v>
      </c>
      <c r="O8" s="33">
        <f>'Beechdean Ice Cream'!N31</f>
        <v>0</v>
      </c>
      <c r="P8" s="33">
        <f>'Beechdean Ice Cream'!O31</f>
        <v>0</v>
      </c>
      <c r="Q8" s="33">
        <f>'Beechdean Ice Cream'!P31</f>
        <v>60.75</v>
      </c>
      <c r="R8" s="33">
        <f>'Beechdean Ice Cream'!Q31</f>
        <v>23.125</v>
      </c>
      <c r="S8" s="33">
        <f>'Beechdean Ice Cream'!R31</f>
        <v>0</v>
      </c>
      <c r="T8" s="33">
        <f>'Beechdean Ice Cream'!S31</f>
        <v>0</v>
      </c>
      <c r="U8" s="33">
        <f>'Beechdean Ice Cream'!T31</f>
        <v>0</v>
      </c>
      <c r="V8" s="33">
        <f>'Beechdean Ice Cream'!U31</f>
        <v>0</v>
      </c>
    </row>
    <row r="9" spans="1:22" x14ac:dyDescent="0.2">
      <c r="A9" s="36">
        <v>7</v>
      </c>
      <c r="B9" s="91"/>
      <c r="C9" s="33">
        <f>'Penderyn Distillery'!B31</f>
        <v>142</v>
      </c>
      <c r="D9" s="33">
        <f>'Penderyn Distillery'!C31</f>
        <v>99.4</v>
      </c>
      <c r="E9" s="33">
        <f>'Penderyn Distillery'!D31</f>
        <v>64.413755999999992</v>
      </c>
      <c r="F9" s="33">
        <f>'Penderyn Distillery'!E31</f>
        <v>85.726110000000006</v>
      </c>
      <c r="G9" s="33">
        <f>'Penderyn Distillery'!F31</f>
        <v>16.433432799999999</v>
      </c>
      <c r="H9" s="33">
        <f>'Penderyn Distillery'!G31</f>
        <v>0.67024000000000006</v>
      </c>
      <c r="I9" s="33">
        <f>'Penderyn Distillery'!H31</f>
        <v>0.28684000000000004</v>
      </c>
      <c r="J9" s="33">
        <f>'Penderyn Distillery'!I31</f>
        <v>7.1000000000000008E-2</v>
      </c>
      <c r="K9" s="33">
        <f>'Penderyn Distillery'!J31</f>
        <v>1.42E-3</v>
      </c>
      <c r="L9" s="33">
        <f>'Penderyn Distillery'!K31</f>
        <v>7.1000000000000004E-3</v>
      </c>
      <c r="M9" s="33">
        <f>'Penderyn Distillery'!L31</f>
        <v>2.8400000000000002E-2</v>
      </c>
      <c r="N9" s="33">
        <f>'Penderyn Distillery'!M31</f>
        <v>2.8400000000000002E-2</v>
      </c>
      <c r="O9" s="33">
        <f>'Penderyn Distillery'!N31</f>
        <v>0</v>
      </c>
      <c r="P9" s="33">
        <f>'Penderyn Distillery'!O31</f>
        <v>0</v>
      </c>
      <c r="Q9" s="33">
        <f>'Penderyn Distillery'!P31</f>
        <v>3.7345999999999999</v>
      </c>
      <c r="R9" s="33">
        <f>'Penderyn Distillery'!Q31</f>
        <v>32.0565</v>
      </c>
      <c r="S9" s="33">
        <f>'Penderyn Distillery'!R31</f>
        <v>0</v>
      </c>
      <c r="T9" s="33">
        <f>'Penderyn Distillery'!S31</f>
        <v>0</v>
      </c>
      <c r="U9" s="33">
        <f>'Penderyn Distillery'!T31</f>
        <v>0</v>
      </c>
      <c r="V9" s="33">
        <f>'Penderyn Distillery'!U31</f>
        <v>0</v>
      </c>
    </row>
    <row r="10" spans="1:22" x14ac:dyDescent="0.2">
      <c r="A10" s="36">
        <v>8</v>
      </c>
      <c r="B10" s="91"/>
      <c r="C10" s="33">
        <f>Kelloggs!B31</f>
        <v>52</v>
      </c>
      <c r="D10" s="33">
        <f>Kelloggs!C31</f>
        <v>166.4</v>
      </c>
      <c r="E10" s="33">
        <f>Kelloggs!D31</f>
        <v>62.663432</v>
      </c>
      <c r="F10" s="33">
        <f>Kelloggs!E31</f>
        <v>15.790319999999999</v>
      </c>
      <c r="G10" s="33">
        <f>Kelloggs!F31</f>
        <v>5.5609320000000002</v>
      </c>
      <c r="H10" s="33">
        <f>Kelloggs!G31</f>
        <v>6.291999999999999E-2</v>
      </c>
      <c r="I10" s="33">
        <f>Kelloggs!H31</f>
        <v>0.12116</v>
      </c>
      <c r="J10" s="33">
        <f>Kelloggs!I31</f>
        <v>2.6000000000000002E-2</v>
      </c>
      <c r="K10" s="33">
        <f>Kelloggs!J31</f>
        <v>5.2000000000000006E-4</v>
      </c>
      <c r="L10" s="33">
        <f>Kelloggs!K31</f>
        <v>2.6000000000000003E-3</v>
      </c>
      <c r="M10" s="33">
        <f>Kelloggs!L31</f>
        <v>1.0400000000000001E-2</v>
      </c>
      <c r="N10" s="33">
        <f>Kelloggs!M31</f>
        <v>2.4596E-2</v>
      </c>
      <c r="O10" s="33">
        <f>Kelloggs!N31</f>
        <v>0</v>
      </c>
      <c r="P10" s="33">
        <f>Kelloggs!O31</f>
        <v>0</v>
      </c>
      <c r="Q10" s="33">
        <f>Kelloggs!P31</f>
        <v>3.2084000000000001</v>
      </c>
      <c r="R10" s="33">
        <f>Kelloggs!Q31</f>
        <v>23.009999999999998</v>
      </c>
      <c r="S10" s="33">
        <f>Kelloggs!R31</f>
        <v>0</v>
      </c>
      <c r="T10" s="33">
        <f>Kelloggs!S31</f>
        <v>0</v>
      </c>
      <c r="U10" s="33">
        <f>Kelloggs!T31</f>
        <v>0</v>
      </c>
      <c r="V10" s="33">
        <f>Kelloggs!U31</f>
        <v>0</v>
      </c>
    </row>
    <row r="11" spans="1:22" x14ac:dyDescent="0.2">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
      <c r="B13" s="37"/>
      <c r="C13" s="22"/>
      <c r="D13" s="22"/>
      <c r="E13" s="22"/>
      <c r="F13" s="22"/>
      <c r="G13" s="22"/>
      <c r="H13" s="22"/>
      <c r="I13" s="22"/>
      <c r="J13" s="22"/>
      <c r="K13" s="22"/>
      <c r="L13" s="22"/>
      <c r="M13" s="22"/>
      <c r="N13" s="22"/>
      <c r="O13" s="22"/>
      <c r="P13" s="22"/>
      <c r="Q13" s="22"/>
      <c r="R13" s="22"/>
      <c r="S13" s="22"/>
      <c r="T13" s="22"/>
      <c r="U13" s="22"/>
      <c r="V13" s="22"/>
    </row>
    <row r="14" spans="1:22" x14ac:dyDescent="0.2">
      <c r="A14" s="84" t="s">
        <v>86</v>
      </c>
      <c r="C14" s="84"/>
      <c r="D14" s="84"/>
      <c r="E14" s="84"/>
      <c r="F14" s="84"/>
      <c r="G14" s="84"/>
      <c r="H14" s="84"/>
      <c r="I14" s="84"/>
      <c r="J14" s="84"/>
      <c r="K14" s="84"/>
      <c r="L14" s="84"/>
      <c r="M14" s="84"/>
      <c r="N14" s="84"/>
    </row>
    <row r="15" spans="1:22" ht="38.25" x14ac:dyDescent="0.2">
      <c r="A15" s="144" t="s">
        <v>84</v>
      </c>
      <c r="B15" s="35" t="s">
        <v>152</v>
      </c>
      <c r="C15" s="35">
        <f>Secanim!B43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5" x14ac:dyDescent="0.2">
      <c r="A16" s="144"/>
      <c r="B16" s="32" t="s">
        <v>46</v>
      </c>
      <c r="C16" s="35">
        <f>Secanim!B44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
      <c r="A17" s="85">
        <v>1</v>
      </c>
      <c r="B17" s="86">
        <f>B3</f>
        <v>0</v>
      </c>
      <c r="C17" s="87">
        <f>C3</f>
        <v>32</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
      <c r="A18" s="85">
        <v>2</v>
      </c>
      <c r="B18" s="86">
        <f t="shared" ref="B18:C18" si="3">B4</f>
        <v>0</v>
      </c>
      <c r="C18" s="87">
        <f t="shared" si="3"/>
        <v>132</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
      <c r="A19" s="85">
        <v>3</v>
      </c>
      <c r="B19" s="86">
        <f t="shared" ref="B19:C19" si="5">B5</f>
        <v>0</v>
      </c>
      <c r="C19" s="87">
        <f t="shared" si="5"/>
        <v>130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
      <c r="A20" s="85">
        <v>4</v>
      </c>
      <c r="B20" s="86">
        <f t="shared" ref="B20:C20" si="7">B6</f>
        <v>0</v>
      </c>
      <c r="C20" s="87">
        <f t="shared" si="7"/>
        <v>39</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
      <c r="A22" s="85">
        <v>6</v>
      </c>
      <c r="B22" s="86">
        <f t="shared" ref="B22:C22" si="11">B8</f>
        <v>0</v>
      </c>
      <c r="C22" s="87">
        <f t="shared" si="11"/>
        <v>250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
      <c r="A23" s="85">
        <v>7</v>
      </c>
      <c r="B23" s="86">
        <f t="shared" ref="B23:C23" si="13">B9</f>
        <v>0</v>
      </c>
      <c r="C23" s="87">
        <f t="shared" si="13"/>
        <v>142</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
      <c r="A24" s="85">
        <v>8</v>
      </c>
      <c r="B24" s="86">
        <f t="shared" ref="B24:C24" si="15">B10</f>
        <v>0</v>
      </c>
      <c r="C24" s="87">
        <f t="shared" si="15"/>
        <v>52</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75" x14ac:dyDescent="0.2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3" ma:contentTypeDescription="Permitting &amp; Compliance Excel Document" ma:contentTypeScope="" ma:versionID="5835806c93a02fcc5c616a17421e4f2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f4145418-6eb2-4e2f-90f8-d42e4734b249" targetNamespace="http://schemas.microsoft.com/office/2006/metadata/properties" ma:root="true" ma:fieldsID="67c69c688fb050e90f3ee9880e2929d6" ns2:_="" ns4:_="" ns5:_="" ns6:_="" ns7:_="">
    <xsd:import namespace="859f7ad6-93f6-4205-b62b-a17f28acbbac"/>
    <xsd:import namespace="005db27c-c37f-4c3b-898d-3fee1249b087"/>
    <xsd:import namespace="http://schemas.microsoft.com/sharepoint/v4"/>
    <xsd:import namespace="9be56660-2c31-41ef-bc00-23e72f632f2a"/>
    <xsd:import namespace="f4145418-6eb2-4e2f-90f8-d42e4734b249"/>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REGU-204-2747799</_dlc_DocId>
    <_dlc_DocIdUrl xmlns="9be56660-2c31-41ef-bc00-23e72f632f2a">
      <Url>https://cyfoethnaturiolcymru.sharepoint.com/teams/Regulatory/Permitting/_layouts/15/DocIdRedir.aspx?ID=REGU-204-2747799</Url>
      <Description>REGU-204-2747799</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IconOverlay xmlns="http://schemas.microsoft.com/sharepoint/v4" xsi:nil="true"/>
    <lcf76f155ced4ddcb4097134ff3c332f xmlns="f4145418-6eb2-4e2f-90f8-d42e4734b249"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2023-05-29T23:00:00+00:00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6ED113F-3681-461E-9DE1-B99A1CE93E30}"/>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246B30BB-9026-42B6-BF37-35A31DE85A2E}"/>
</file>

<file path=customXml/itemProps4.xml><?xml version="1.0" encoding="utf-8"?>
<ds:datastoreItem xmlns:ds="http://schemas.openxmlformats.org/officeDocument/2006/customXml" ds:itemID="{3EB88BFD-E29A-4849-A8E6-116EB74B98EA}">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Secanim</vt:lpstr>
      <vt:lpstr>Croda Goole</vt:lpstr>
      <vt:lpstr>Croda Widnes</vt:lpstr>
      <vt:lpstr>Maelor</vt:lpstr>
      <vt:lpstr>Encirc</vt:lpstr>
      <vt:lpstr>Beechdean Ice Cream</vt:lpstr>
      <vt:lpstr>Penderyn Distillery</vt:lpstr>
      <vt:lpstr>Kelloggs</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Bailey, Louise</cp:lastModifiedBy>
  <dcterms:created xsi:type="dcterms:W3CDTF">2016-09-26T10:07:59Z</dcterms:created>
  <dcterms:modified xsi:type="dcterms:W3CDTF">2023-05-17T11:52:44Z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e71715ec-4b59-43d8-8b7c-725e46297d79</vt:lpwstr>
  </property>
  <property fmtid="{D5CDD505-2E9C-101B-9397-08002B2CF9AE}" pid="4" name="MediaServiceImageTags">
    <vt:lpwstr/>
  </property>
</Properties>
</file>