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Lou B/PAN-021626 TES GB/"/>
    </mc:Choice>
  </mc:AlternateContent>
  <xr:revisionPtr revIDLastSave="0" documentId="13_ncr:1_{8D3ECF5B-919C-4082-97B0-2773AE97454B}" xr6:coauthVersionLast="47" xr6:coauthVersionMax="47" xr10:uidLastSave="{00000000-0000-0000-0000-000000000000}"/>
  <bookViews>
    <workbookView xWindow="-28920" yWindow="1665" windowWidth="29040" windowHeight="15840" tabRatio="870" activeTab="7" xr2:uid="{00000000-000D-0000-FFFF-FFFF00000000}"/>
  </bookViews>
  <sheets>
    <sheet name="Secanim" sheetId="1" r:id="rId1"/>
    <sheet name="Croda Goole" sheetId="21" r:id="rId2"/>
    <sheet name="Croda Widnes" sheetId="27" r:id="rId3"/>
    <sheet name="Maelor" sheetId="28" r:id="rId4"/>
    <sheet name="Encirc" sheetId="30" r:id="rId5"/>
    <sheet name="Beechdean Ice Cream" sheetId="26" r:id="rId6"/>
    <sheet name="Penderyn Distillery" sheetId="24" r:id="rId7"/>
    <sheet name="Kelloggs" sheetId="29" r:id="rId8"/>
    <sheet name="Waste 9" sheetId="23" r:id="rId9"/>
    <sheet name="Waste 10"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D42" i="30"/>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D37" i="30"/>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R24" i="30"/>
  <c r="Q24" i="30"/>
  <c r="P24" i="30"/>
  <c r="O24" i="30"/>
  <c r="N24" i="30"/>
  <c r="M24" i="30"/>
  <c r="L24" i="30"/>
  <c r="K24" i="30"/>
  <c r="J24" i="30"/>
  <c r="I24" i="30"/>
  <c r="H24" i="30"/>
  <c r="G24" i="30"/>
  <c r="F24" i="30"/>
  <c r="E24" i="30"/>
  <c r="D24" i="30"/>
  <c r="V22" i="30"/>
  <c r="U22" i="30"/>
  <c r="S22" i="30"/>
  <c r="Q22" i="30"/>
  <c r="N22" i="30"/>
  <c r="M22" i="30"/>
  <c r="K22" i="30"/>
  <c r="I22" i="30"/>
  <c r="E22" i="30"/>
  <c r="V20" i="30"/>
  <c r="U20" i="30"/>
  <c r="T20" i="30"/>
  <c r="S20" i="30"/>
  <c r="R20" i="30"/>
  <c r="Q20" i="30"/>
  <c r="P20" i="30"/>
  <c r="O20" i="30"/>
  <c r="N20" i="30"/>
  <c r="M20" i="30"/>
  <c r="L20" i="30"/>
  <c r="K20" i="30"/>
  <c r="J20" i="30"/>
  <c r="I20" i="30"/>
  <c r="H20" i="30"/>
  <c r="G20" i="30"/>
  <c r="F20" i="30"/>
  <c r="E20" i="30"/>
  <c r="D20" i="30"/>
  <c r="V18" i="30"/>
  <c r="T18" i="30"/>
  <c r="Q18" i="30"/>
  <c r="P18" i="30"/>
  <c r="N18" i="30"/>
  <c r="J18" i="30"/>
  <c r="I18" i="30"/>
  <c r="H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V18" i="29" s="1"/>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R22" i="29" s="1"/>
  <c r="D46" i="29"/>
  <c r="R18" i="29" s="1"/>
  <c r="C46" i="29"/>
  <c r="U45" i="29"/>
  <c r="T45" i="29"/>
  <c r="S45" i="29"/>
  <c r="R45" i="29"/>
  <c r="Q45" i="29"/>
  <c r="P45" i="29"/>
  <c r="O45" i="29"/>
  <c r="N45" i="29"/>
  <c r="M45" i="29"/>
  <c r="L45" i="29"/>
  <c r="K45" i="29"/>
  <c r="J45" i="29"/>
  <c r="I45" i="29"/>
  <c r="H45" i="29"/>
  <c r="G45" i="29"/>
  <c r="F45" i="29"/>
  <c r="E45" i="29"/>
  <c r="Q22" i="29" s="1"/>
  <c r="D45" i="29"/>
  <c r="Q18" i="29" s="1"/>
  <c r="C45" i="29"/>
  <c r="U44" i="29"/>
  <c r="T44" i="29"/>
  <c r="S44" i="29"/>
  <c r="R44" i="29"/>
  <c r="Q44" i="29"/>
  <c r="P44" i="29"/>
  <c r="O44" i="29"/>
  <c r="N44" i="29"/>
  <c r="M44" i="29"/>
  <c r="L44" i="29"/>
  <c r="K44" i="29"/>
  <c r="J44" i="29"/>
  <c r="I44" i="29"/>
  <c r="H44" i="29"/>
  <c r="G44" i="29"/>
  <c r="F44" i="29"/>
  <c r="E44" i="29"/>
  <c r="P22" i="29" s="1"/>
  <c r="D44" i="29"/>
  <c r="P18" i="29" s="1"/>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N18" i="29" s="1"/>
  <c r="C42" i="29"/>
  <c r="U41" i="29"/>
  <c r="T41" i="29"/>
  <c r="S41" i="29"/>
  <c r="R41" i="29"/>
  <c r="Q41" i="29"/>
  <c r="P41" i="29"/>
  <c r="O41" i="29"/>
  <c r="N41" i="29"/>
  <c r="M41" i="29"/>
  <c r="L41" i="29"/>
  <c r="K41" i="29"/>
  <c r="J41" i="29"/>
  <c r="I41" i="29"/>
  <c r="H41" i="29"/>
  <c r="G41" i="29"/>
  <c r="F41" i="29"/>
  <c r="E41" i="29"/>
  <c r="M22" i="29" s="1"/>
  <c r="D41" i="29"/>
  <c r="M18" i="29" s="1"/>
  <c r="C41" i="29"/>
  <c r="U40" i="29"/>
  <c r="T40" i="29"/>
  <c r="S40" i="29"/>
  <c r="R40" i="29"/>
  <c r="Q40" i="29"/>
  <c r="P40" i="29"/>
  <c r="O40" i="29"/>
  <c r="N40" i="29"/>
  <c r="M40" i="29"/>
  <c r="L40" i="29"/>
  <c r="K40" i="29"/>
  <c r="J40" i="29"/>
  <c r="I40" i="29"/>
  <c r="H40" i="29"/>
  <c r="G40" i="29"/>
  <c r="F40" i="29"/>
  <c r="E40" i="29"/>
  <c r="L22" i="29" s="1"/>
  <c r="D40" i="29"/>
  <c r="L18" i="29" s="1"/>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J22" i="29" s="1"/>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H18" i="29" s="1"/>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E18" i="29" s="1"/>
  <c r="C33" i="29"/>
  <c r="U32" i="29"/>
  <c r="T32" i="29"/>
  <c r="S32" i="29"/>
  <c r="R32" i="29"/>
  <c r="Q32" i="29"/>
  <c r="P32" i="29"/>
  <c r="O32" i="29"/>
  <c r="N32" i="29"/>
  <c r="M32" i="29"/>
  <c r="L32" i="29"/>
  <c r="K32" i="29"/>
  <c r="J32" i="29"/>
  <c r="I32" i="29"/>
  <c r="H32" i="29"/>
  <c r="G32" i="29"/>
  <c r="F32" i="29"/>
  <c r="E32" i="29"/>
  <c r="D22" i="29" s="1"/>
  <c r="D32" i="29"/>
  <c r="D18" i="29" s="1"/>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T22" i="29"/>
  <c r="S22" i="29"/>
  <c r="U18" i="29"/>
  <c r="T18" i="29"/>
  <c r="I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U62" i="28"/>
  <c r="T62" i="28"/>
  <c r="S62" i="28"/>
  <c r="R62" i="28"/>
  <c r="Q62" i="28"/>
  <c r="P62" i="28"/>
  <c r="O62" i="28"/>
  <c r="N62" i="28"/>
  <c r="N63" i="28" s="1"/>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U22" i="28" s="1"/>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M22" i="28" s="1"/>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4" i="27"/>
  <c r="U24" i="27"/>
  <c r="T24" i="27"/>
  <c r="S24" i="27"/>
  <c r="R24" i="27"/>
  <c r="Q24" i="27"/>
  <c r="P24" i="27"/>
  <c r="O24" i="27"/>
  <c r="N24" i="27"/>
  <c r="M24" i="27"/>
  <c r="L24" i="27"/>
  <c r="K24" i="27"/>
  <c r="J24" i="27"/>
  <c r="I24" i="27"/>
  <c r="H24" i="27"/>
  <c r="G24" i="27"/>
  <c r="F24" i="27"/>
  <c r="E24" i="27"/>
  <c r="D24" i="27"/>
  <c r="Q22" i="27"/>
  <c r="V20" i="27"/>
  <c r="U20" i="27"/>
  <c r="T20" i="27"/>
  <c r="S20" i="27"/>
  <c r="R20" i="27"/>
  <c r="Q20" i="27"/>
  <c r="P20" i="27"/>
  <c r="O20" i="27"/>
  <c r="N20" i="27"/>
  <c r="M20" i="27"/>
  <c r="L20" i="27"/>
  <c r="K20" i="27"/>
  <c r="J20" i="27"/>
  <c r="I20" i="27"/>
  <c r="H20" i="27"/>
  <c r="G20" i="27"/>
  <c r="F20" i="27"/>
  <c r="E20" i="27"/>
  <c r="D20"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V18" i="26" s="1"/>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T18" i="26" s="1"/>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O22" i="26" s="1"/>
  <c r="D43" i="26"/>
  <c r="O18" i="26" s="1"/>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L18" i="26" s="1"/>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I22" i="26" s="1"/>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F18" i="26" s="1"/>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Q22" i="26"/>
  <c r="K22" i="26"/>
  <c r="S18" i="26"/>
  <c r="I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Q22" i="24" s="1"/>
  <c r="D45" i="24"/>
  <c r="Q18" i="24" s="1"/>
  <c r="C45" i="24"/>
  <c r="U44" i="24"/>
  <c r="T44" i="24"/>
  <c r="S44" i="24"/>
  <c r="R44" i="24"/>
  <c r="Q44" i="24"/>
  <c r="P44" i="24"/>
  <c r="O44" i="24"/>
  <c r="N44" i="24"/>
  <c r="M44" i="24"/>
  <c r="L44" i="24"/>
  <c r="K44" i="24"/>
  <c r="J44" i="24"/>
  <c r="I44" i="24"/>
  <c r="H44" i="24"/>
  <c r="G44" i="24"/>
  <c r="F44" i="24"/>
  <c r="E44" i="24"/>
  <c r="P22" i="24" s="1"/>
  <c r="D44" i="24"/>
  <c r="P18" i="24" s="1"/>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M22" i="24" s="1"/>
  <c r="D41" i="24"/>
  <c r="M18" i="24" s="1"/>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H18" i="24" s="1"/>
  <c r="C36" i="24"/>
  <c r="U35" i="24"/>
  <c r="T35" i="24"/>
  <c r="S35" i="24"/>
  <c r="R35" i="24"/>
  <c r="Q35" i="24"/>
  <c r="P35" i="24"/>
  <c r="O35" i="24"/>
  <c r="N35" i="24"/>
  <c r="M35" i="24"/>
  <c r="L35" i="24"/>
  <c r="K35" i="24"/>
  <c r="J35" i="24"/>
  <c r="I35" i="24"/>
  <c r="H35" i="24"/>
  <c r="G35" i="24"/>
  <c r="F35" i="24"/>
  <c r="E35" i="24"/>
  <c r="G22" i="24" s="1"/>
  <c r="D35" i="24"/>
  <c r="G18" i="24" s="1"/>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E22" i="24" s="1"/>
  <c r="D33" i="24"/>
  <c r="E18" i="24" s="1"/>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U22" i="24"/>
  <c r="V18" i="24"/>
  <c r="U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4" i="23"/>
  <c r="H24" i="23"/>
  <c r="G24" i="23"/>
  <c r="F24" i="23"/>
  <c r="E24" i="23"/>
  <c r="D24" i="23"/>
  <c r="S22" i="23"/>
  <c r="M22" i="23"/>
  <c r="I22" i="23"/>
  <c r="V20" i="23"/>
  <c r="U20" i="23"/>
  <c r="T20" i="23"/>
  <c r="S20" i="23"/>
  <c r="R20" i="23"/>
  <c r="Q20" i="23"/>
  <c r="P20" i="23"/>
  <c r="O20" i="23"/>
  <c r="N20" i="23"/>
  <c r="M20" i="23"/>
  <c r="L20" i="23"/>
  <c r="K20" i="23"/>
  <c r="J20" i="23"/>
  <c r="I20" i="23"/>
  <c r="H20" i="23"/>
  <c r="G20" i="23"/>
  <c r="F20" i="23"/>
  <c r="E20" i="23"/>
  <c r="D20" i="23"/>
  <c r="S18"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18" i="21"/>
  <c r="N58" i="21" l="1"/>
  <c r="N61" i="21" s="1"/>
  <c r="T6" i="19"/>
  <c r="T20" i="19" s="1"/>
  <c r="H10" i="19"/>
  <c r="H24" i="19"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D64" i="21" s="1"/>
  <c r="M11" i="19"/>
  <c r="M25" i="19" s="1"/>
  <c r="F8" i="19"/>
  <c r="F22" i="19" s="1"/>
  <c r="G17" i="27"/>
  <c r="O17" i="27"/>
  <c r="O19" i="27" s="1"/>
  <c r="E11" i="19"/>
  <c r="E25" i="19" s="1"/>
  <c r="Q7" i="19"/>
  <c r="Q21" i="19" s="1"/>
  <c r="I7" i="20"/>
  <c r="P10" i="19"/>
  <c r="P24" i="19" s="1"/>
  <c r="I7" i="19"/>
  <c r="I21" i="19" s="1"/>
  <c r="E59" i="26"/>
  <c r="F17" i="26"/>
  <c r="F19" i="26" s="1"/>
  <c r="F20" i="26" s="1"/>
  <c r="F21" i="26"/>
  <c r="F23" i="26" s="1"/>
  <c r="F24" i="26" s="1"/>
  <c r="M59" i="26"/>
  <c r="N17" i="26"/>
  <c r="N19" i="26" s="1"/>
  <c r="N20" i="26" s="1"/>
  <c r="N21" i="26"/>
  <c r="U59" i="26"/>
  <c r="U64" i="26" s="1"/>
  <c r="V21" i="26"/>
  <c r="V23" i="26" s="1"/>
  <c r="V24" i="26" s="1"/>
  <c r="V17" i="26"/>
  <c r="V19" i="26" s="1"/>
  <c r="V20" i="26" s="1"/>
  <c r="C8" i="20"/>
  <c r="D8" i="19"/>
  <c r="D22" i="19" s="1"/>
  <c r="K8" i="20"/>
  <c r="L8" i="19"/>
  <c r="L22" i="19" s="1"/>
  <c r="S8" i="20"/>
  <c r="T8" i="19"/>
  <c r="T22" i="19" s="1"/>
  <c r="C59" i="29"/>
  <c r="D21" i="29"/>
  <c r="D17" i="29"/>
  <c r="D19" i="29" s="1"/>
  <c r="D20" i="29" s="1"/>
  <c r="K59" i="29"/>
  <c r="L21" i="29"/>
  <c r="L17" i="29"/>
  <c r="S59" i="29"/>
  <c r="T21" i="29"/>
  <c r="T23" i="29" s="1"/>
  <c r="T24" i="29" s="1"/>
  <c r="T17" i="29"/>
  <c r="T19" i="29" s="1"/>
  <c r="T20" i="29" s="1"/>
  <c r="O4" i="20"/>
  <c r="P4" i="19"/>
  <c r="P18" i="19" s="1"/>
  <c r="G6" i="20"/>
  <c r="H6" i="19"/>
  <c r="H20" i="19" s="1"/>
  <c r="O6" i="20"/>
  <c r="P6" i="19"/>
  <c r="P20" i="19" s="1"/>
  <c r="G4" i="20"/>
  <c r="H4" i="19"/>
  <c r="H18" i="19" s="1"/>
  <c r="F12" i="20"/>
  <c r="G12" i="19"/>
  <c r="G26" i="19" s="1"/>
  <c r="N12" i="20"/>
  <c r="O12" i="19"/>
  <c r="O26" i="19" s="1"/>
  <c r="U63" i="24"/>
  <c r="F63" i="24"/>
  <c r="N63" i="24"/>
  <c r="D59" i="28"/>
  <c r="E17" i="28"/>
  <c r="E21" i="28"/>
  <c r="E23" i="28" s="1"/>
  <c r="E24" i="28" s="1"/>
  <c r="L59" i="28"/>
  <c r="M17" i="28"/>
  <c r="M21" i="28"/>
  <c r="T59" i="28"/>
  <c r="U17" i="28"/>
  <c r="U21" i="28"/>
  <c r="U23" i="28" s="1"/>
  <c r="U24" i="28" s="1"/>
  <c r="I4" i="20"/>
  <c r="J4" i="19"/>
  <c r="J18" i="19" s="1"/>
  <c r="I59" i="21"/>
  <c r="J17" i="21"/>
  <c r="J19" i="21" s="1"/>
  <c r="J20" i="21" s="1"/>
  <c r="J21" i="21"/>
  <c r="C59" i="22"/>
  <c r="D21" i="22"/>
  <c r="D23" i="22" s="1"/>
  <c r="D17" i="22"/>
  <c r="D19" i="22" s="1"/>
  <c r="O12" i="20"/>
  <c r="P12" i="19"/>
  <c r="P26" i="19" s="1"/>
  <c r="O21" i="23"/>
  <c r="O23" i="23" s="1"/>
  <c r="O17" i="23"/>
  <c r="Q9" i="20"/>
  <c r="R9" i="19"/>
  <c r="R23" i="19" s="1"/>
  <c r="F5" i="20"/>
  <c r="G5" i="19"/>
  <c r="G19" i="19" s="1"/>
  <c r="N5" i="20"/>
  <c r="O5" i="19"/>
  <c r="O19" i="19" s="1"/>
  <c r="Q4" i="20"/>
  <c r="R4" i="19"/>
  <c r="R18" i="19" s="1"/>
  <c r="Q59" i="21"/>
  <c r="R21" i="21"/>
  <c r="R23" i="21" s="1"/>
  <c r="R24" i="21" s="1"/>
  <c r="R17" i="21"/>
  <c r="K59" i="22"/>
  <c r="L21" i="22"/>
  <c r="L17" i="22"/>
  <c r="G12" i="20"/>
  <c r="H12" i="19"/>
  <c r="H26" i="19" s="1"/>
  <c r="J4" i="20"/>
  <c r="K4" i="19"/>
  <c r="K18" i="19" s="1"/>
  <c r="U63" i="21"/>
  <c r="N63" i="21"/>
  <c r="F63" i="21"/>
  <c r="P59" i="21"/>
  <c r="Q21" i="21"/>
  <c r="Q23" i="21" s="1"/>
  <c r="Q24" i="21" s="1"/>
  <c r="Q17" i="21"/>
  <c r="I17" i="21"/>
  <c r="I21" i="21"/>
  <c r="D59" i="22"/>
  <c r="E21" i="22"/>
  <c r="E23" i="22" s="1"/>
  <c r="E17" i="22"/>
  <c r="L59" i="22"/>
  <c r="M21" i="22"/>
  <c r="M23" i="22" s="1"/>
  <c r="M17" i="22"/>
  <c r="M19" i="22" s="1"/>
  <c r="T59" i="22"/>
  <c r="U21" i="22"/>
  <c r="U17" i="22"/>
  <c r="U19" i="22" s="1"/>
  <c r="D59" i="27"/>
  <c r="E17" i="27"/>
  <c r="E19" i="27" s="1"/>
  <c r="L59" i="27"/>
  <c r="M17" i="27"/>
  <c r="M19" i="27" s="1"/>
  <c r="T59" i="27"/>
  <c r="U17" i="27"/>
  <c r="S59" i="22"/>
  <c r="T21" i="22"/>
  <c r="T17" i="22"/>
  <c r="T19" i="22" s="1"/>
  <c r="G21" i="23"/>
  <c r="G23" i="23" s="1"/>
  <c r="G17" i="23"/>
  <c r="I9" i="20"/>
  <c r="J9" i="19"/>
  <c r="J23" i="19" s="1"/>
  <c r="R4" i="20"/>
  <c r="S4" i="19"/>
  <c r="S18" i="19" s="1"/>
  <c r="R11" i="20"/>
  <c r="S11" i="19"/>
  <c r="S25" i="19" s="1"/>
  <c r="I59" i="24"/>
  <c r="J21" i="24"/>
  <c r="J17" i="24"/>
  <c r="J19" i="24" s="1"/>
  <c r="J20" i="24" s="1"/>
  <c r="Q59" i="24"/>
  <c r="R21" i="24"/>
  <c r="R17" i="24"/>
  <c r="R19" i="24" s="1"/>
  <c r="R20" i="24" s="1"/>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L23" i="21" s="1"/>
  <c r="L24" i="21" s="1"/>
  <c r="I59" i="22"/>
  <c r="J17" i="22"/>
  <c r="J19" i="22" s="1"/>
  <c r="J21" i="22"/>
  <c r="J23" i="22" s="1"/>
  <c r="K59" i="23"/>
  <c r="L17" i="23"/>
  <c r="L19" i="23" s="1"/>
  <c r="L21" i="23"/>
  <c r="M57" i="21"/>
  <c r="R59" i="21"/>
  <c r="S21" i="21"/>
  <c r="S23" i="21" s="1"/>
  <c r="S24" i="21" s="1"/>
  <c r="S17" i="21"/>
  <c r="S19" i="21" s="1"/>
  <c r="S20" i="21" s="1"/>
  <c r="J59" i="21"/>
  <c r="K21" i="21"/>
  <c r="K23" i="21" s="1"/>
  <c r="K24" i="21" s="1"/>
  <c r="K17" i="21"/>
  <c r="K19" i="21" s="1"/>
  <c r="K20" i="21" s="1"/>
  <c r="J59" i="22"/>
  <c r="K17" i="22"/>
  <c r="K21" i="22"/>
  <c r="R59" i="22"/>
  <c r="S17" i="22"/>
  <c r="S19" i="22" s="1"/>
  <c r="S21" i="22"/>
  <c r="S23" i="22" s="1"/>
  <c r="D59" i="23"/>
  <c r="E17" i="23"/>
  <c r="E21" i="23"/>
  <c r="L59" i="23"/>
  <c r="M17" i="23"/>
  <c r="M21" i="23"/>
  <c r="M23" i="23" s="1"/>
  <c r="T59" i="23"/>
  <c r="U17" i="23"/>
  <c r="U19" i="23" s="1"/>
  <c r="U21" i="23"/>
  <c r="U23" i="23" s="1"/>
  <c r="H21" i="24"/>
  <c r="H17" i="24"/>
  <c r="H19" i="24" s="1"/>
  <c r="H20" i="24" s="1"/>
  <c r="P17" i="24"/>
  <c r="P19" i="24" s="1"/>
  <c r="P20" i="24" s="1"/>
  <c r="P21" i="24"/>
  <c r="C59" i="26"/>
  <c r="D21" i="26"/>
  <c r="D23" i="26" s="1"/>
  <c r="D24" i="26" s="1"/>
  <c r="D17" i="26"/>
  <c r="D19" i="26" s="1"/>
  <c r="D20" i="26" s="1"/>
  <c r="K59" i="26"/>
  <c r="L21" i="26"/>
  <c r="L23" i="26" s="1"/>
  <c r="L24" i="26" s="1"/>
  <c r="L17" i="26"/>
  <c r="S59" i="26"/>
  <c r="T21" i="26"/>
  <c r="T17" i="26"/>
  <c r="N63" i="26"/>
  <c r="J59" i="27"/>
  <c r="K17" i="27"/>
  <c r="K19" i="27" s="1"/>
  <c r="R59" i="27"/>
  <c r="S17" i="27"/>
  <c r="S19" i="27" s="1"/>
  <c r="J59" i="28"/>
  <c r="K17" i="28"/>
  <c r="K21" i="28"/>
  <c r="K23" i="28" s="1"/>
  <c r="K24" i="28" s="1"/>
  <c r="R59" i="28"/>
  <c r="S17" i="28"/>
  <c r="S19" i="28" s="1"/>
  <c r="S20" i="28" s="1"/>
  <c r="S21" i="28"/>
  <c r="S23" i="28" s="1"/>
  <c r="S24" i="28" s="1"/>
  <c r="I59" i="29"/>
  <c r="J17" i="29"/>
  <c r="J21" i="29"/>
  <c r="Q59" i="29"/>
  <c r="R21" i="29"/>
  <c r="R23" i="29" s="1"/>
  <c r="R24" i="29" s="1"/>
  <c r="R17" i="29"/>
  <c r="H59" i="30"/>
  <c r="I17" i="30"/>
  <c r="I19" i="30" s="1"/>
  <c r="I21" i="30"/>
  <c r="Q17" i="30"/>
  <c r="Q19" i="30" s="1"/>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F19" i="23" s="1"/>
  <c r="M59" i="23"/>
  <c r="N21" i="23"/>
  <c r="N23" i="23" s="1"/>
  <c r="N17" i="23"/>
  <c r="N19" i="23" s="1"/>
  <c r="U59" i="23"/>
  <c r="V21" i="23"/>
  <c r="V23" i="23" s="1"/>
  <c r="V17" i="23"/>
  <c r="V19" i="23" s="1"/>
  <c r="I17" i="24"/>
  <c r="I19" i="24" s="1"/>
  <c r="I20" i="24" s="1"/>
  <c r="I21" i="24"/>
  <c r="I23" i="24" s="1"/>
  <c r="I24" i="24" s="1"/>
  <c r="Q17" i="24"/>
  <c r="Q19" i="24" s="1"/>
  <c r="Q20" i="24" s="1"/>
  <c r="Q21" i="24"/>
  <c r="Q23" i="24" s="1"/>
  <c r="Q24" i="24" s="1"/>
  <c r="D59" i="26"/>
  <c r="E21" i="26"/>
  <c r="E23" i="26" s="1"/>
  <c r="E24" i="26" s="1"/>
  <c r="E17" i="26"/>
  <c r="E19" i="26" s="1"/>
  <c r="E20" i="26" s="1"/>
  <c r="L59" i="26"/>
  <c r="M21" i="26"/>
  <c r="M17" i="26"/>
  <c r="T59" i="26"/>
  <c r="U21" i="26"/>
  <c r="U23" i="26" s="1"/>
  <c r="U24" i="26" s="1"/>
  <c r="U17" i="26"/>
  <c r="U19" i="26" s="1"/>
  <c r="U20" i="26" s="1"/>
  <c r="C59" i="27"/>
  <c r="D17" i="27"/>
  <c r="K59" i="27"/>
  <c r="L17" i="27"/>
  <c r="L19" i="27" s="1"/>
  <c r="S59" i="27"/>
  <c r="T17" i="27"/>
  <c r="T19" i="27" s="1"/>
  <c r="C59" i="28"/>
  <c r="D21" i="28"/>
  <c r="D23" i="28" s="1"/>
  <c r="D24" i="28" s="1"/>
  <c r="D17" i="28"/>
  <c r="K59" i="28"/>
  <c r="L21" i="28"/>
  <c r="L23" i="28" s="1"/>
  <c r="L24" i="28" s="1"/>
  <c r="L17" i="28"/>
  <c r="L19" i="28" s="1"/>
  <c r="L20" i="28" s="1"/>
  <c r="S59" i="28"/>
  <c r="T21" i="28"/>
  <c r="T17" i="28"/>
  <c r="T19" i="28" s="1"/>
  <c r="T20" i="28" s="1"/>
  <c r="J59" i="29"/>
  <c r="K17" i="29"/>
  <c r="K19" i="29" s="1"/>
  <c r="K20" i="29" s="1"/>
  <c r="K21" i="29"/>
  <c r="R59" i="29"/>
  <c r="S21" i="29"/>
  <c r="S23" i="29" s="1"/>
  <c r="S24" i="29" s="1"/>
  <c r="S17" i="29"/>
  <c r="I59" i="30"/>
  <c r="J21" i="30"/>
  <c r="J23" i="30" s="1"/>
  <c r="J17" i="30"/>
  <c r="J19" i="30" s="1"/>
  <c r="Q59" i="30"/>
  <c r="R21" i="30"/>
  <c r="R23" i="30" s="1"/>
  <c r="R17" i="30"/>
  <c r="R19" i="30" s="1"/>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O59" i="21"/>
  <c r="P21" i="21"/>
  <c r="P23" i="21" s="1"/>
  <c r="P24" i="21" s="1"/>
  <c r="P17" i="21"/>
  <c r="H21" i="21"/>
  <c r="H23" i="21" s="1"/>
  <c r="H24" i="21" s="1"/>
  <c r="H17" i="21"/>
  <c r="H19" i="21" s="1"/>
  <c r="H20" i="21" s="1"/>
  <c r="E59" i="22"/>
  <c r="F21" i="22"/>
  <c r="F23" i="22" s="1"/>
  <c r="F17" i="22"/>
  <c r="F19" i="22" s="1"/>
  <c r="M59" i="22"/>
  <c r="N21" i="22"/>
  <c r="N23" i="22" s="1"/>
  <c r="N17" i="22"/>
  <c r="U59" i="22"/>
  <c r="V17" i="22"/>
  <c r="V19" i="22" s="1"/>
  <c r="V21" i="22"/>
  <c r="V23" i="22" s="1"/>
  <c r="C18" i="22"/>
  <c r="H21" i="23"/>
  <c r="H23" i="23" s="1"/>
  <c r="H17" i="23"/>
  <c r="P17" i="23"/>
  <c r="P19" i="23" s="1"/>
  <c r="P21" i="23"/>
  <c r="J59" i="24"/>
  <c r="K21" i="24"/>
  <c r="K23" i="24" s="1"/>
  <c r="K24" i="24" s="1"/>
  <c r="K17" i="24"/>
  <c r="R59" i="24"/>
  <c r="S21" i="24"/>
  <c r="S23" i="24" s="1"/>
  <c r="S24" i="24" s="1"/>
  <c r="S17" i="24"/>
  <c r="S19" i="24" s="1"/>
  <c r="S20" i="24" s="1"/>
  <c r="G21" i="26"/>
  <c r="G17" i="26"/>
  <c r="O17" i="26"/>
  <c r="O21" i="26"/>
  <c r="E59" i="27"/>
  <c r="F17" i="27"/>
  <c r="F19" i="27" s="1"/>
  <c r="M59" i="27"/>
  <c r="N17" i="27"/>
  <c r="N19" i="27" s="1"/>
  <c r="U59" i="27"/>
  <c r="V17" i="27"/>
  <c r="V19" i="27" s="1"/>
  <c r="E59" i="28"/>
  <c r="F17" i="28"/>
  <c r="F19" i="28" s="1"/>
  <c r="F20" i="28" s="1"/>
  <c r="F21" i="28"/>
  <c r="F23" i="28" s="1"/>
  <c r="F24" i="28" s="1"/>
  <c r="M59" i="28"/>
  <c r="N17" i="28"/>
  <c r="N19" i="28" s="1"/>
  <c r="N20" i="28" s="1"/>
  <c r="N21" i="28"/>
  <c r="U59" i="28"/>
  <c r="V17" i="28"/>
  <c r="V19" i="28" s="1"/>
  <c r="V20" i="28" s="1"/>
  <c r="V21" i="28"/>
  <c r="D59" i="29"/>
  <c r="E17" i="29"/>
  <c r="E19" i="29" s="1"/>
  <c r="E20" i="29" s="1"/>
  <c r="E21" i="29"/>
  <c r="E23" i="29" s="1"/>
  <c r="E24" i="29" s="1"/>
  <c r="L59" i="29"/>
  <c r="M17" i="29"/>
  <c r="M19" i="29" s="1"/>
  <c r="M20" i="29" s="1"/>
  <c r="M21" i="29"/>
  <c r="M23" i="29" s="1"/>
  <c r="M24" i="29" s="1"/>
  <c r="T59" i="29"/>
  <c r="U17" i="29"/>
  <c r="U21" i="29"/>
  <c r="C59" i="30"/>
  <c r="D17" i="30"/>
  <c r="D19" i="30" s="1"/>
  <c r="D21" i="30"/>
  <c r="D23" i="30" s="1"/>
  <c r="K59" i="30"/>
  <c r="L17" i="30"/>
  <c r="L19" i="30" s="1"/>
  <c r="L21" i="30"/>
  <c r="S59" i="30"/>
  <c r="T17" i="30"/>
  <c r="T19" i="30" s="1"/>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19" i="30" s="1"/>
  <c r="S21" i="30"/>
  <c r="S23" i="30" s="1"/>
  <c r="A34" i="21"/>
  <c r="N59" i="21"/>
  <c r="O21" i="21"/>
  <c r="O23" i="21" s="1"/>
  <c r="O24" i="21" s="1"/>
  <c r="O17" i="21"/>
  <c r="O19" i="21" s="1"/>
  <c r="O20" i="21" s="1"/>
  <c r="F59" i="21"/>
  <c r="G21" i="21"/>
  <c r="G17" i="21"/>
  <c r="G19" i="21" s="1"/>
  <c r="G20" i="21" s="1"/>
  <c r="G17" i="22"/>
  <c r="G19" i="22" s="1"/>
  <c r="G21" i="22"/>
  <c r="G23" i="22" s="1"/>
  <c r="O17" i="22"/>
  <c r="O19" i="22" s="1"/>
  <c r="O21" i="22"/>
  <c r="O23" i="22" s="1"/>
  <c r="H59" i="23"/>
  <c r="I21" i="23"/>
  <c r="I23" i="23" s="1"/>
  <c r="I17" i="23"/>
  <c r="P59" i="23"/>
  <c r="Q17" i="23"/>
  <c r="Q21" i="23"/>
  <c r="Q23" i="23" s="1"/>
  <c r="C59" i="24"/>
  <c r="D17" i="24"/>
  <c r="D19" i="24" s="1"/>
  <c r="D20" i="24" s="1"/>
  <c r="D21" i="24"/>
  <c r="K59" i="24"/>
  <c r="L21" i="24"/>
  <c r="L17" i="24"/>
  <c r="L19" i="24" s="1"/>
  <c r="L20" i="24" s="1"/>
  <c r="S59" i="24"/>
  <c r="T21" i="24"/>
  <c r="T23" i="24" s="1"/>
  <c r="T24" i="24" s="1"/>
  <c r="T17" i="24"/>
  <c r="T19" i="24" s="1"/>
  <c r="T20" i="24" s="1"/>
  <c r="H21" i="26"/>
  <c r="H23" i="26" s="1"/>
  <c r="H24" i="26" s="1"/>
  <c r="H17" i="26"/>
  <c r="P21" i="26"/>
  <c r="P17" i="26"/>
  <c r="P19" i="26" s="1"/>
  <c r="P20" i="26" s="1"/>
  <c r="F59" i="28"/>
  <c r="G17" i="28"/>
  <c r="G19" i="28" s="1"/>
  <c r="G20" i="28" s="1"/>
  <c r="G21" i="28"/>
  <c r="G23" i="28" s="1"/>
  <c r="G24" i="28" s="1"/>
  <c r="N59" i="28"/>
  <c r="O17" i="28"/>
  <c r="O19" i="28" s="1"/>
  <c r="O20" i="28" s="1"/>
  <c r="O21" i="28"/>
  <c r="O23" i="28" s="1"/>
  <c r="O24" i="28" s="1"/>
  <c r="E59" i="29"/>
  <c r="F17" i="29"/>
  <c r="F21" i="29"/>
  <c r="M59" i="29"/>
  <c r="N17" i="29"/>
  <c r="N21" i="29"/>
  <c r="U59" i="29"/>
  <c r="V17" i="29"/>
  <c r="V19" i="29" s="1"/>
  <c r="V20" i="29" s="1"/>
  <c r="V21" i="29"/>
  <c r="V23" i="29" s="1"/>
  <c r="V24" i="29" s="1"/>
  <c r="D59" i="30"/>
  <c r="E17" i="30"/>
  <c r="E19" i="30" s="1"/>
  <c r="E21" i="30"/>
  <c r="E23" i="30" s="1"/>
  <c r="L59" i="30"/>
  <c r="M17" i="30"/>
  <c r="M21" i="30"/>
  <c r="M23" i="30" s="1"/>
  <c r="T59" i="30"/>
  <c r="U17" i="30"/>
  <c r="U19" i="30" s="1"/>
  <c r="U21" i="30"/>
  <c r="U23" i="30" s="1"/>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0" i="21" s="1"/>
  <c r="N21" i="21"/>
  <c r="N23" i="21" s="1"/>
  <c r="N24" i="21" s="1"/>
  <c r="G59" i="22"/>
  <c r="H21" i="22"/>
  <c r="H23" i="22" s="1"/>
  <c r="H17" i="22"/>
  <c r="H19" i="22" s="1"/>
  <c r="I59" i="23"/>
  <c r="J21" i="23"/>
  <c r="J23" i="23" s="1"/>
  <c r="J17" i="23"/>
  <c r="J19" i="23" s="1"/>
  <c r="Q59" i="23"/>
  <c r="R21" i="23"/>
  <c r="R23" i="23" s="1"/>
  <c r="R17" i="23"/>
  <c r="R19" i="23" s="1"/>
  <c r="D59" i="24"/>
  <c r="E17" i="24"/>
  <c r="E21" i="24"/>
  <c r="E23" i="24" s="1"/>
  <c r="E24" i="24" s="1"/>
  <c r="L59" i="24"/>
  <c r="M17" i="24"/>
  <c r="M19" i="24" s="1"/>
  <c r="M20" i="24" s="1"/>
  <c r="M21" i="24"/>
  <c r="M23" i="24" s="1"/>
  <c r="M24" i="24" s="1"/>
  <c r="T59" i="24"/>
  <c r="U21" i="24"/>
  <c r="U23" i="24" s="1"/>
  <c r="U24" i="24" s="1"/>
  <c r="U17" i="24"/>
  <c r="H59" i="26"/>
  <c r="I17" i="26"/>
  <c r="I19" i="26" s="1"/>
  <c r="I20" i="26" s="1"/>
  <c r="I21" i="26"/>
  <c r="I23" i="26" s="1"/>
  <c r="I24" i="26" s="1"/>
  <c r="P59" i="26"/>
  <c r="Q17" i="26"/>
  <c r="Q19" i="26" s="1"/>
  <c r="Q20" i="26" s="1"/>
  <c r="Q21" i="26"/>
  <c r="Q23" i="26" s="1"/>
  <c r="Q24" i="26" s="1"/>
  <c r="E63" i="26"/>
  <c r="H17" i="27"/>
  <c r="H19" i="27" s="1"/>
  <c r="P17" i="27"/>
  <c r="P19" i="27" s="1"/>
  <c r="H21" i="28"/>
  <c r="H23" i="28" s="1"/>
  <c r="H24" i="28" s="1"/>
  <c r="H17" i="28"/>
  <c r="P21" i="28"/>
  <c r="P17" i="28"/>
  <c r="P19" i="28" s="1"/>
  <c r="P20" i="28" s="1"/>
  <c r="G17" i="29"/>
  <c r="G21" i="29"/>
  <c r="G23" i="29" s="1"/>
  <c r="G24" i="29" s="1"/>
  <c r="O17" i="29"/>
  <c r="O21" i="29"/>
  <c r="E59" i="30"/>
  <c r="F21" i="30"/>
  <c r="F23" i="30" s="1"/>
  <c r="F17" i="30"/>
  <c r="F19" i="30" s="1"/>
  <c r="M59" i="30"/>
  <c r="N21" i="30"/>
  <c r="N17" i="30"/>
  <c r="U59" i="30"/>
  <c r="V21" i="30"/>
  <c r="V23" i="30" s="1"/>
  <c r="V17" i="30"/>
  <c r="V19" i="30" s="1"/>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0" i="21" s="1"/>
  <c r="V21" i="21"/>
  <c r="V23" i="21" s="1"/>
  <c r="V24" i="21" s="1"/>
  <c r="E59" i="21"/>
  <c r="F17" i="21"/>
  <c r="F19" i="21" s="1"/>
  <c r="F20" i="21" s="1"/>
  <c r="F21" i="21"/>
  <c r="O59" i="22"/>
  <c r="P21" i="22"/>
  <c r="P23" i="22" s="1"/>
  <c r="P17" i="22"/>
  <c r="P19" i="22" s="1"/>
  <c r="T59" i="21"/>
  <c r="T64" i="21" s="1"/>
  <c r="T65" i="21" s="1"/>
  <c r="U17" i="21"/>
  <c r="U19" i="21" s="1"/>
  <c r="U20" i="21" s="1"/>
  <c r="U21" i="21"/>
  <c r="U23" i="21" s="1"/>
  <c r="U24" i="21" s="1"/>
  <c r="M17" i="21"/>
  <c r="M21" i="21"/>
  <c r="M23" i="21" s="1"/>
  <c r="M24" i="21" s="1"/>
  <c r="E17" i="21"/>
  <c r="E21" i="21"/>
  <c r="E23" i="21" s="1"/>
  <c r="E24" i="21" s="1"/>
  <c r="H59" i="22"/>
  <c r="I17" i="22"/>
  <c r="I19" i="22" s="1"/>
  <c r="I21" i="22"/>
  <c r="I23" i="22" s="1"/>
  <c r="P59" i="22"/>
  <c r="Q17" i="22"/>
  <c r="Q19" i="22" s="1"/>
  <c r="Q21" i="22"/>
  <c r="J59" i="23"/>
  <c r="K17" i="23"/>
  <c r="K19" i="23" s="1"/>
  <c r="K21" i="23"/>
  <c r="K23" i="23" s="1"/>
  <c r="R59" i="23"/>
  <c r="S17" i="23"/>
  <c r="S19" i="23" s="1"/>
  <c r="S21" i="23"/>
  <c r="S23" i="23" s="1"/>
  <c r="E59" i="24"/>
  <c r="F21" i="24"/>
  <c r="F17" i="24"/>
  <c r="M59" i="24"/>
  <c r="N21" i="24"/>
  <c r="N23" i="24" s="1"/>
  <c r="N24" i="24" s="1"/>
  <c r="N17" i="24"/>
  <c r="N19" i="24" s="1"/>
  <c r="N20" i="24" s="1"/>
  <c r="U59" i="24"/>
  <c r="V21" i="24"/>
  <c r="V17" i="24"/>
  <c r="V19" i="24" s="1"/>
  <c r="V20" i="24" s="1"/>
  <c r="I58" i="26"/>
  <c r="I61" i="26" s="1"/>
  <c r="J17" i="26"/>
  <c r="J19" i="26" s="1"/>
  <c r="J20" i="26" s="1"/>
  <c r="J21" i="26"/>
  <c r="J23" i="26" s="1"/>
  <c r="J24" i="26" s="1"/>
  <c r="Q58" i="26"/>
  <c r="Q61" i="26" s="1"/>
  <c r="R21" i="26"/>
  <c r="R23" i="26" s="1"/>
  <c r="R24" i="26" s="1"/>
  <c r="R17" i="26"/>
  <c r="R19" i="26" s="1"/>
  <c r="R20" i="26" s="1"/>
  <c r="F63" i="26"/>
  <c r="I17" i="27"/>
  <c r="I19" i="27" s="1"/>
  <c r="Q17" i="27"/>
  <c r="I21" i="28"/>
  <c r="I23" i="28" s="1"/>
  <c r="I24" i="28" s="1"/>
  <c r="I17" i="28"/>
  <c r="Q21" i="28"/>
  <c r="Q23" i="28" s="1"/>
  <c r="Q24" i="28" s="1"/>
  <c r="Q17" i="28"/>
  <c r="Q19" i="28" s="1"/>
  <c r="Q20" i="28" s="1"/>
  <c r="H21" i="29"/>
  <c r="H23" i="29" s="1"/>
  <c r="H24" i="29" s="1"/>
  <c r="H17" i="29"/>
  <c r="P21" i="29"/>
  <c r="P23" i="29" s="1"/>
  <c r="P24" i="29" s="1"/>
  <c r="P17" i="29"/>
  <c r="P19" i="29" s="1"/>
  <c r="P20" i="29" s="1"/>
  <c r="G21" i="30"/>
  <c r="G17" i="30"/>
  <c r="G19" i="30" s="1"/>
  <c r="O21" i="30"/>
  <c r="O23" i="30" s="1"/>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0" i="21" s="1"/>
  <c r="T21" i="21"/>
  <c r="T23" i="21" s="1"/>
  <c r="T24" i="21" s="1"/>
  <c r="C59" i="21"/>
  <c r="D17" i="21"/>
  <c r="D19" i="21" s="1"/>
  <c r="D20" i="21" s="1"/>
  <c r="D21" i="21"/>
  <c r="Q59" i="22"/>
  <c r="R17" i="22"/>
  <c r="R19" i="22" s="1"/>
  <c r="R21" i="22"/>
  <c r="R23" i="22" s="1"/>
  <c r="C59" i="23"/>
  <c r="D17" i="23"/>
  <c r="D19" i="23" s="1"/>
  <c r="D21" i="23"/>
  <c r="S59" i="23"/>
  <c r="T17" i="23"/>
  <c r="T19" i="23" s="1"/>
  <c r="T21" i="23"/>
  <c r="T23" i="23" s="1"/>
  <c r="G17" i="24"/>
  <c r="G19" i="24" s="1"/>
  <c r="G20" i="24" s="1"/>
  <c r="G21" i="24"/>
  <c r="G23" i="24" s="1"/>
  <c r="G24" i="24" s="1"/>
  <c r="O17" i="24"/>
  <c r="O19" i="24" s="1"/>
  <c r="O20" i="24" s="1"/>
  <c r="O21" i="24"/>
  <c r="J59" i="26"/>
  <c r="K17" i="26"/>
  <c r="K19" i="26" s="1"/>
  <c r="K20" i="26" s="1"/>
  <c r="K21" i="26"/>
  <c r="K23" i="26" s="1"/>
  <c r="K24" i="26" s="1"/>
  <c r="R59" i="26"/>
  <c r="S17" i="26"/>
  <c r="S19" i="26" s="1"/>
  <c r="S20" i="26" s="1"/>
  <c r="S21" i="26"/>
  <c r="S23" i="26" s="1"/>
  <c r="S24" i="26" s="1"/>
  <c r="M63" i="26"/>
  <c r="I59" i="27"/>
  <c r="J17" i="27"/>
  <c r="Q59" i="27"/>
  <c r="R17" i="27"/>
  <c r="I59" i="28"/>
  <c r="J17" i="28"/>
  <c r="J19" i="28" s="1"/>
  <c r="J20" i="28" s="1"/>
  <c r="J21" i="28"/>
  <c r="J23" i="28" s="1"/>
  <c r="J24" i="28" s="1"/>
  <c r="Q59" i="28"/>
  <c r="R21" i="28"/>
  <c r="R23" i="28" s="1"/>
  <c r="R24" i="28" s="1"/>
  <c r="R17" i="28"/>
  <c r="R19" i="28" s="1"/>
  <c r="R20" i="28" s="1"/>
  <c r="I21" i="29"/>
  <c r="I23" i="29" s="1"/>
  <c r="I24" i="29" s="1"/>
  <c r="I17" i="29"/>
  <c r="I19" i="29" s="1"/>
  <c r="I20" i="29" s="1"/>
  <c r="Q21" i="29"/>
  <c r="Q17" i="29"/>
  <c r="Q19" i="29" s="1"/>
  <c r="Q20" i="29" s="1"/>
  <c r="H17" i="30"/>
  <c r="H19" i="30" s="1"/>
  <c r="H21" i="30"/>
  <c r="H23" i="30" s="1"/>
  <c r="P17" i="30"/>
  <c r="P21" i="30"/>
  <c r="P23"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C23" i="27" s="1"/>
  <c r="C24" i="27" s="1"/>
  <c r="B59" i="28"/>
  <c r="C21" i="28"/>
  <c r="C23" i="28" s="1"/>
  <c r="C24" i="28" s="1"/>
  <c r="C17" i="28"/>
  <c r="C19" i="28" s="1"/>
  <c r="C20" i="28" s="1"/>
  <c r="B59" i="29"/>
  <c r="C21" i="29"/>
  <c r="C23" i="29" s="1"/>
  <c r="C24" i="29" s="1"/>
  <c r="C17" i="29"/>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C19" i="26" s="1"/>
  <c r="C20" i="26" s="1"/>
  <c r="B59" i="21"/>
  <c r="C21" i="21"/>
  <c r="C17" i="21"/>
  <c r="C19" i="21" s="1"/>
  <c r="C20" i="21" s="1"/>
  <c r="D23" i="21"/>
  <c r="D24" i="21" s="1"/>
  <c r="S58" i="21"/>
  <c r="S61" i="21" s="1"/>
  <c r="C58" i="21"/>
  <c r="C61" i="21" s="1"/>
  <c r="C64" i="21" s="1"/>
  <c r="C65" i="21" s="1"/>
  <c r="K58" i="21"/>
  <c r="K61" i="21" s="1"/>
  <c r="K64" i="21" s="1"/>
  <c r="K65" i="21" s="1"/>
  <c r="I21" i="27"/>
  <c r="I23" i="27" s="1"/>
  <c r="Q21" i="27"/>
  <c r="Q23" i="27" s="1"/>
  <c r="R58" i="21"/>
  <c r="R61" i="21" s="1"/>
  <c r="R64" i="21" s="1"/>
  <c r="O57" i="21"/>
  <c r="A43" i="21"/>
  <c r="J58" i="21"/>
  <c r="J61" i="21" s="1"/>
  <c r="E19" i="21"/>
  <c r="E20" i="21" s="1"/>
  <c r="G23" i="26"/>
  <c r="G24" i="26" s="1"/>
  <c r="D58" i="29"/>
  <c r="D61" i="29" s="1"/>
  <c r="P23" i="26"/>
  <c r="P24" i="26" s="1"/>
  <c r="G21" i="27"/>
  <c r="G23" i="27" s="1"/>
  <c r="O21" i="27"/>
  <c r="O23" i="27" s="1"/>
  <c r="D58" i="30"/>
  <c r="D61" i="30" s="1"/>
  <c r="D64" i="30" s="1"/>
  <c r="D65" i="30" s="1"/>
  <c r="L58" i="30"/>
  <c r="L61" i="30" s="1"/>
  <c r="L64" i="30" s="1"/>
  <c r="L65" i="30" s="1"/>
  <c r="R58" i="23"/>
  <c r="R61" i="23" s="1"/>
  <c r="H21" i="27"/>
  <c r="H23" i="27" s="1"/>
  <c r="P21" i="27"/>
  <c r="J58" i="22"/>
  <c r="J61" i="22" s="1"/>
  <c r="J58" i="26"/>
  <c r="J61" i="26" s="1"/>
  <c r="J58" i="27"/>
  <c r="J61" i="27" s="1"/>
  <c r="J64" i="27" s="1"/>
  <c r="J65" i="27" s="1"/>
  <c r="R58" i="27"/>
  <c r="R61" i="27" s="1"/>
  <c r="R64" i="27" s="1"/>
  <c r="R65" i="27" s="1"/>
  <c r="R58" i="28"/>
  <c r="R61" i="28" s="1"/>
  <c r="R64" i="28" s="1"/>
  <c r="R65" i="28" s="1"/>
  <c r="F58" i="22"/>
  <c r="F61" i="22" s="1"/>
  <c r="N58" i="22"/>
  <c r="N61" i="22" s="1"/>
  <c r="F58" i="23"/>
  <c r="F61" i="23" s="1"/>
  <c r="N58" i="23"/>
  <c r="N61" i="23" s="1"/>
  <c r="D19" i="27"/>
  <c r="L21" i="27"/>
  <c r="L23" i="27" s="1"/>
  <c r="T21" i="27"/>
  <c r="T23" i="27" s="1"/>
  <c r="H57" i="29"/>
  <c r="P58" i="21"/>
  <c r="P61" i="21" s="1"/>
  <c r="P64" i="21" s="1"/>
  <c r="P65" i="21" s="1"/>
  <c r="H58" i="21"/>
  <c r="H61" i="21" s="1"/>
  <c r="N59" i="23"/>
  <c r="R58" i="26"/>
  <c r="R61" i="26" s="1"/>
  <c r="R57" i="21"/>
  <c r="H58" i="22"/>
  <c r="H61" i="22" s="1"/>
  <c r="H64" i="22" s="1"/>
  <c r="H65" i="22" s="1"/>
  <c r="P58" i="22"/>
  <c r="P61" i="22" s="1"/>
  <c r="P64" i="22" s="1"/>
  <c r="P65" i="22" s="1"/>
  <c r="F59" i="22"/>
  <c r="K58" i="29"/>
  <c r="K61" i="29" s="1"/>
  <c r="I58" i="23"/>
  <c r="I61" i="23" s="1"/>
  <c r="I64" i="23" s="1"/>
  <c r="I65" i="23" s="1"/>
  <c r="Q58" i="23"/>
  <c r="Q61" i="23" s="1"/>
  <c r="L58" i="29"/>
  <c r="L61" i="29" s="1"/>
  <c r="T58" i="29"/>
  <c r="T61" i="29" s="1"/>
  <c r="I23" i="30"/>
  <c r="Q23" i="30"/>
  <c r="J58" i="28"/>
  <c r="J61" i="28" s="1"/>
  <c r="J64" i="28" s="1"/>
  <c r="J65" i="28" s="1"/>
  <c r="R58" i="22"/>
  <c r="R61" i="22" s="1"/>
  <c r="R64" i="22" s="1"/>
  <c r="R65" i="22" s="1"/>
  <c r="J58" i="23"/>
  <c r="J61" i="23" s="1"/>
  <c r="J64" i="23" s="1"/>
  <c r="J65" i="23" s="1"/>
  <c r="J58" i="24"/>
  <c r="J61" i="24" s="1"/>
  <c r="J64" i="24" s="1"/>
  <c r="R58" i="24"/>
  <c r="R61" i="24" s="1"/>
  <c r="F57" i="24"/>
  <c r="T58" i="30"/>
  <c r="T61" i="30" s="1"/>
  <c r="T64" i="30" s="1"/>
  <c r="T65" i="30" s="1"/>
  <c r="C58" i="23"/>
  <c r="C61" i="23" s="1"/>
  <c r="C64" i="23" s="1"/>
  <c r="C65" i="23" s="1"/>
  <c r="K58" i="23"/>
  <c r="K61" i="23" s="1"/>
  <c r="S58" i="23"/>
  <c r="S61" i="23" s="1"/>
  <c r="F58" i="26"/>
  <c r="F61" i="26" s="1"/>
  <c r="D58" i="27"/>
  <c r="D61" i="27" s="1"/>
  <c r="D64" i="27" s="1"/>
  <c r="D65" i="27" s="1"/>
  <c r="L58" i="27"/>
  <c r="L61" i="27" s="1"/>
  <c r="T58" i="27"/>
  <c r="T61" i="27" s="1"/>
  <c r="T64" i="27" s="1"/>
  <c r="T65" i="27" s="1"/>
  <c r="J58" i="30"/>
  <c r="J61" i="30" s="1"/>
  <c r="J64" i="30" s="1"/>
  <c r="J65" i="30" s="1"/>
  <c r="R58" i="30"/>
  <c r="R61" i="30" s="1"/>
  <c r="R64" i="30" s="1"/>
  <c r="R65" i="30" s="1"/>
  <c r="P57" i="30"/>
  <c r="J57" i="21"/>
  <c r="H59" i="21"/>
  <c r="Q23" i="22"/>
  <c r="J19" i="27"/>
  <c r="R21" i="27"/>
  <c r="R23" i="27" s="1"/>
  <c r="E58" i="27"/>
  <c r="E61" i="27" s="1"/>
  <c r="M58" i="27"/>
  <c r="M61" i="27" s="1"/>
  <c r="U58" i="27"/>
  <c r="U61" i="27" s="1"/>
  <c r="I58" i="29"/>
  <c r="I61" i="29" s="1"/>
  <c r="I64" i="29" s="1"/>
  <c r="I65" i="29" s="1"/>
  <c r="Q58" i="29"/>
  <c r="Q61" i="29" s="1"/>
  <c r="F58" i="30"/>
  <c r="F61" i="30" s="1"/>
  <c r="N58" i="30"/>
  <c r="N61" i="30" s="1"/>
  <c r="G59" i="21"/>
  <c r="G58" i="22"/>
  <c r="G61" i="22" s="1"/>
  <c r="O58" i="22"/>
  <c r="O61" i="22" s="1"/>
  <c r="O64" i="22" s="1"/>
  <c r="O65" i="22" s="1"/>
  <c r="F59" i="23"/>
  <c r="C58" i="24"/>
  <c r="C61" i="24" s="1"/>
  <c r="K58" i="24"/>
  <c r="K61" i="24" s="1"/>
  <c r="S58" i="24"/>
  <c r="S61" i="24" s="1"/>
  <c r="N57" i="24"/>
  <c r="G58" i="26"/>
  <c r="G61" i="26" s="1"/>
  <c r="O58" i="26"/>
  <c r="O61" i="26" s="1"/>
  <c r="F58" i="27"/>
  <c r="F61" i="27" s="1"/>
  <c r="N58" i="27"/>
  <c r="N61" i="27" s="1"/>
  <c r="C58" i="28"/>
  <c r="C61" i="28" s="1"/>
  <c r="K58" i="28"/>
  <c r="K61" i="28" s="1"/>
  <c r="K64" i="28" s="1"/>
  <c r="K65" i="28" s="1"/>
  <c r="S58" i="28"/>
  <c r="S61" i="28" s="1"/>
  <c r="J58" i="29"/>
  <c r="J61" i="29" s="1"/>
  <c r="R58" i="29"/>
  <c r="R61" i="29" s="1"/>
  <c r="R64" i="29" s="1"/>
  <c r="P57" i="29"/>
  <c r="L23" i="30"/>
  <c r="T23" i="30"/>
  <c r="G58" i="30"/>
  <c r="G61" i="30" s="1"/>
  <c r="O58" i="30"/>
  <c r="O61" i="30" s="1"/>
  <c r="Q57" i="30"/>
  <c r="A36" i="22"/>
  <c r="G58" i="27"/>
  <c r="G61" i="27" s="1"/>
  <c r="T58" i="28"/>
  <c r="T61" i="28" s="1"/>
  <c r="C58" i="29"/>
  <c r="C61" i="29" s="1"/>
  <c r="C64" i="29" s="1"/>
  <c r="C65" i="29" s="1"/>
  <c r="H58" i="30"/>
  <c r="H61" i="30" s="1"/>
  <c r="H64" i="30" s="1"/>
  <c r="H65" i="30" s="1"/>
  <c r="N59" i="30"/>
  <c r="Q57" i="21"/>
  <c r="B58" i="21"/>
  <c r="B61" i="21" s="1"/>
  <c r="I58" i="22"/>
  <c r="I61" i="22" s="1"/>
  <c r="I64" i="22" s="1"/>
  <c r="I65" i="22" s="1"/>
  <c r="Q58" i="22"/>
  <c r="Q61" i="22" s="1"/>
  <c r="D58" i="23"/>
  <c r="D61" i="23" s="1"/>
  <c r="L58" i="23"/>
  <c r="L61" i="23" s="1"/>
  <c r="L64" i="23" s="1"/>
  <c r="L65" i="23" s="1"/>
  <c r="T58" i="23"/>
  <c r="T61" i="23" s="1"/>
  <c r="T64" i="23" s="1"/>
  <c r="T65" i="23" s="1"/>
  <c r="E58" i="24"/>
  <c r="E61" i="24" s="1"/>
  <c r="M58" i="24"/>
  <c r="M61" i="24" s="1"/>
  <c r="U58" i="24"/>
  <c r="U61" i="24" s="1"/>
  <c r="N59" i="26"/>
  <c r="H58" i="27"/>
  <c r="H61" i="27" s="1"/>
  <c r="P58" i="27"/>
  <c r="P61" i="27" s="1"/>
  <c r="F57" i="27"/>
  <c r="E58" i="28"/>
  <c r="E61" i="28" s="1"/>
  <c r="M58" i="28"/>
  <c r="M61" i="28" s="1"/>
  <c r="U58" i="28"/>
  <c r="U61" i="28" s="1"/>
  <c r="I58" i="30"/>
  <c r="I61" i="30" s="1"/>
  <c r="I64" i="30" s="1"/>
  <c r="I65" i="30" s="1"/>
  <c r="Q58" i="30"/>
  <c r="Q61" i="30" s="1"/>
  <c r="Q64" i="30" s="1"/>
  <c r="Q65" i="30" s="1"/>
  <c r="P59" i="30"/>
  <c r="L58" i="24"/>
  <c r="L61" i="24" s="1"/>
  <c r="L64" i="24" s="1"/>
  <c r="P58" i="26"/>
  <c r="P61" i="26" s="1"/>
  <c r="F59" i="26"/>
  <c r="O58" i="27"/>
  <c r="O61" i="27" s="1"/>
  <c r="A38" i="21"/>
  <c r="F57" i="22"/>
  <c r="N59" i="22"/>
  <c r="E58" i="23"/>
  <c r="E61" i="23" s="1"/>
  <c r="E64" i="23" s="1"/>
  <c r="E65" i="23" s="1"/>
  <c r="M58" i="23"/>
  <c r="M61" i="23" s="1"/>
  <c r="U58" i="23"/>
  <c r="U61" i="23" s="1"/>
  <c r="U64" i="23" s="1"/>
  <c r="U65" i="23" s="1"/>
  <c r="O23" i="24"/>
  <c r="O24" i="24" s="1"/>
  <c r="F58" i="24"/>
  <c r="F61" i="24" s="1"/>
  <c r="N58" i="24"/>
  <c r="N61" i="24" s="1"/>
  <c r="F59" i="24"/>
  <c r="I58" i="27"/>
  <c r="I61" i="27" s="1"/>
  <c r="I64" i="27" s="1"/>
  <c r="I65" i="27" s="1"/>
  <c r="Q58" i="27"/>
  <c r="Q61" i="27" s="1"/>
  <c r="H57" i="27"/>
  <c r="F59" i="27"/>
  <c r="F58" i="28"/>
  <c r="F61" i="28" s="1"/>
  <c r="N58" i="28"/>
  <c r="N61" i="28" s="1"/>
  <c r="E58" i="29"/>
  <c r="E61" i="29" s="1"/>
  <c r="M58" i="29"/>
  <c r="M61" i="29" s="1"/>
  <c r="U58" i="29"/>
  <c r="U61" i="29" s="1"/>
  <c r="F57" i="30"/>
  <c r="N58" i="26"/>
  <c r="N61" i="26" s="1"/>
  <c r="T58" i="24"/>
  <c r="T61" i="24" s="1"/>
  <c r="T64" i="24" s="1"/>
  <c r="H58" i="26"/>
  <c r="H61" i="26" s="1"/>
  <c r="H64" i="26" s="1"/>
  <c r="L58" i="28"/>
  <c r="L61" i="28" s="1"/>
  <c r="S58" i="29"/>
  <c r="S61" i="29" s="1"/>
  <c r="S64" i="29" s="1"/>
  <c r="P19" i="21"/>
  <c r="P20" i="21" s="1"/>
  <c r="C58" i="22"/>
  <c r="C61" i="22" s="1"/>
  <c r="C64" i="22" s="1"/>
  <c r="C65" i="22" s="1"/>
  <c r="K58" i="22"/>
  <c r="K61" i="22" s="1"/>
  <c r="K64" i="22" s="1"/>
  <c r="K65" i="22" s="1"/>
  <c r="S58" i="22"/>
  <c r="S61" i="22" s="1"/>
  <c r="S64" i="22" s="1"/>
  <c r="S65" i="22" s="1"/>
  <c r="F57" i="23"/>
  <c r="D23" i="24"/>
  <c r="D24" i="24" s="1"/>
  <c r="L23" i="24"/>
  <c r="L24" i="24" s="1"/>
  <c r="G58" i="24"/>
  <c r="G61" i="24" s="1"/>
  <c r="O58" i="24"/>
  <c r="O61" i="24" s="1"/>
  <c r="N59" i="24"/>
  <c r="C58" i="26"/>
  <c r="C61" i="26" s="1"/>
  <c r="C64" i="26" s="1"/>
  <c r="C65" i="26" s="1"/>
  <c r="K58" i="26"/>
  <c r="K61" i="26" s="1"/>
  <c r="S58" i="26"/>
  <c r="S61" i="26" s="1"/>
  <c r="S64" i="26" s="1"/>
  <c r="P23" i="27"/>
  <c r="N57" i="27"/>
  <c r="H59" i="27"/>
  <c r="G58" i="28"/>
  <c r="G61" i="28" s="1"/>
  <c r="O58" i="28"/>
  <c r="O61" i="28" s="1"/>
  <c r="F57" i="28"/>
  <c r="F58" i="29"/>
  <c r="F61" i="29" s="1"/>
  <c r="N58" i="29"/>
  <c r="N61" i="29" s="1"/>
  <c r="H59" i="29"/>
  <c r="C58" i="30"/>
  <c r="C61" i="30" s="1"/>
  <c r="C64" i="30" s="1"/>
  <c r="C65" i="30" s="1"/>
  <c r="K58" i="30"/>
  <c r="K61" i="30" s="1"/>
  <c r="S58" i="30"/>
  <c r="S61" i="30" s="1"/>
  <c r="H57" i="30"/>
  <c r="D58" i="24"/>
  <c r="D61" i="24" s="1"/>
  <c r="D64" i="24" s="1"/>
  <c r="D65" i="24" s="1"/>
  <c r="D58" i="28"/>
  <c r="D61" i="28" s="1"/>
  <c r="D64" i="28" s="1"/>
  <c r="P58" i="30"/>
  <c r="P61" i="30" s="1"/>
  <c r="Q58" i="21"/>
  <c r="Q61" i="21" s="1"/>
  <c r="Q64" i="21" s="1"/>
  <c r="I58" i="21"/>
  <c r="I61" i="21" s="1"/>
  <c r="D58" i="22"/>
  <c r="D61" i="22" s="1"/>
  <c r="L58" i="22"/>
  <c r="L61" i="22" s="1"/>
  <c r="T58" i="22"/>
  <c r="T61" i="22" s="1"/>
  <c r="T64" i="22" s="1"/>
  <c r="T65" i="22" s="1"/>
  <c r="A37" i="22"/>
  <c r="N57" i="22"/>
  <c r="G58" i="23"/>
  <c r="G61" i="23" s="1"/>
  <c r="O58" i="23"/>
  <c r="O61" i="23" s="1"/>
  <c r="N57" i="23"/>
  <c r="H58" i="24"/>
  <c r="H61" i="24" s="1"/>
  <c r="P58" i="24"/>
  <c r="P61" i="24" s="1"/>
  <c r="D58" i="26"/>
  <c r="D61" i="26" s="1"/>
  <c r="L58" i="26"/>
  <c r="L61" i="26" s="1"/>
  <c r="T58" i="26"/>
  <c r="T61" i="26" s="1"/>
  <c r="F57" i="26"/>
  <c r="C58" i="27"/>
  <c r="C61" i="27" s="1"/>
  <c r="C64" i="27" s="1"/>
  <c r="C65" i="27" s="1"/>
  <c r="K58" i="27"/>
  <c r="K61" i="27" s="1"/>
  <c r="K64" i="27" s="1"/>
  <c r="K65" i="27" s="1"/>
  <c r="S58" i="27"/>
  <c r="S61" i="27" s="1"/>
  <c r="S64" i="27" s="1"/>
  <c r="S65" i="27" s="1"/>
  <c r="P57" i="27"/>
  <c r="N59" i="27"/>
  <c r="H58" i="28"/>
  <c r="H61" i="28" s="1"/>
  <c r="P58" i="28"/>
  <c r="P61" i="28" s="1"/>
  <c r="N57" i="28"/>
  <c r="D23" i="29"/>
  <c r="D24" i="29" s="1"/>
  <c r="L23" i="29"/>
  <c r="L24" i="29" s="1"/>
  <c r="G58" i="29"/>
  <c r="G61" i="29" s="1"/>
  <c r="O58" i="29"/>
  <c r="O61" i="29" s="1"/>
  <c r="P59" i="29"/>
  <c r="I57" i="30"/>
  <c r="M19" i="21"/>
  <c r="M20" i="21" s="1"/>
  <c r="G57" i="21"/>
  <c r="E58" i="22"/>
  <c r="E61" i="22" s="1"/>
  <c r="E64" i="22" s="1"/>
  <c r="E65" i="22" s="1"/>
  <c r="M58" i="22"/>
  <c r="M61" i="22" s="1"/>
  <c r="U58" i="22"/>
  <c r="U61" i="22" s="1"/>
  <c r="A45" i="22"/>
  <c r="O57" i="22"/>
  <c r="H58" i="23"/>
  <c r="H61" i="23" s="1"/>
  <c r="P58" i="23"/>
  <c r="P61" i="23" s="1"/>
  <c r="P64" i="23" s="1"/>
  <c r="P65" i="23" s="1"/>
  <c r="I58" i="24"/>
  <c r="I61" i="24" s="1"/>
  <c r="Q58" i="24"/>
  <c r="Q61" i="24" s="1"/>
  <c r="Q64" i="24" s="1"/>
  <c r="E58" i="26"/>
  <c r="E61" i="26" s="1"/>
  <c r="M58" i="26"/>
  <c r="M61" i="26" s="1"/>
  <c r="M64" i="26" s="1"/>
  <c r="U58" i="26"/>
  <c r="U61" i="26" s="1"/>
  <c r="N57" i="26"/>
  <c r="P59" i="27"/>
  <c r="I58" i="28"/>
  <c r="I61" i="28" s="1"/>
  <c r="I64" i="28" s="1"/>
  <c r="Q58" i="28"/>
  <c r="Q61" i="28" s="1"/>
  <c r="Q64" i="28" s="1"/>
  <c r="P23" i="28"/>
  <c r="P24" i="28" s="1"/>
  <c r="H58" i="29"/>
  <c r="H61" i="29" s="1"/>
  <c r="P58" i="29"/>
  <c r="P61" i="29" s="1"/>
  <c r="E58" i="30"/>
  <c r="E61" i="30" s="1"/>
  <c r="E64" i="30" s="1"/>
  <c r="E65" i="30" s="1"/>
  <c r="M58" i="30"/>
  <c r="M61" i="30" s="1"/>
  <c r="U58" i="30"/>
  <c r="U61" i="30" s="1"/>
  <c r="N57" i="30"/>
  <c r="F59" i="30"/>
  <c r="B58" i="30"/>
  <c r="B61" i="30" s="1"/>
  <c r="B58" i="24"/>
  <c r="B61" i="24" s="1"/>
  <c r="B64"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G23" i="30"/>
  <c r="F63" i="30"/>
  <c r="N63" i="30"/>
  <c r="K19" i="30"/>
  <c r="A31" i="30"/>
  <c r="A33" i="30"/>
  <c r="A39" i="30"/>
  <c r="A41" i="30"/>
  <c r="A47" i="30"/>
  <c r="A49" i="30"/>
  <c r="G57" i="30"/>
  <c r="O57" i="30"/>
  <c r="G59" i="30"/>
  <c r="G64" i="30" s="1"/>
  <c r="G65" i="30" s="1"/>
  <c r="O59" i="30"/>
  <c r="G63" i="30"/>
  <c r="O63" i="30"/>
  <c r="P63" i="30"/>
  <c r="I63" i="30"/>
  <c r="Q63" i="30"/>
  <c r="N19" i="30"/>
  <c r="N23" i="30"/>
  <c r="B63" i="30"/>
  <c r="J63" i="30"/>
  <c r="R63" i="30"/>
  <c r="M19" i="30"/>
  <c r="A32" i="30"/>
  <c r="A34" i="30"/>
  <c r="A40" i="30"/>
  <c r="A42" i="30"/>
  <c r="A48" i="30"/>
  <c r="A50" i="30"/>
  <c r="C63" i="30"/>
  <c r="K63" i="30"/>
  <c r="S63" i="30"/>
  <c r="P19" i="30"/>
  <c r="D63" i="30"/>
  <c r="L63" i="30"/>
  <c r="T63" i="30"/>
  <c r="H63" i="30"/>
  <c r="E63" i="30"/>
  <c r="M63" i="30"/>
  <c r="Q23" i="29"/>
  <c r="Q24" i="29" s="1"/>
  <c r="O23" i="29"/>
  <c r="O24" i="29" s="1"/>
  <c r="P63" i="29"/>
  <c r="J19" i="29"/>
  <c r="J20" i="29" s="1"/>
  <c r="R19" i="29"/>
  <c r="R20" i="29" s="1"/>
  <c r="J23" i="29"/>
  <c r="J24" i="29" s="1"/>
  <c r="F57" i="29"/>
  <c r="N57" i="29"/>
  <c r="F59" i="29"/>
  <c r="N59" i="29"/>
  <c r="F63" i="29"/>
  <c r="N63" i="29"/>
  <c r="H63" i="29"/>
  <c r="S19" i="29"/>
  <c r="S20" i="29" s="1"/>
  <c r="K23" i="29"/>
  <c r="K24" i="29" s="1"/>
  <c r="A31" i="29"/>
  <c r="A33" i="29"/>
  <c r="A39" i="29"/>
  <c r="A41" i="29"/>
  <c r="A47" i="29"/>
  <c r="A49" i="29"/>
  <c r="G57" i="29"/>
  <c r="O57" i="29"/>
  <c r="G59" i="29"/>
  <c r="O59" i="29"/>
  <c r="G63" i="29"/>
  <c r="O63" i="29"/>
  <c r="U19" i="29"/>
  <c r="U20" i="29" s="1"/>
  <c r="U23" i="29"/>
  <c r="U24" i="29" s="1"/>
  <c r="I57" i="29"/>
  <c r="Q57" i="29"/>
  <c r="I63" i="29"/>
  <c r="Q63" i="29"/>
  <c r="F19" i="29"/>
  <c r="F20" i="29" s="1"/>
  <c r="N19" i="29"/>
  <c r="N20" i="29" s="1"/>
  <c r="F23" i="29"/>
  <c r="F24" i="29" s="1"/>
  <c r="N23" i="29"/>
  <c r="N24" i="29" s="1"/>
  <c r="B63" i="29"/>
  <c r="J63" i="29"/>
  <c r="R63" i="29"/>
  <c r="L19" i="29"/>
  <c r="L20" i="29" s="1"/>
  <c r="G19" i="29"/>
  <c r="G20" i="29" s="1"/>
  <c r="O19" i="29"/>
  <c r="O20" i="29" s="1"/>
  <c r="A32" i="29"/>
  <c r="A34" i="29"/>
  <c r="A40" i="29"/>
  <c r="A42" i="29"/>
  <c r="A48" i="29"/>
  <c r="A50" i="29"/>
  <c r="C63" i="29"/>
  <c r="K63" i="29"/>
  <c r="S63" i="29"/>
  <c r="H19" i="29"/>
  <c r="H20" i="29" s="1"/>
  <c r="D63" i="29"/>
  <c r="L63" i="29"/>
  <c r="T63" i="29"/>
  <c r="E63" i="29"/>
  <c r="M63" i="29"/>
  <c r="K19" i="28"/>
  <c r="K20" i="28" s="1"/>
  <c r="A31" i="28"/>
  <c r="A33" i="28"/>
  <c r="A37" i="28"/>
  <c r="A39" i="28"/>
  <c r="A41" i="28"/>
  <c r="A45" i="28"/>
  <c r="A47" i="28"/>
  <c r="A49" i="28"/>
  <c r="G57" i="28"/>
  <c r="O57" i="28"/>
  <c r="G59" i="28"/>
  <c r="O59" i="28"/>
  <c r="G63" i="28"/>
  <c r="O63" i="28"/>
  <c r="D19" i="28"/>
  <c r="D20" i="28" s="1"/>
  <c r="T23" i="28"/>
  <c r="T24" i="28" s="1"/>
  <c r="H59" i="28"/>
  <c r="P59" i="28"/>
  <c r="H63" i="28"/>
  <c r="P63" i="28"/>
  <c r="E19" i="28"/>
  <c r="E20" i="28" s="1"/>
  <c r="M19" i="28"/>
  <c r="M20" i="28" s="1"/>
  <c r="U19" i="28"/>
  <c r="U20" i="28" s="1"/>
  <c r="M23" i="28"/>
  <c r="M24" i="28" s="1"/>
  <c r="I57" i="28"/>
  <c r="Q57" i="28"/>
  <c r="I63" i="28"/>
  <c r="Q63" i="28"/>
  <c r="N23" i="28"/>
  <c r="N24" i="28" s="1"/>
  <c r="V23" i="28"/>
  <c r="V24" i="28" s="1"/>
  <c r="B63" i="28"/>
  <c r="J63" i="28"/>
  <c r="R63" i="28"/>
  <c r="A32" i="28"/>
  <c r="A34" i="28"/>
  <c r="A40" i="28"/>
  <c r="A42" i="28"/>
  <c r="A48" i="28"/>
  <c r="A50" i="28"/>
  <c r="C63" i="28"/>
  <c r="K63" i="28"/>
  <c r="S63" i="28"/>
  <c r="H19" i="28"/>
  <c r="H20" i="28" s="1"/>
  <c r="D63" i="28"/>
  <c r="L63" i="28"/>
  <c r="T63" i="28"/>
  <c r="I19" i="28"/>
  <c r="I20" i="28" s="1"/>
  <c r="E63" i="28"/>
  <c r="M63" i="28"/>
  <c r="R19" i="27"/>
  <c r="J21" i="27"/>
  <c r="J23" i="27" s="1"/>
  <c r="F63" i="27"/>
  <c r="N63" i="27"/>
  <c r="K21" i="27"/>
  <c r="K23" i="27" s="1"/>
  <c r="S21" i="27"/>
  <c r="S23" i="27" s="1"/>
  <c r="A31" i="27"/>
  <c r="A33" i="27"/>
  <c r="A39" i="27"/>
  <c r="A41" i="27"/>
  <c r="A47" i="27"/>
  <c r="A49" i="27"/>
  <c r="G57" i="27"/>
  <c r="O57" i="27"/>
  <c r="G59" i="27"/>
  <c r="O59" i="27"/>
  <c r="G63" i="27"/>
  <c r="O63" i="27"/>
  <c r="D21" i="27"/>
  <c r="D23" i="27" s="1"/>
  <c r="P63" i="27"/>
  <c r="U19" i="27"/>
  <c r="E21" i="27"/>
  <c r="E23" i="27" s="1"/>
  <c r="M21" i="27"/>
  <c r="M23" i="27" s="1"/>
  <c r="U21" i="27"/>
  <c r="U23" i="27" s="1"/>
  <c r="I57" i="27"/>
  <c r="Q57" i="27"/>
  <c r="I63" i="27"/>
  <c r="Q63" i="27"/>
  <c r="F21" i="27"/>
  <c r="F23" i="27" s="1"/>
  <c r="N21" i="27"/>
  <c r="N23" i="27" s="1"/>
  <c r="V21" i="27"/>
  <c r="V23" i="27" s="1"/>
  <c r="B63" i="27"/>
  <c r="J63" i="27"/>
  <c r="R63" i="27"/>
  <c r="G19" i="27"/>
  <c r="A32" i="27"/>
  <c r="A34" i="27"/>
  <c r="A40" i="27"/>
  <c r="A42" i="27"/>
  <c r="A48" i="27"/>
  <c r="A50" i="27"/>
  <c r="C63" i="27"/>
  <c r="K63" i="27"/>
  <c r="S63" i="27"/>
  <c r="D63" i="27"/>
  <c r="L63" i="27"/>
  <c r="T63" i="27"/>
  <c r="H63" i="27"/>
  <c r="Q19" i="27"/>
  <c r="E63" i="27"/>
  <c r="M63" i="27"/>
  <c r="O23" i="26"/>
  <c r="O24" i="26" s="1"/>
  <c r="A31" i="26"/>
  <c r="A33" i="26"/>
  <c r="A37" i="26"/>
  <c r="A39" i="26"/>
  <c r="A41" i="26"/>
  <c r="A45" i="26"/>
  <c r="A47" i="26"/>
  <c r="A49" i="26"/>
  <c r="G57" i="26"/>
  <c r="O57" i="26"/>
  <c r="G59" i="26"/>
  <c r="O59" i="26"/>
  <c r="G63" i="26"/>
  <c r="O63" i="26"/>
  <c r="L19" i="26"/>
  <c r="L20" i="26" s="1"/>
  <c r="T19" i="26"/>
  <c r="T20" i="26" s="1"/>
  <c r="T23" i="26"/>
  <c r="T24" i="26" s="1"/>
  <c r="H63" i="26"/>
  <c r="P63" i="26"/>
  <c r="M19" i="26"/>
  <c r="M20" i="26" s="1"/>
  <c r="M23" i="26"/>
  <c r="M24" i="26" s="1"/>
  <c r="I57" i="26"/>
  <c r="Q57" i="26"/>
  <c r="I59" i="26"/>
  <c r="Q59" i="26"/>
  <c r="I63" i="26"/>
  <c r="Q63" i="26"/>
  <c r="N23" i="26"/>
  <c r="N24" i="26" s="1"/>
  <c r="B63" i="26"/>
  <c r="J63" i="26"/>
  <c r="R63" i="26"/>
  <c r="G19" i="26"/>
  <c r="G20" i="26" s="1"/>
  <c r="O19" i="26"/>
  <c r="O20" i="26" s="1"/>
  <c r="A32" i="26"/>
  <c r="A34" i="26"/>
  <c r="A40" i="26"/>
  <c r="A42" i="26"/>
  <c r="A48" i="26"/>
  <c r="A50" i="26"/>
  <c r="C63" i="26"/>
  <c r="K63" i="26"/>
  <c r="S63" i="26"/>
  <c r="H19" i="26"/>
  <c r="H20" i="26" s="1"/>
  <c r="D63" i="26"/>
  <c r="L63" i="26"/>
  <c r="J23" i="24"/>
  <c r="J24" i="24" s="1"/>
  <c r="H23" i="24"/>
  <c r="H24" i="24" s="1"/>
  <c r="P23" i="24"/>
  <c r="P24" i="24" s="1"/>
  <c r="K19" i="24"/>
  <c r="K20" i="24" s="1"/>
  <c r="A31" i="24"/>
  <c r="A33" i="24"/>
  <c r="A37" i="24"/>
  <c r="A39" i="24"/>
  <c r="A41" i="24"/>
  <c r="A45" i="24"/>
  <c r="A47" i="24"/>
  <c r="A49" i="24"/>
  <c r="G57" i="24"/>
  <c r="O57" i="24"/>
  <c r="G59" i="24"/>
  <c r="O59" i="24"/>
  <c r="G63" i="24"/>
  <c r="O63" i="24"/>
  <c r="H59" i="24"/>
  <c r="P59" i="24"/>
  <c r="H63" i="24"/>
  <c r="P63" i="24"/>
  <c r="E19" i="24"/>
  <c r="E20" i="24" s="1"/>
  <c r="U19" i="24"/>
  <c r="U20" i="24" s="1"/>
  <c r="I57" i="24"/>
  <c r="Q57" i="24"/>
  <c r="I63" i="24"/>
  <c r="Q63" i="24"/>
  <c r="F19" i="24"/>
  <c r="F20" i="24" s="1"/>
  <c r="F23" i="24"/>
  <c r="F24" i="24" s="1"/>
  <c r="V23" i="24"/>
  <c r="V24" i="24" s="1"/>
  <c r="B63" i="24"/>
  <c r="J63" i="24"/>
  <c r="R63" i="24"/>
  <c r="A32" i="24"/>
  <c r="A34" i="24"/>
  <c r="A40" i="24"/>
  <c r="A42" i="24"/>
  <c r="A48" i="24"/>
  <c r="A50" i="24"/>
  <c r="C63" i="24"/>
  <c r="K63" i="24"/>
  <c r="S63" i="24"/>
  <c r="R23" i="24"/>
  <c r="R24" i="24" s="1"/>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A31" i="23"/>
  <c r="A33" i="23"/>
  <c r="A37" i="23"/>
  <c r="A39" i="23"/>
  <c r="A41" i="23"/>
  <c r="A45" i="23"/>
  <c r="A47" i="23"/>
  <c r="A49" i="23"/>
  <c r="G57" i="23"/>
  <c r="O57" i="23"/>
  <c r="G59" i="23"/>
  <c r="O59" i="23"/>
  <c r="D23" i="23"/>
  <c r="L23" i="23"/>
  <c r="E19" i="23"/>
  <c r="M19" i="23"/>
  <c r="E23" i="23"/>
  <c r="I57" i="23"/>
  <c r="Q57" i="23"/>
  <c r="F23" i="23"/>
  <c r="G19" i="23"/>
  <c r="O19" i="23"/>
  <c r="A32" i="23"/>
  <c r="A34" i="23"/>
  <c r="A40" i="23"/>
  <c r="A42" i="23"/>
  <c r="A48" i="23"/>
  <c r="A50" i="23"/>
  <c r="H19" i="23"/>
  <c r="I19" i="23"/>
  <c r="Q19" i="23"/>
  <c r="U63" i="22"/>
  <c r="M63" i="22"/>
  <c r="E63" i="22"/>
  <c r="F63" i="22"/>
  <c r="T63" i="22"/>
  <c r="L63" i="22"/>
  <c r="D63" i="22"/>
  <c r="S63" i="22"/>
  <c r="K63" i="22"/>
  <c r="C63" i="22"/>
  <c r="N63" i="22"/>
  <c r="R63" i="22"/>
  <c r="J63" i="22"/>
  <c r="B63" i="22"/>
  <c r="Q63" i="22"/>
  <c r="I63" i="22"/>
  <c r="P63" i="22"/>
  <c r="H63" i="22"/>
  <c r="O63" i="22"/>
  <c r="G63" i="22"/>
  <c r="L19" i="22"/>
  <c r="L23" i="22"/>
  <c r="T23" i="22"/>
  <c r="K23" i="22"/>
  <c r="A31" i="22"/>
  <c r="A33" i="22"/>
  <c r="A41" i="22"/>
  <c r="A47" i="22"/>
  <c r="E19" i="22"/>
  <c r="U23" i="22"/>
  <c r="I57" i="22"/>
  <c r="Q57" i="22"/>
  <c r="K19" i="22"/>
  <c r="A39" i="22"/>
  <c r="A49" i="22"/>
  <c r="N19" i="22"/>
  <c r="A32" i="22"/>
  <c r="A34" i="22"/>
  <c r="A40" i="22"/>
  <c r="A42" i="22"/>
  <c r="A48" i="22"/>
  <c r="A50" i="22"/>
  <c r="F23" i="21"/>
  <c r="F24" i="21" s="1"/>
  <c r="A33" i="21"/>
  <c r="A37" i="21"/>
  <c r="A41" i="21"/>
  <c r="A45" i="21"/>
  <c r="A49" i="21"/>
  <c r="E58" i="21"/>
  <c r="E61" i="21" s="1"/>
  <c r="M58" i="21"/>
  <c r="M61" i="21" s="1"/>
  <c r="U58" i="21"/>
  <c r="U61" i="21" s="1"/>
  <c r="U64" i="21" s="1"/>
  <c r="I23" i="21"/>
  <c r="I24" i="21" s="1"/>
  <c r="G23" i="21"/>
  <c r="G24" i="21" s="1"/>
  <c r="C57" i="21"/>
  <c r="K57" i="21"/>
  <c r="S57" i="21"/>
  <c r="Q19" i="21"/>
  <c r="Q20" i="21" s="1"/>
  <c r="J23" i="21"/>
  <c r="J24" i="21" s="1"/>
  <c r="I19" i="21"/>
  <c r="I20" i="21" s="1"/>
  <c r="L19" i="21"/>
  <c r="L20" i="21" s="1"/>
  <c r="R19" i="21"/>
  <c r="R20" i="21" s="1"/>
  <c r="A31" i="21"/>
  <c r="L64" i="21"/>
  <c r="L65" i="21" s="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Q65" i="28" l="1"/>
  <c r="I65" i="28"/>
  <c r="D65" i="28"/>
  <c r="R65" i="29"/>
  <c r="S65" i="29"/>
  <c r="T65" i="24"/>
  <c r="L65" i="24"/>
  <c r="J65" i="24"/>
  <c r="Q65" i="24"/>
  <c r="B65" i="24"/>
  <c r="S65" i="26"/>
  <c r="H65" i="26"/>
  <c r="D65" i="21"/>
  <c r="R65" i="21"/>
  <c r="Q65" i="21"/>
  <c r="L64" i="28"/>
  <c r="L65" i="28" s="1"/>
  <c r="I64" i="26"/>
  <c r="I65" i="26" s="1"/>
  <c r="F64" i="26"/>
  <c r="U64" i="30"/>
  <c r="T64" i="29"/>
  <c r="T65" i="29" s="1"/>
  <c r="T64" i="28"/>
  <c r="T65" i="28" s="1"/>
  <c r="Q64" i="29"/>
  <c r="Q65" i="29" s="1"/>
  <c r="Q64" i="26"/>
  <c r="Q65" i="26" s="1"/>
  <c r="Q64" i="27"/>
  <c r="Q65" i="27" s="1"/>
  <c r="O64" i="21"/>
  <c r="O65" i="21" s="1"/>
  <c r="N64" i="22"/>
  <c r="N65" i="22" s="1"/>
  <c r="N64" i="21"/>
  <c r="N66" i="21" s="1"/>
  <c r="M64" i="22"/>
  <c r="M65" i="22" s="1"/>
  <c r="L64" i="26"/>
  <c r="L65" i="26" s="1"/>
  <c r="K64" i="30"/>
  <c r="K65" i="30" s="1"/>
  <c r="H64" i="23"/>
  <c r="H65" i="23" s="1"/>
  <c r="E64" i="27"/>
  <c r="E65" i="27" s="1"/>
  <c r="B64" i="30"/>
  <c r="B65" i="30" s="1"/>
  <c r="U66" i="30"/>
  <c r="U65" i="30"/>
  <c r="U66" i="26"/>
  <c r="U65" i="26"/>
  <c r="U66" i="21"/>
  <c r="U65" i="21"/>
  <c r="M66" i="26"/>
  <c r="M65" i="26"/>
  <c r="F66" i="26"/>
  <c r="F65" i="26"/>
  <c r="C19" i="29"/>
  <c r="C20" i="29" s="1"/>
  <c r="C23" i="21"/>
  <c r="C24" i="21" s="1"/>
  <c r="L64" i="22"/>
  <c r="L65" i="22" s="1"/>
  <c r="D64" i="22"/>
  <c r="D65" i="22" s="1"/>
  <c r="Q64" i="22"/>
  <c r="Q65" i="22" s="1"/>
  <c r="U64" i="22"/>
  <c r="S64" i="23"/>
  <c r="S65" i="23" s="1"/>
  <c r="M64" i="23"/>
  <c r="R64" i="23"/>
  <c r="M64" i="29"/>
  <c r="M65" i="29" s="1"/>
  <c r="D64" i="29"/>
  <c r="D65" i="29" s="1"/>
  <c r="O64" i="24"/>
  <c r="I64" i="24"/>
  <c r="I65" i="24" s="1"/>
  <c r="M64" i="24"/>
  <c r="M65" i="24" s="1"/>
  <c r="S64" i="24"/>
  <c r="S65" i="24" s="1"/>
  <c r="T64" i="26"/>
  <c r="E64" i="26"/>
  <c r="M64" i="28"/>
  <c r="M65" i="28" s="1"/>
  <c r="S64" i="28"/>
  <c r="S65" i="28" s="1"/>
  <c r="P64" i="27"/>
  <c r="P65" i="27" s="1"/>
  <c r="G64" i="21"/>
  <c r="S64" i="21"/>
  <c r="E64" i="21"/>
  <c r="F64" i="21"/>
  <c r="N64" i="28"/>
  <c r="J64" i="21"/>
  <c r="F64" i="24"/>
  <c r="F64" i="28"/>
  <c r="D64" i="26"/>
  <c r="D65" i="26" s="1"/>
  <c r="H64" i="29"/>
  <c r="S64" i="30"/>
  <c r="Q64" i="23"/>
  <c r="F64" i="30"/>
  <c r="K64" i="23"/>
  <c r="R64" i="26"/>
  <c r="R65" i="26" s="1"/>
  <c r="E64" i="24"/>
  <c r="J64" i="22"/>
  <c r="H64" i="21"/>
  <c r="H65" i="21" s="1"/>
  <c r="H64" i="28"/>
  <c r="G64" i="28"/>
  <c r="P64" i="26"/>
  <c r="P65" i="26" s="1"/>
  <c r="E64" i="28"/>
  <c r="N64" i="23"/>
  <c r="N65" i="23" s="1"/>
  <c r="J64" i="26"/>
  <c r="J65" i="26" s="1"/>
  <c r="B64" i="23"/>
  <c r="M64" i="27"/>
  <c r="H64" i="27"/>
  <c r="G64" i="22"/>
  <c r="L64" i="29"/>
  <c r="L65" i="29" s="1"/>
  <c r="G64" i="24"/>
  <c r="H64" i="24"/>
  <c r="D64" i="23"/>
  <c r="D65" i="23" s="1"/>
  <c r="K64" i="24"/>
  <c r="K65" i="24" s="1"/>
  <c r="P64" i="24"/>
  <c r="P65" i="24" s="1"/>
  <c r="U64" i="29"/>
  <c r="M64" i="30"/>
  <c r="K64" i="26"/>
  <c r="C64" i="28"/>
  <c r="C64" i="24"/>
  <c r="L64" i="27"/>
  <c r="R64" i="24"/>
  <c r="K64" i="29"/>
  <c r="J64" i="29"/>
  <c r="E64" i="29"/>
  <c r="M64" i="21"/>
  <c r="M65" i="21" s="1"/>
  <c r="P64" i="28"/>
  <c r="I64" i="21"/>
  <c r="U64" i="28"/>
  <c r="U64" i="24"/>
  <c r="F64" i="23"/>
  <c r="U64" i="27"/>
  <c r="C19" i="22"/>
  <c r="C20" i="22" s="1"/>
  <c r="S66" i="27"/>
  <c r="D66" i="30"/>
  <c r="Q66" i="30"/>
  <c r="B64" i="22"/>
  <c r="B64" i="29"/>
  <c r="B64" i="28"/>
  <c r="B64" i="27"/>
  <c r="B64" i="26"/>
  <c r="B64" i="21"/>
  <c r="P66" i="22"/>
  <c r="O64" i="27"/>
  <c r="O64" i="28"/>
  <c r="N64" i="27"/>
  <c r="N64" i="30"/>
  <c r="L66" i="30"/>
  <c r="J66" i="28"/>
  <c r="G64" i="26"/>
  <c r="G64" i="29"/>
  <c r="F64" i="22"/>
  <c r="O64" i="26"/>
  <c r="R66" i="22"/>
  <c r="T66" i="24"/>
  <c r="U66" i="23"/>
  <c r="P64" i="30"/>
  <c r="C66" i="23"/>
  <c r="P66" i="23"/>
  <c r="E66" i="22"/>
  <c r="T66" i="23"/>
  <c r="Q66" i="21"/>
  <c r="P66" i="21"/>
  <c r="K66" i="27"/>
  <c r="G64" i="23"/>
  <c r="Q66" i="24"/>
  <c r="R66" i="27"/>
  <c r="C66" i="27"/>
  <c r="H66" i="23"/>
  <c r="J66" i="27"/>
  <c r="G64" i="27"/>
  <c r="G66" i="30"/>
  <c r="J66" i="30"/>
  <c r="F64" i="27"/>
  <c r="T66" i="27"/>
  <c r="C66" i="22"/>
  <c r="T66" i="21"/>
  <c r="H66" i="30"/>
  <c r="E66" i="30"/>
  <c r="L66" i="21"/>
  <c r="S66" i="26"/>
  <c r="T66" i="30"/>
  <c r="C66" i="29"/>
  <c r="H66" i="22"/>
  <c r="R66" i="28"/>
  <c r="N64" i="26"/>
  <c r="O64" i="29"/>
  <c r="P64" i="29"/>
  <c r="S64" i="1"/>
  <c r="D66" i="27"/>
  <c r="N64" i="29"/>
  <c r="R66" i="30"/>
  <c r="L66" i="23"/>
  <c r="O66" i="22"/>
  <c r="R64" i="1"/>
  <c r="R65" i="1" s="1"/>
  <c r="J66" i="23"/>
  <c r="Q64" i="1"/>
  <c r="U64" i="1"/>
  <c r="P64" i="1"/>
  <c r="J66" i="24"/>
  <c r="F64" i="29"/>
  <c r="O64" i="23"/>
  <c r="O64" i="30"/>
  <c r="N64" i="24"/>
  <c r="B66" i="24"/>
  <c r="C66" i="30"/>
  <c r="I66" i="30"/>
  <c r="R66" i="29"/>
  <c r="I66" i="29"/>
  <c r="S66" i="29"/>
  <c r="D66" i="28"/>
  <c r="Q66" i="28"/>
  <c r="I66" i="28"/>
  <c r="K66" i="28"/>
  <c r="I66" i="27"/>
  <c r="P66" i="27"/>
  <c r="Q66" i="26"/>
  <c r="C66" i="26"/>
  <c r="H66" i="26"/>
  <c r="L66" i="24"/>
  <c r="I66" i="24"/>
  <c r="P66" i="24"/>
  <c r="D66" i="24"/>
  <c r="K66" i="24"/>
  <c r="I66" i="23"/>
  <c r="E66" i="23"/>
  <c r="I66" i="22"/>
  <c r="S66" i="22"/>
  <c r="K66" i="22"/>
  <c r="T66" i="22"/>
  <c r="K66" i="21"/>
  <c r="C66" i="21"/>
  <c r="D66" i="21"/>
  <c r="R66" i="21"/>
  <c r="N64" i="1"/>
  <c r="N65" i="1" s="1"/>
  <c r="M64" i="1"/>
  <c r="M65" i="1" s="1"/>
  <c r="T64" i="1"/>
  <c r="L64" i="1"/>
  <c r="J64" i="1"/>
  <c r="J65" i="1" s="1"/>
  <c r="K64" i="1"/>
  <c r="O64" i="1"/>
  <c r="C64" i="1"/>
  <c r="C65" i="1" s="1"/>
  <c r="I64" i="1"/>
  <c r="I65" i="1" s="1"/>
  <c r="H64" i="1"/>
  <c r="G64" i="1"/>
  <c r="F64" i="1"/>
  <c r="E64" i="1"/>
  <c r="D64" i="1"/>
  <c r="B64" i="1"/>
  <c r="B65" i="1" s="1"/>
  <c r="D63" i="1"/>
  <c r="L63" i="1"/>
  <c r="F63" i="1"/>
  <c r="R63" i="1"/>
  <c r="J63" i="1"/>
  <c r="Q63" i="1"/>
  <c r="I63" i="1"/>
  <c r="C63" i="1"/>
  <c r="K63" i="1"/>
  <c r="P63" i="1"/>
  <c r="H63" i="1"/>
  <c r="T63" i="1"/>
  <c r="S63" i="1"/>
  <c r="O63" i="1"/>
  <c r="G63" i="1"/>
  <c r="N63" i="1"/>
  <c r="E63" i="1"/>
  <c r="B63" i="1"/>
  <c r="U63" i="1"/>
  <c r="M63" i="1"/>
  <c r="O65" i="1" l="1"/>
  <c r="D65" i="1"/>
  <c r="K65" i="1"/>
  <c r="F65" i="1"/>
  <c r="L65" i="1"/>
  <c r="U65" i="1"/>
  <c r="H65" i="1"/>
  <c r="E65" i="1"/>
  <c r="P65" i="1"/>
  <c r="G65" i="1"/>
  <c r="T65" i="1"/>
  <c r="Q65" i="1"/>
  <c r="S65" i="1"/>
  <c r="R66" i="26"/>
  <c r="Q66" i="29"/>
  <c r="Q66" i="1"/>
  <c r="O66" i="21"/>
  <c r="N66" i="22"/>
  <c r="L66" i="28"/>
  <c r="L66" i="22"/>
  <c r="K66" i="30"/>
  <c r="I66" i="26"/>
  <c r="E66" i="27"/>
  <c r="T66" i="1"/>
  <c r="T66" i="28"/>
  <c r="T66" i="29"/>
  <c r="S66" i="28"/>
  <c r="Q66" i="22"/>
  <c r="Q66" i="27"/>
  <c r="P66" i="26"/>
  <c r="N65" i="21"/>
  <c r="M66" i="22"/>
  <c r="L66" i="26"/>
  <c r="J66" i="26"/>
  <c r="D66" i="26"/>
  <c r="B66" i="30"/>
  <c r="S66" i="21"/>
  <c r="S65" i="21"/>
  <c r="S66" i="23"/>
  <c r="S66" i="30"/>
  <c r="S65" i="30"/>
  <c r="S66" i="24"/>
  <c r="T66" i="26"/>
  <c r="T65" i="26"/>
  <c r="U66" i="24"/>
  <c r="U65" i="24"/>
  <c r="U66" i="28"/>
  <c r="U65" i="28"/>
  <c r="U66" i="29"/>
  <c r="U65" i="29"/>
  <c r="U66" i="22"/>
  <c r="U65" i="22"/>
  <c r="U66" i="27"/>
  <c r="U65" i="27"/>
  <c r="R66" i="23"/>
  <c r="R65" i="23"/>
  <c r="R66" i="24"/>
  <c r="R65" i="24"/>
  <c r="Q66" i="23"/>
  <c r="Q65" i="23"/>
  <c r="P66" i="30"/>
  <c r="P65" i="30"/>
  <c r="P66" i="29"/>
  <c r="P65" i="29"/>
  <c r="P66" i="28"/>
  <c r="P65" i="28"/>
  <c r="O66" i="30"/>
  <c r="O65" i="30"/>
  <c r="O66" i="23"/>
  <c r="O65" i="23"/>
  <c r="O66" i="24"/>
  <c r="O65" i="24"/>
  <c r="O66" i="29"/>
  <c r="O65" i="29"/>
  <c r="O66" i="26"/>
  <c r="O65" i="26"/>
  <c r="O66" i="28"/>
  <c r="O65" i="28"/>
  <c r="O66" i="27"/>
  <c r="O65" i="27"/>
  <c r="N66" i="30"/>
  <c r="N65" i="30"/>
  <c r="N66" i="28"/>
  <c r="N65" i="28"/>
  <c r="N66" i="29"/>
  <c r="N65" i="29"/>
  <c r="N66" i="24"/>
  <c r="N65" i="24"/>
  <c r="N66" i="23"/>
  <c r="N66" i="27"/>
  <c r="N65" i="27"/>
  <c r="N66" i="26"/>
  <c r="N65" i="26"/>
  <c r="M66" i="27"/>
  <c r="M65" i="27"/>
  <c r="M66" i="21"/>
  <c r="M66" i="24"/>
  <c r="M66" i="29"/>
  <c r="M66" i="30"/>
  <c r="M65" i="30"/>
  <c r="M66" i="28"/>
  <c r="M66" i="23"/>
  <c r="M65" i="23"/>
  <c r="L66" i="29"/>
  <c r="L66" i="27"/>
  <c r="L65" i="27"/>
  <c r="K66" i="29"/>
  <c r="K65" i="29"/>
  <c r="K66" i="26"/>
  <c r="K65" i="26"/>
  <c r="K66" i="23"/>
  <c r="K65" i="23"/>
  <c r="J66" i="29"/>
  <c r="J65" i="29"/>
  <c r="J66" i="22"/>
  <c r="J65" i="22"/>
  <c r="J66" i="21"/>
  <c r="J65" i="21"/>
  <c r="I66" i="21"/>
  <c r="I65" i="21"/>
  <c r="H66" i="28"/>
  <c r="H65" i="28"/>
  <c r="H66" i="21"/>
  <c r="H66" i="24"/>
  <c r="H65" i="24"/>
  <c r="H66" i="27"/>
  <c r="H65" i="27"/>
  <c r="H66" i="29"/>
  <c r="H65" i="29"/>
  <c r="G66" i="29"/>
  <c r="G65" i="29"/>
  <c r="G66" i="21"/>
  <c r="G65" i="21"/>
  <c r="G66" i="28"/>
  <c r="G65" i="28"/>
  <c r="G66" i="26"/>
  <c r="G65" i="26"/>
  <c r="G66" i="22"/>
  <c r="G65" i="22"/>
  <c r="G66" i="23"/>
  <c r="G65" i="23"/>
  <c r="G66" i="27"/>
  <c r="G65" i="27"/>
  <c r="G66" i="24"/>
  <c r="G65" i="24"/>
  <c r="F66" i="22"/>
  <c r="F65" i="22"/>
  <c r="F66" i="23"/>
  <c r="F65" i="23"/>
  <c r="F66" i="27"/>
  <c r="F65" i="27"/>
  <c r="F66" i="28"/>
  <c r="F65" i="28"/>
  <c r="F66" i="29"/>
  <c r="F65" i="29"/>
  <c r="F66" i="24"/>
  <c r="F65" i="24"/>
  <c r="F66" i="30"/>
  <c r="F65" i="30"/>
  <c r="F66" i="21"/>
  <c r="F65" i="21"/>
  <c r="E66" i="21"/>
  <c r="E65" i="21"/>
  <c r="E66" i="24"/>
  <c r="E65" i="24"/>
  <c r="E66" i="28"/>
  <c r="E65" i="28"/>
  <c r="E66" i="29"/>
  <c r="E65" i="29"/>
  <c r="E66" i="26"/>
  <c r="E65" i="26"/>
  <c r="D66" i="29"/>
  <c r="D66" i="23"/>
  <c r="D66" i="22"/>
  <c r="C66" i="24"/>
  <c r="C65" i="24"/>
  <c r="C66" i="28"/>
  <c r="C65" i="28"/>
  <c r="B66" i="21"/>
  <c r="B65" i="21"/>
  <c r="B66" i="27"/>
  <c r="B65" i="27"/>
  <c r="B66" i="28"/>
  <c r="B65" i="28"/>
  <c r="B66" i="29"/>
  <c r="B65" i="29"/>
  <c r="B66" i="26"/>
  <c r="B65" i="26"/>
  <c r="B66" i="23"/>
  <c r="B65" i="23"/>
  <c r="B66" i="22"/>
  <c r="B65" i="22"/>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M13" i="20" s="1"/>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<sst xmlns="http://schemas.openxmlformats.org/spreadsheetml/2006/main" count="2211" uniqueCount="181">
  <si>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</si>
  <si>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</si>
  <si>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</si>
  <si>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</si>
  <si>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</si>
  <si>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</si>
  <si>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</si>
  <si>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</si>
  <si>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</si>
  <si>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</si>
  <si>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</si>
  <si>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</si>
  <si>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</si>
  <si>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</si>
  <si>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</si>
  <si>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</si>
  <si>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</si>
  <si>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</si>
  <si>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</si>
  <si>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</si>
  <si>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</si>
  <si>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</si>
  <si>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</si>
  <si>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</si>
  <si>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</si>
  <si>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</si>
  <si>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</si>
  <si>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</si>
  <si>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</si>
  <si>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</si>
  <si>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</si>
  <si>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</si>
  <si>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</si>
  <si>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</si>
  <si>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</si>
  <si>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</si>
  <si>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</si>
  <si>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</si>
  <si>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</si>
  <si>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</si>
  <si>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</si>
  <si>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</si>
  <si>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</si>
  <si>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</si>
  <si>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</si>
  <si>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</si>
  <si>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</si>
  <si>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</si>
  <si>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</si>
  <si>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</si>
  <si>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</si>
  <si>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</si>
  <si>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</si>
  <si>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</si>
  <si>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</si>
  <si>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</si>
  <si>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</si>
  <si>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</si>
  <si>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</si>
  <si>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</si>
  <si>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</si>
  <si>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</si>
  <si>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</si>
  <si>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</si>
  <si>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</si>
  <si>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</si>
  <si>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</si>
  <si>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</si>
  <si>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</si>
  <si>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</si>
  <si>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</si>
  <si>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</si>
  <si>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</si>
  <si>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</si>
  <si>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</si>
  <si>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</si>
  <si>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</si>
  <si>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</si>
  <si>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</si>
  <si>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</si>
  <si>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</si>
  <si>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</si>
  <si>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</si>
  <si>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</si>
  <si>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</si>
  <si>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</si>
  <si>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</si>
  <si>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</si>
  <si>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</si>
  <si>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</si>
  <si>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</si>
  <si>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</si>
  <si>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</si>
  <si>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</si>
  <si>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</si>
  <si>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</si>
  <si>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</si>
  <si>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</si>
  <si>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</si>
  <si>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</si>
  <si>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</si>
  <si>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</si>
  <si>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</si>
  <si>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</si>
  <si>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</si>
  <si>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</si>
  <si>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</si>
  <si>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</si>
  <si>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</si>
  <si>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</si>
  <si>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</si>
  <si>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</si>
  <si>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</si>
  <si>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</si>
  <si>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</si>
  <si>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</si>
  <si>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</si>
  <si>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</si>
  <si>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</si>
  <si>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</si>
  <si>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</si>
  <si>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</si>
  <si>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</si>
  <si>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</si>
  <si>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</si>
  <si>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</si>
  <si>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</si>
  <si>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</si>
  <si>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</si>
  <si>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</si>
  <si>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</si>
  <si>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</si>
  <si>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</si>
  <si>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</si>
  <si>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</si>
  <si>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</si>
  <si>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</si>
  <si>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</si>
  <si>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</si>
  <si>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</si>
  <si>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</si>
  <si>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</si>
  <si>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</si>
  <si>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</si>
  <si>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</si>
  <si>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</si>
  <si>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</si>
  <si>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</si>
  <si>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</si>
  <si>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</si>
  <si>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</si>
  <si>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</si>
  <si>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</si>
  <si>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</si>
  <si>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</si>
  <si>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</si>
  <si>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</si>
  <si>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</si>
  <si>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</si>
  <si>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</si>
  <si>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PAN-021626</t>
  </si>
  <si>
    <t>KP3594VE</t>
  </si>
  <si>
    <t>Trade Effluent Services Limited</t>
  </si>
  <si>
    <t>Gwaenynog Bach Farm, Pentrefoelas Road, Bryn Ynys, Denbigh, Y Groes, Denbighshire, LL16 5RP</t>
  </si>
  <si>
    <t>Louise Bailey</t>
  </si>
  <si>
    <t>Secanim</t>
  </si>
  <si>
    <t>02 02 04</t>
  </si>
  <si>
    <t>Croda Goole</t>
  </si>
  <si>
    <t>07 07 12</t>
  </si>
  <si>
    <t>Croda Widnes</t>
  </si>
  <si>
    <t>02 03 05</t>
  </si>
  <si>
    <t>Maelor</t>
  </si>
  <si>
    <t>Encirc</t>
  </si>
  <si>
    <t>Beechdean Ice Cream</t>
  </si>
  <si>
    <t>02 05 01</t>
  </si>
  <si>
    <t>Penderyn Distillery</t>
  </si>
  <si>
    <t>02 07 05</t>
  </si>
  <si>
    <t>Kelloggs</t>
  </si>
  <si>
    <t>2-</t>
  </si>
  <si>
    <t>2+</t>
  </si>
  <si>
    <t>Moderate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</si>
</sst>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42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8" dataDxfId="386" headerRowBorderDxfId="387" tableBorderDxfId="385" totalsRowBorderDxfId="384">
  <autoFilter ref="AI1:AN26" xr:uid="{F8B5EC87-3095-445A-A980-2CFAA0A7B9A2}"/>
  <sortState xmlns:xlrd2="http://schemas.microsoft.com/office/spreadsheetml/2017/richdata2" ref="AI2:AL25">
    <sortCondition ref="AL1:AL25"/>
  </sortState>
  <tableColumns count="6">
    <tableColumn id="1" xr3:uid="{360F44E4-7249-415F-8D5E-41D249F9A162}" name="Crop" dataDxfId="383"/>
    <tableColumn id="2" xr3:uid="{55E07717-B4EC-4E8A-B9A9-34F3CF85E32D}" name="P Offtake" dataDxfId="382"/>
    <tableColumn id="3" xr3:uid="{7B25FA52-8104-4FE3-AED4-B53CBFDF89B2}" name="K Offtake" dataDxfId="381"/>
    <tableColumn id="4" xr3:uid="{0DBAE461-2D09-43C8-9342-3980D552AE4D}" name="Order" dataDxfId="380"/>
    <tableColumn id="5" xr3:uid="{52CACE7B-0CBA-46FC-9F24-02CBD6100239}" name="Lime pH requirement" dataDxfId="379"/>
    <tableColumn id="6" xr3:uid="{F1432630-9B16-4266-8147-CE754A715307}" name="Column1" dataDxfId="37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46" dataDxfId="344" headerRowBorderDxfId="345" tableBorderDxfId="343" totalsRowBorderDxfId="342">
  <autoFilter ref="AI1:AN26" xr:uid="{F8B5EC87-3095-445A-A980-2CFAA0A7B9A2}"/>
  <sortState xmlns:xlrd2="http://schemas.microsoft.com/office/spreadsheetml/2017/richdata2" ref="AI2:AL25">
    <sortCondition ref="AL1:AL25"/>
  </sortState>
  <tableColumns count="6">
    <tableColumn id="1" xr3:uid="{7E96A84B-948F-445F-BD6E-30CC8E6E6DD1}" name="Crop" dataDxfId="341"/>
    <tableColumn id="2" xr3:uid="{12657DDB-F680-47DE-ABB1-8675D5F91E41}" name="P Offtake" dataDxfId="340"/>
    <tableColumn id="3" xr3:uid="{DEB99109-D325-4F98-8A71-E70C03433437}" name="K Offtake" dataDxfId="339"/>
    <tableColumn id="4" xr3:uid="{E96A561F-7E7F-4FB3-97AA-0B35D8C8E93A}" name="Order" dataDxfId="338"/>
    <tableColumn id="5" xr3:uid="{181DD475-0A71-4C52-AF1A-8BFF46F5A827}" name="Lime pH requirement" dataDxfId="337"/>
    <tableColumn id="6" xr3:uid="{AC3FA7E8-D76B-43A3-B715-04446DFF63C6}" name="Column1" dataDxfId="33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06008BA1-A1E9-4286-B67A-352533C06A26}" name="Crop" dataDxfId="299"/>
    <tableColumn id="2" xr3:uid="{2AEB5EEB-C9D1-41DC-913E-953A33D1A4AF}" name="P Offtake" dataDxfId="298"/>
    <tableColumn id="3" xr3:uid="{8FA16A0B-1017-4CEE-862E-0A8CBD8EB3D3}" name="K Offtake" dataDxfId="297"/>
    <tableColumn id="4" xr3:uid="{E7A3B8CD-4036-47F4-B818-C3F22E80C749}" name="Order" dataDxfId="296"/>
    <tableColumn id="5" xr3:uid="{8F3EBD84-7904-4559-9B5C-63088B792C98}" name="Lime pH requirement" dataDxfId="295"/>
    <tableColumn id="6" xr3:uid="{A21DD95A-C955-4510-9114-E3F1CB645370}" name="Column1" dataDxfId="29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11579FCC-3D9F-49AD-888D-5D79B801F6AE}" name="Crop" dataDxfId="257"/>
    <tableColumn id="2" xr3:uid="{05C08116-56D5-4CC6-A649-B06AF891B931}" name="P Offtake" dataDxfId="256"/>
    <tableColumn id="3" xr3:uid="{59CDE959-192B-4757-9203-A0F691CF0F96}" name="K Offtake" dataDxfId="255"/>
    <tableColumn id="4" xr3:uid="{9FB8E4F7-B91F-4CE0-AF39-D4895D0ECF2F}" name="Order" dataDxfId="254"/>
    <tableColumn id="5" xr3:uid="{688FF2A4-D7C6-4425-A915-A9ADD700A9EE}" name="Lime pH requirement" dataDxfId="253"/>
    <tableColumn id="6" xr3:uid="{05FC5CFF-3D81-4B5F-87C7-2364076F2714}" name="Column1" dataDxfId="25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973D7FFB-D248-4199-9B2E-B3C6CC09D382}" name="Crop" dataDxfId="215"/>
    <tableColumn id="2" xr3:uid="{7F2A3986-EC86-4CF9-BD10-791170BA6682}" name="P Offtake" dataDxfId="214"/>
    <tableColumn id="3" xr3:uid="{D6129C35-9DC6-42E5-AE3F-EA3A083168E6}" name="K Offtake" dataDxfId="213"/>
    <tableColumn id="4" xr3:uid="{C1CC42B5-564A-4DE7-B817-B7D686FE9A11}" name="Order" dataDxfId="212"/>
    <tableColumn id="5" xr3:uid="{620F3ABD-564C-411A-8DEA-CE1A34F9FC36}" name="Lime pH requirement" dataDxfId="211"/>
    <tableColumn id="6" xr3:uid="{76C9BC4F-4FF3-4AFB-8E7B-16DC0CC3E97C}" name="Column1" dataDxfId="21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D13A12FC-EAE6-4280-A219-C2622262E5F4}" name="Crop" dataDxfId="173"/>
    <tableColumn id="2" xr3:uid="{FD06C4A3-4B75-490D-88CF-232C7DC3EFC6}" name="P Offtake" dataDxfId="172"/>
    <tableColumn id="3" xr3:uid="{B043BEFF-10D4-4840-989B-BB13A502ECDF}" name="K Offtake" dataDxfId="171"/>
    <tableColumn id="4" xr3:uid="{48481FDC-5D20-466C-B554-D45886EA366A}" name="Order" dataDxfId="170"/>
    <tableColumn id="5" xr3:uid="{9E0852D2-9D0D-44AB-98B7-FBA51F331ACF}" name="Lime pH requirement" dataDxfId="169"/>
    <tableColumn id="6" xr3:uid="{29F9C4A5-6854-4F37-8BD1-0DD9B6024A55}" name="Column1" dataDxfId="1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B554ED3-7AAF-4192-827C-B071945474B8}" name="Crop" dataDxfId="131"/>
    <tableColumn id="2" xr3:uid="{35F435E0-8D8E-44D1-84BD-C2FF51C3F944}" name="P Offtake" dataDxfId="130"/>
    <tableColumn id="3" xr3:uid="{38465C9D-AA8F-443A-80F5-96D1F6258317}" name="K Offtake" dataDxfId="129"/>
    <tableColumn id="4" xr3:uid="{E0C0E6AF-5628-4BC3-9625-81A87B93D279}" name="Order" dataDxfId="128"/>
    <tableColumn id="5" xr3:uid="{ACDE1D9A-7F94-4404-BDDC-1235C32C758F}" name="Lime pH requirement" dataDxfId="127"/>
    <tableColumn id="6" xr3:uid="{B093C9DF-C4CF-4906-9658-89F446EB9C12}" name="Column1"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C4B2E6E9-5990-417D-9E04-7933BDF1FC69}" name="Crop" dataDxfId="89"/>
    <tableColumn id="2" xr3:uid="{E74EF8D0-6C68-49B8-AE52-40C276CA5FC9}" name="P Offtake" dataDxfId="88"/>
    <tableColumn id="3" xr3:uid="{9E0A7857-36E3-482D-B4B2-65B90760417F}" name="K Offtake" dataDxfId="87"/>
    <tableColumn id="4" xr3:uid="{A78867D2-7566-4070-AF99-15EE4CEB1699}" name="Order" dataDxfId="86"/>
    <tableColumn id="5" xr3:uid="{240FD5FA-5659-468E-8544-C93086800EC9}" name="Lime pH requirement" dataDxfId="85"/>
    <tableColumn id="6" xr3:uid="{D5C8E9C3-9076-473B-AE62-DA32692BAABC}" name="Column1" dataDxfId="8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82F1A1D2-F5AA-4D76-98E8-3C18592FB8CF}" name="Crop" dataDxfId="47"/>
    <tableColumn id="2" xr3:uid="{17F60BEE-3BBA-4198-AA21-518EC4696EB6}" name="P Offtake" dataDxfId="46"/>
    <tableColumn id="3" xr3:uid="{95D820EB-2583-433A-A070-6E8356E186E7}" name="K Offtake" dataDxfId="45"/>
    <tableColumn id="4" xr3:uid="{F3AE1839-F59F-4A70-B11A-A32E3FDD1A00}" name="Order" dataDxfId="44"/>
    <tableColumn id="5" xr3:uid="{C52880C5-B266-4CF0-9A11-778ABC47F9F0}" name="Lime pH requirement" dataDxfId="43"/>
    <tableColumn id="6" xr3:uid="{233F7657-9414-44B1-9E43-A91A69CB97ED}" name="Column1" dataDxfId="4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zoomScale="90" zoomScaleNormal="90" workbookViewId="0">
      <selection activeCell="B42" sqref="B42"/>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13.140625"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1" width="13.140625" style="11" hidden="1" customWidth="1"/>
    <col min="42" max="42" width="0" style="11" hidden="1" customWidth="1"/>
    <col min="43" max="16384" width="13.140625" style="11"/>
  </cols>
  <sheetData>
    <row r="1" spans="1:40" x14ac:dyDescent="0.2">
      <c r="A1" s="119" t="s">
        <v>41</v>
      </c>
      <c r="B1" s="119"/>
      <c r="C1" s="135" t="s">
        <v>160</v>
      </c>
      <c r="D1" s="136"/>
      <c r="E1" s="93" t="s">
        <v>45</v>
      </c>
      <c r="F1" s="96">
        <v>48.6</v>
      </c>
      <c r="G1" s="120" t="s">
        <v>43</v>
      </c>
      <c r="H1" s="121"/>
      <c r="I1" s="96">
        <v>6.01</v>
      </c>
      <c r="J1" s="119" t="s">
        <v>153</v>
      </c>
      <c r="K1" s="119"/>
      <c r="L1" s="96">
        <v>648</v>
      </c>
      <c r="AB1" s="18"/>
      <c r="AC1" s="18"/>
      <c r="AD1" s="30" t="s">
        <v>126</v>
      </c>
      <c r="AE1" s="17"/>
      <c r="AF1" s="17"/>
      <c r="AG1" s="18"/>
      <c r="AH1" s="18"/>
      <c r="AI1" s="40" t="s">
        <v>79</v>
      </c>
      <c r="AJ1" s="41" t="s">
        <v>94</v>
      </c>
      <c r="AK1" s="42" t="s">
        <v>95</v>
      </c>
      <c r="AL1" s="43" t="s">
        <v>125</v>
      </c>
      <c r="AM1" s="43" t="s">
        <v>131</v>
      </c>
      <c r="AN1" s="43" t="s">
        <v>111</v>
      </c>
    </row>
    <row r="2" spans="1:40" x14ac:dyDescent="0.2">
      <c r="A2" s="119" t="s">
        <v>87</v>
      </c>
      <c r="B2" s="119"/>
      <c r="C2" s="133" t="s">
        <v>161</v>
      </c>
      <c r="D2" s="134"/>
      <c r="E2" s="93" t="s">
        <v>109</v>
      </c>
      <c r="F2" s="96" t="s">
        <v>166</v>
      </c>
      <c r="G2" s="138" t="s">
        <v>110</v>
      </c>
      <c r="H2" s="139"/>
      <c r="I2" s="96">
        <v>1818</v>
      </c>
      <c r="J2" s="119" t="s">
        <v>158</v>
      </c>
      <c r="K2" s="119"/>
      <c r="L2" s="96">
        <v>0.3</v>
      </c>
      <c r="AB2" s="30" t="s">
        <v>56</v>
      </c>
      <c r="AC2" s="17"/>
      <c r="AD2" s="30" t="s">
        <v>70</v>
      </c>
      <c r="AE2" s="17"/>
      <c r="AF2" s="17"/>
      <c r="AG2" s="44" t="s">
        <v>76</v>
      </c>
      <c r="AH2" s="18"/>
      <c r="AI2" s="45" t="s">
        <v>126</v>
      </c>
      <c r="AJ2" s="46">
        <v>0</v>
      </c>
      <c r="AK2" s="47">
        <v>0</v>
      </c>
      <c r="AL2" s="10">
        <v>0</v>
      </c>
      <c r="AM2" s="11">
        <v>0</v>
      </c>
      <c r="AN2" s="11">
        <v>0</v>
      </c>
    </row>
    <row r="3" spans="1:40" x14ac:dyDescent="0.2">
      <c r="A3" s="120" t="s">
        <v>42</v>
      </c>
      <c r="B3" s="121"/>
      <c r="C3" s="133" t="s">
        <v>162</v>
      </c>
      <c r="D3" s="134"/>
      <c r="E3" s="93" t="s">
        <v>108</v>
      </c>
      <c r="F3" s="31"/>
      <c r="G3" s="119" t="s">
        <v>159</v>
      </c>
      <c r="H3" s="119"/>
      <c r="I3" s="96">
        <v>12720</v>
      </c>
      <c r="J3" s="120" t="s">
        <v>154</v>
      </c>
      <c r="K3" s="121"/>
      <c r="L3" s="96">
        <f>(L1/(L2*10000))*100</f>
        <v>21.6</v>
      </c>
      <c r="AB3" s="30" t="s">
        <v>57</v>
      </c>
      <c r="AC3" s="17"/>
      <c r="AD3" s="30" t="s">
        <v>71</v>
      </c>
      <c r="AE3" s="17"/>
      <c r="AF3" s="17"/>
      <c r="AG3" s="44" t="s">
        <v>77</v>
      </c>
      <c r="AH3" s="18"/>
      <c r="AI3" s="48" t="s">
        <v>113</v>
      </c>
      <c r="AJ3" s="49">
        <v>1.7</v>
      </c>
      <c r="AK3" s="50">
        <v>6</v>
      </c>
      <c r="AL3" s="51">
        <v>1</v>
      </c>
      <c r="AM3" s="11">
        <v>6.2</v>
      </c>
      <c r="AN3" s="11" t="s">
        <v>112</v>
      </c>
    </row>
    <row r="4" spans="1:40" x14ac:dyDescent="0.2">
      <c r="A4" s="119" t="s">
        <v>0</v>
      </c>
      <c r="B4" s="119"/>
      <c r="C4" s="135" t="s">
        <v>163</v>
      </c>
      <c r="D4" s="136"/>
      <c r="E4" s="94" t="s">
        <v>1</v>
      </c>
      <c r="F4" s="95" t="s">
        <v>165</v>
      </c>
      <c r="G4" s="119"/>
      <c r="H4" s="119"/>
      <c r="I4" s="96"/>
      <c r="J4" s="120"/>
      <c r="K4" s="121"/>
      <c r="L4" s="96"/>
      <c r="AB4" s="30" t="s">
        <v>52</v>
      </c>
      <c r="AC4" s="17"/>
      <c r="AD4" s="52" t="s">
        <v>72</v>
      </c>
      <c r="AE4" s="17"/>
      <c r="AF4" s="17"/>
      <c r="AG4" s="44" t="s">
        <v>78</v>
      </c>
      <c r="AH4" s="18"/>
      <c r="AI4" s="53" t="s">
        <v>124</v>
      </c>
      <c r="AJ4" s="54">
        <v>7</v>
      </c>
      <c r="AK4" s="55">
        <v>10.5</v>
      </c>
      <c r="AL4" s="11">
        <v>2</v>
      </c>
      <c r="AM4" s="11">
        <v>6.7</v>
      </c>
      <c r="AN4" s="11" t="s">
        <v>135</v>
      </c>
    </row>
    <row r="5" spans="1:40" x14ac:dyDescent="0.2">
      <c r="A5" s="119" t="s">
        <v>47</v>
      </c>
      <c r="B5" s="119"/>
      <c r="C5" s="137" t="s">
        <v>164</v>
      </c>
      <c r="D5" s="137"/>
      <c r="E5" s="94"/>
      <c r="F5" s="95"/>
      <c r="G5" s="119"/>
      <c r="H5" s="119"/>
      <c r="I5" s="96"/>
      <c r="J5" s="120"/>
      <c r="K5" s="121"/>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x14ac:dyDescent="0.2">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x14ac:dyDescent="0.2">
      <c r="A8" s="119" t="s">
        <v>2</v>
      </c>
      <c r="B8" s="119"/>
      <c r="C8" s="15">
        <v>5905</v>
      </c>
      <c r="D8" s="15">
        <v>4279</v>
      </c>
      <c r="E8" s="15">
        <v>7605</v>
      </c>
      <c r="F8" s="15">
        <v>3851</v>
      </c>
      <c r="G8" s="15">
        <v>6418</v>
      </c>
      <c r="H8" s="15">
        <v>1843</v>
      </c>
      <c r="I8" s="15">
        <v>5974</v>
      </c>
      <c r="J8" s="15">
        <v>5490</v>
      </c>
      <c r="K8" s="15">
        <v>2565</v>
      </c>
      <c r="L8" s="15">
        <v>7887</v>
      </c>
      <c r="M8" s="15">
        <v>2946</v>
      </c>
      <c r="N8" s="15">
        <v>2881</v>
      </c>
      <c r="O8" s="15">
        <v>3398</v>
      </c>
      <c r="P8" s="15">
        <v>5694</v>
      </c>
      <c r="Q8" s="15">
        <v>2991</v>
      </c>
      <c r="R8" s="15">
        <v>3799</v>
      </c>
      <c r="S8" s="15">
        <v>5813</v>
      </c>
      <c r="T8" s="15">
        <v>1390</v>
      </c>
      <c r="U8" s="15">
        <v>9596</v>
      </c>
      <c r="V8" s="15">
        <v>716</v>
      </c>
      <c r="AB8" s="61"/>
      <c r="AC8" s="61"/>
      <c r="AD8" s="18"/>
      <c r="AE8" s="17" t="s">
        <v>139</v>
      </c>
      <c r="AF8" s="17"/>
      <c r="AG8" s="18"/>
      <c r="AH8" s="18"/>
      <c r="AI8" s="53" t="s">
        <v>105</v>
      </c>
      <c r="AJ8" s="62">
        <v>1.4</v>
      </c>
      <c r="AK8" s="55">
        <v>4.4000000000000004</v>
      </c>
      <c r="AL8" s="11">
        <v>6</v>
      </c>
      <c r="AM8" s="11">
        <v>6.7</v>
      </c>
      <c r="AN8" s="11" t="s">
        <v>135</v>
      </c>
    </row>
    <row r="9" spans="1:40" x14ac:dyDescent="0.2">
      <c r="A9" s="119" t="s">
        <v>3</v>
      </c>
      <c r="B9" s="119"/>
      <c r="C9" s="15" t="s">
        <v>180</v>
      </c>
      <c r="D9" s="15" t="s">
        <v>180</v>
      </c>
      <c r="E9" s="15" t="s">
        <v>180</v>
      </c>
      <c r="F9" s="15" t="s">
        <v>180</v>
      </c>
      <c r="G9" s="15" t="s">
        <v>180</v>
      </c>
      <c r="H9" s="15" t="s">
        <v>180</v>
      </c>
      <c r="I9" s="15" t="s">
        <v>180</v>
      </c>
      <c r="J9" s="15" t="s">
        <v>180</v>
      </c>
      <c r="K9" s="15" t="s">
        <v>180</v>
      </c>
      <c r="L9" s="15" t="s">
        <v>180</v>
      </c>
      <c r="M9" s="15" t="s">
        <v>180</v>
      </c>
      <c r="N9" s="15" t="s">
        <v>180</v>
      </c>
      <c r="O9" s="15" t="s">
        <v>180</v>
      </c>
      <c r="P9" s="15" t="s">
        <v>180</v>
      </c>
      <c r="Q9" s="15" t="s">
        <v>180</v>
      </c>
      <c r="R9" s="15" t="s">
        <v>180</v>
      </c>
      <c r="S9" s="15" t="s">
        <v>180</v>
      </c>
      <c r="T9" s="15" t="s">
        <v>180</v>
      </c>
      <c r="U9" s="15" t="s">
        <v>180</v>
      </c>
      <c r="V9" s="15" t="s">
        <v>180</v>
      </c>
      <c r="AB9" s="17"/>
      <c r="AC9" s="17"/>
      <c r="AD9" s="30" t="s">
        <v>137</v>
      </c>
      <c r="AE9" s="30">
        <v>4.5</v>
      </c>
      <c r="AF9" s="17"/>
      <c r="AG9" s="18"/>
      <c r="AH9" s="18"/>
      <c r="AI9" s="63" t="s">
        <v>103</v>
      </c>
      <c r="AJ9" s="64">
        <v>0.7</v>
      </c>
      <c r="AK9" s="65">
        <v>4</v>
      </c>
      <c r="AL9" s="29">
        <v>7</v>
      </c>
      <c r="AM9" s="11">
        <v>6.7</v>
      </c>
      <c r="AN9" s="11" t="s">
        <v>135</v>
      </c>
    </row>
    <row r="10" spans="1:40" x14ac:dyDescent="0.2">
      <c r="A10" s="119" t="s">
        <v>4</v>
      </c>
      <c r="B10" s="119"/>
      <c r="C10" s="15">
        <v>6.2</v>
      </c>
      <c r="D10" s="15">
        <v>5.6</v>
      </c>
      <c r="E10" s="15">
        <v>6.3</v>
      </c>
      <c r="F10" s="15">
        <v>6</v>
      </c>
      <c r="G10" s="15">
        <v>5.8</v>
      </c>
      <c r="H10" s="15">
        <v>5.3</v>
      </c>
      <c r="I10" s="15">
        <v>6</v>
      </c>
      <c r="J10" s="15">
        <v>6.1</v>
      </c>
      <c r="K10" s="15">
        <v>5.5</v>
      </c>
      <c r="L10" s="15">
        <v>6.1</v>
      </c>
      <c r="M10" s="15">
        <v>5.5</v>
      </c>
      <c r="N10" s="15">
        <v>5.6</v>
      </c>
      <c r="O10" s="15">
        <v>5.9</v>
      </c>
      <c r="P10" s="15">
        <v>6.5</v>
      </c>
      <c r="Q10" s="15">
        <v>5.7</v>
      </c>
      <c r="R10" s="15">
        <v>6.4</v>
      </c>
      <c r="S10" s="15">
        <v>6.7</v>
      </c>
      <c r="T10" s="15">
        <v>5.4</v>
      </c>
      <c r="U10" s="15">
        <v>5.5</v>
      </c>
      <c r="V10" s="15">
        <v>6.4</v>
      </c>
      <c r="AB10" s="17"/>
      <c r="AC10" s="17"/>
      <c r="AD10" s="30" t="s">
        <v>140</v>
      </c>
      <c r="AE10" s="30">
        <v>5</v>
      </c>
      <c r="AF10" s="17"/>
      <c r="AG10" s="18"/>
      <c r="AH10" s="18"/>
      <c r="AI10" s="53" t="s">
        <v>97</v>
      </c>
      <c r="AJ10" s="54">
        <v>9</v>
      </c>
      <c r="AK10" s="55">
        <v>16.5</v>
      </c>
      <c r="AL10" s="11">
        <v>8</v>
      </c>
      <c r="AM10" s="11">
        <v>6.7</v>
      </c>
      <c r="AN10" s="11" t="s">
        <v>135</v>
      </c>
    </row>
    <row r="11" spans="1:40" x14ac:dyDescent="0.2">
      <c r="A11" s="119" t="s">
        <v>5</v>
      </c>
      <c r="B11" s="119"/>
      <c r="C11" s="15">
        <v>2</v>
      </c>
      <c r="D11" s="15">
        <v>3</v>
      </c>
      <c r="E11" s="15">
        <v>2</v>
      </c>
      <c r="F11" s="15">
        <v>3</v>
      </c>
      <c r="G11" s="15">
        <v>2</v>
      </c>
      <c r="H11" s="15">
        <v>3</v>
      </c>
      <c r="I11" s="15">
        <v>3</v>
      </c>
      <c r="J11" s="15">
        <v>2</v>
      </c>
      <c r="K11" s="15">
        <v>3</v>
      </c>
      <c r="L11" s="15">
        <v>1</v>
      </c>
      <c r="M11" s="15">
        <v>3</v>
      </c>
      <c r="N11" s="15">
        <v>2</v>
      </c>
      <c r="O11" s="15">
        <v>2</v>
      </c>
      <c r="P11" s="15">
        <v>2</v>
      </c>
      <c r="Q11" s="15">
        <v>2</v>
      </c>
      <c r="R11" s="15">
        <v>2</v>
      </c>
      <c r="S11" s="15">
        <v>2</v>
      </c>
      <c r="T11" s="15">
        <v>3</v>
      </c>
      <c r="U11" s="15">
        <v>2</v>
      </c>
      <c r="V11" s="15">
        <v>2</v>
      </c>
      <c r="AB11" s="17"/>
      <c r="AC11" s="17"/>
      <c r="AD11" s="52" t="s">
        <v>141</v>
      </c>
      <c r="AE11" s="30">
        <v>6</v>
      </c>
      <c r="AF11" s="17"/>
      <c r="AG11" s="18"/>
      <c r="AH11" s="18"/>
      <c r="AI11" s="53" t="s">
        <v>122</v>
      </c>
      <c r="AJ11" s="54">
        <v>15</v>
      </c>
      <c r="AK11" s="55">
        <v>17.5</v>
      </c>
      <c r="AL11" s="11">
        <v>9</v>
      </c>
      <c r="AM11" s="11">
        <v>7</v>
      </c>
      <c r="AN11" s="11" t="s">
        <v>135</v>
      </c>
    </row>
    <row r="12" spans="1:40" x14ac:dyDescent="0.2">
      <c r="A12" s="119" t="s">
        <v>6</v>
      </c>
      <c r="B12" s="119"/>
      <c r="C12" s="15" t="s">
        <v>178</v>
      </c>
      <c r="D12" s="15">
        <v>3</v>
      </c>
      <c r="E12" s="15" t="s">
        <v>178</v>
      </c>
      <c r="F12" s="15" t="s">
        <v>179</v>
      </c>
      <c r="G12" s="15">
        <v>3</v>
      </c>
      <c r="H12" s="15" t="s">
        <v>179</v>
      </c>
      <c r="I12" s="15">
        <v>4</v>
      </c>
      <c r="J12" s="15" t="s">
        <v>179</v>
      </c>
      <c r="K12" s="15">
        <v>4</v>
      </c>
      <c r="L12" s="15" t="s">
        <v>178</v>
      </c>
      <c r="M12" s="15" t="s">
        <v>178</v>
      </c>
      <c r="N12" s="15">
        <v>3</v>
      </c>
      <c r="O12" s="15">
        <v>3</v>
      </c>
      <c r="P12" s="15" t="s">
        <v>178</v>
      </c>
      <c r="Q12" s="15">
        <v>1</v>
      </c>
      <c r="R12" s="15">
        <v>1</v>
      </c>
      <c r="S12" s="15">
        <v>1</v>
      </c>
      <c r="T12" s="15" t="s">
        <v>179</v>
      </c>
      <c r="U12" s="15">
        <v>1</v>
      </c>
      <c r="V12" s="15" t="s">
        <v>178</v>
      </c>
      <c r="AB12" s="17"/>
      <c r="AC12" s="17"/>
      <c r="AD12" s="52" t="s">
        <v>142</v>
      </c>
      <c r="AE12" s="30">
        <v>7.5</v>
      </c>
      <c r="AF12" s="17"/>
      <c r="AG12" s="18"/>
      <c r="AH12" s="18"/>
      <c r="AI12" s="53" t="s">
        <v>121</v>
      </c>
      <c r="AJ12" s="54">
        <v>14</v>
      </c>
      <c r="AK12" s="55">
        <v>11</v>
      </c>
      <c r="AL12" s="11">
        <v>10</v>
      </c>
      <c r="AM12" s="11">
        <v>7</v>
      </c>
      <c r="AN12" s="11" t="s">
        <v>135</v>
      </c>
    </row>
    <row r="13" spans="1:40" x14ac:dyDescent="0.2">
      <c r="A13" s="119" t="s">
        <v>7</v>
      </c>
      <c r="B13" s="119"/>
      <c r="C13" s="15">
        <v>3</v>
      </c>
      <c r="D13" s="15">
        <v>3</v>
      </c>
      <c r="E13" s="15">
        <v>3</v>
      </c>
      <c r="F13" s="15">
        <v>3</v>
      </c>
      <c r="G13" s="15">
        <v>3</v>
      </c>
      <c r="H13" s="15">
        <v>2</v>
      </c>
      <c r="I13" s="15">
        <v>4</v>
      </c>
      <c r="J13" s="15">
        <v>3</v>
      </c>
      <c r="K13" s="15">
        <v>3</v>
      </c>
      <c r="L13" s="15">
        <v>3</v>
      </c>
      <c r="M13" s="15">
        <v>2</v>
      </c>
      <c r="N13" s="15">
        <v>2</v>
      </c>
      <c r="O13" s="15">
        <v>3</v>
      </c>
      <c r="P13" s="15">
        <v>2</v>
      </c>
      <c r="Q13" s="15">
        <v>3</v>
      </c>
      <c r="R13" s="15">
        <v>2</v>
      </c>
      <c r="S13" s="15">
        <v>1</v>
      </c>
      <c r="T13" s="15">
        <v>3</v>
      </c>
      <c r="U13" s="15">
        <v>1</v>
      </c>
      <c r="V13" s="15">
        <v>2</v>
      </c>
      <c r="AB13" s="17"/>
      <c r="AC13" s="17"/>
      <c r="AD13" s="52" t="s">
        <v>143</v>
      </c>
      <c r="AE13" s="30">
        <v>12</v>
      </c>
      <c r="AF13" s="17"/>
      <c r="AG13" s="18"/>
      <c r="AH13" s="18"/>
      <c r="AI13" s="53" t="s">
        <v>120</v>
      </c>
      <c r="AJ13" s="54">
        <v>1.9</v>
      </c>
      <c r="AK13" s="55">
        <v>7.5</v>
      </c>
      <c r="AL13" s="11">
        <v>11</v>
      </c>
      <c r="AM13" s="11">
        <v>6.7</v>
      </c>
      <c r="AN13" s="11" t="s">
        <v>135</v>
      </c>
    </row>
    <row r="14" spans="1:40" x14ac:dyDescent="0.2">
      <c r="A14" s="131" t="s">
        <v>8</v>
      </c>
      <c r="B14" s="131"/>
      <c r="C14" s="100" t="s">
        <v>113</v>
      </c>
      <c r="D14" s="100" t="s">
        <v>113</v>
      </c>
      <c r="E14" s="100" t="s">
        <v>113</v>
      </c>
      <c r="F14" s="100" t="s">
        <v>113</v>
      </c>
      <c r="G14" s="100" t="s">
        <v>113</v>
      </c>
      <c r="H14" s="100" t="s">
        <v>113</v>
      </c>
      <c r="I14" s="100" t="s">
        <v>113</v>
      </c>
      <c r="J14" s="100" t="s">
        <v>113</v>
      </c>
      <c r="K14" s="100" t="s">
        <v>113</v>
      </c>
      <c r="L14" s="100" t="s">
        <v>113</v>
      </c>
      <c r="M14" s="100" t="s">
        <v>113</v>
      </c>
      <c r="N14" s="100" t="s">
        <v>113</v>
      </c>
      <c r="O14" s="100" t="s">
        <v>113</v>
      </c>
      <c r="P14" s="100" t="s">
        <v>113</v>
      </c>
      <c r="Q14" s="100" t="s">
        <v>113</v>
      </c>
      <c r="R14" s="100" t="s">
        <v>113</v>
      </c>
      <c r="S14" s="100" t="s">
        <v>113</v>
      </c>
      <c r="T14" s="100" t="s">
        <v>113</v>
      </c>
      <c r="U14" s="100" t="s">
        <v>113</v>
      </c>
      <c r="V14" s="100" t="s">
        <v>113</v>
      </c>
      <c r="AD14" s="30" t="s">
        <v>138</v>
      </c>
      <c r="AE14" s="30">
        <v>6</v>
      </c>
      <c r="AI14" s="53" t="s">
        <v>119</v>
      </c>
      <c r="AJ14" s="54">
        <v>0.8</v>
      </c>
      <c r="AK14" s="55">
        <v>1.7</v>
      </c>
      <c r="AL14" s="11">
        <v>12</v>
      </c>
      <c r="AM14" s="11">
        <v>6.7</v>
      </c>
      <c r="AN14" s="11" t="s">
        <v>135</v>
      </c>
    </row>
    <row r="15" spans="1:40" x14ac:dyDescent="0.2">
      <c r="A15" s="130" t="s">
        <v>9</v>
      </c>
      <c r="B15" s="130"/>
      <c r="C15" s="15">
        <v>38</v>
      </c>
      <c r="D15" s="15">
        <v>38</v>
      </c>
      <c r="E15" s="15">
        <v>38</v>
      </c>
      <c r="F15" s="15">
        <v>38</v>
      </c>
      <c r="G15" s="15">
        <v>38</v>
      </c>
      <c r="H15" s="15">
        <v>38</v>
      </c>
      <c r="I15" s="15">
        <v>38</v>
      </c>
      <c r="J15" s="15">
        <v>38</v>
      </c>
      <c r="K15" s="15">
        <v>38</v>
      </c>
      <c r="L15" s="15">
        <v>38</v>
      </c>
      <c r="M15" s="15">
        <v>38</v>
      </c>
      <c r="N15" s="15">
        <v>38</v>
      </c>
      <c r="O15" s="15">
        <v>38</v>
      </c>
      <c r="P15" s="15">
        <v>38</v>
      </c>
      <c r="Q15" s="15">
        <v>38</v>
      </c>
      <c r="R15" s="15">
        <v>38</v>
      </c>
      <c r="S15" s="15">
        <v>38</v>
      </c>
      <c r="T15" s="15">
        <v>38</v>
      </c>
      <c r="U15" s="15">
        <v>38</v>
      </c>
      <c r="V15" s="15">
        <v>38</v>
      </c>
      <c r="AD15" s="30" t="s">
        <v>144</v>
      </c>
      <c r="AE15" s="30">
        <v>7</v>
      </c>
      <c r="AI15" s="53" t="s">
        <v>101</v>
      </c>
      <c r="AJ15" s="62">
        <v>1.8</v>
      </c>
      <c r="AK15" s="55">
        <v>5.4</v>
      </c>
      <c r="AL15" s="11">
        <v>13</v>
      </c>
      <c r="AM15" s="11">
        <v>6.7</v>
      </c>
      <c r="AN15" s="11" t="s">
        <v>135</v>
      </c>
    </row>
    <row r="16" spans="1:40" ht="13.5" thickBot="1" x14ac:dyDescent="0.25">
      <c r="A16" s="132" t="s">
        <v>44</v>
      </c>
      <c r="B16" s="132"/>
      <c r="C16" s="101" t="s">
        <v>72</v>
      </c>
      <c r="D16" s="101" t="s">
        <v>72</v>
      </c>
      <c r="E16" s="101" t="s">
        <v>72</v>
      </c>
      <c r="F16" s="101" t="s">
        <v>72</v>
      </c>
      <c r="G16" s="101" t="s">
        <v>72</v>
      </c>
      <c r="H16" s="101" t="s">
        <v>72</v>
      </c>
      <c r="I16" s="101" t="s">
        <v>72</v>
      </c>
      <c r="J16" s="101" t="s">
        <v>72</v>
      </c>
      <c r="K16" s="101" t="s">
        <v>72</v>
      </c>
      <c r="L16" s="101" t="s">
        <v>72</v>
      </c>
      <c r="M16" s="101" t="s">
        <v>72</v>
      </c>
      <c r="N16" s="101" t="s">
        <v>72</v>
      </c>
      <c r="O16" s="101" t="s">
        <v>72</v>
      </c>
      <c r="P16" s="101" t="s">
        <v>72</v>
      </c>
      <c r="Q16" s="101" t="s">
        <v>72</v>
      </c>
      <c r="R16" s="101" t="s">
        <v>72</v>
      </c>
      <c r="S16" s="101" t="s">
        <v>72</v>
      </c>
      <c r="T16" s="101" t="s">
        <v>72</v>
      </c>
      <c r="U16" s="101" t="s">
        <v>72</v>
      </c>
      <c r="V16" s="101" t="s">
        <v>72</v>
      </c>
      <c r="AD16" s="52" t="s">
        <v>145</v>
      </c>
      <c r="AE16" s="30">
        <v>8</v>
      </c>
      <c r="AI16" s="53" t="s">
        <v>118</v>
      </c>
      <c r="AJ16" s="54">
        <v>8</v>
      </c>
      <c r="AK16" s="55">
        <v>5.5</v>
      </c>
      <c r="AL16" s="12">
        <v>14</v>
      </c>
      <c r="AM16" s="11">
        <v>6.7</v>
      </c>
      <c r="AN16" s="11" t="s">
        <v>135</v>
      </c>
    </row>
    <row r="17" spans="1:40" x14ac:dyDescent="0.2">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64.599999999999994</v>
      </c>
      <c r="R17" s="28">
        <f t="shared" si="0"/>
        <v>64.599999999999994</v>
      </c>
      <c r="S17" s="28">
        <f t="shared" si="0"/>
        <v>64.599999999999994</v>
      </c>
      <c r="T17" s="28">
        <f t="shared" si="0"/>
        <v>64.599999999999994</v>
      </c>
      <c r="U17" s="28">
        <f t="shared" si="0"/>
        <v>64.599999999999994</v>
      </c>
      <c r="V17" s="28">
        <f t="shared" si="0"/>
        <v>64.599999999999994</v>
      </c>
      <c r="AD17" s="52" t="s">
        <v>146</v>
      </c>
      <c r="AE17" s="30">
        <v>10</v>
      </c>
      <c r="AI17" s="48" t="s">
        <v>115</v>
      </c>
      <c r="AJ17" s="49">
        <v>1.4</v>
      </c>
      <c r="AK17" s="50">
        <v>4.8</v>
      </c>
      <c r="AL17" s="51">
        <v>15</v>
      </c>
      <c r="AM17" s="11">
        <v>6.2</v>
      </c>
      <c r="AN17" s="11" t="s">
        <v>112</v>
      </c>
    </row>
    <row r="18" spans="1:40" x14ac:dyDescent="0.2">
      <c r="A18" s="124" t="s">
        <v>23</v>
      </c>
      <c r="B18" s="125"/>
      <c r="C18" s="16">
        <f>$D31</f>
        <v>63.341567999999995</v>
      </c>
      <c r="D18" s="16">
        <f>$D32</f>
        <v>63.341567999999995</v>
      </c>
      <c r="E18" s="16">
        <f>$D33</f>
        <v>63.341567999999995</v>
      </c>
      <c r="F18" s="16">
        <f>$D34</f>
        <v>63.341567999999995</v>
      </c>
      <c r="G18" s="16">
        <f>$D35</f>
        <v>63.341567999999995</v>
      </c>
      <c r="H18" s="16">
        <f>$D36</f>
        <v>63.341567999999995</v>
      </c>
      <c r="I18" s="16">
        <f>$D37</f>
        <v>63.341567999999995</v>
      </c>
      <c r="J18" s="16">
        <f>$D38</f>
        <v>63.341567999999995</v>
      </c>
      <c r="K18" s="16">
        <f>$D39</f>
        <v>63.341567999999995</v>
      </c>
      <c r="L18" s="16">
        <f>$D40</f>
        <v>63.341567999999995</v>
      </c>
      <c r="M18" s="16">
        <f>$D41</f>
        <v>63.341567999999995</v>
      </c>
      <c r="N18" s="16">
        <f>$D42</f>
        <v>63.341567999999995</v>
      </c>
      <c r="O18" s="16">
        <f>$D43</f>
        <v>63.341567999999995</v>
      </c>
      <c r="P18" s="16">
        <f>$D44</f>
        <v>63.341567999999995</v>
      </c>
      <c r="Q18" s="16">
        <f>$D45</f>
        <v>63.341567999999995</v>
      </c>
      <c r="R18" s="16">
        <f>$D46</f>
        <v>63.341567999999995</v>
      </c>
      <c r="S18" s="16">
        <f>$D47</f>
        <v>63.341567999999995</v>
      </c>
      <c r="T18" s="16">
        <f>$D48</f>
        <v>63.341567999999995</v>
      </c>
      <c r="U18" s="16">
        <f>$D49</f>
        <v>63.341567999999995</v>
      </c>
      <c r="V18" s="25">
        <f>$D50</f>
        <v>63.341567999999995</v>
      </c>
      <c r="AD18" s="52" t="s">
        <v>147</v>
      </c>
      <c r="AE18" s="30">
        <v>16</v>
      </c>
      <c r="AI18" s="48" t="s">
        <v>106</v>
      </c>
      <c r="AJ18" s="49">
        <v>5.9</v>
      </c>
      <c r="AK18" s="50">
        <v>18</v>
      </c>
      <c r="AL18" s="51">
        <v>16</v>
      </c>
      <c r="AM18" s="11">
        <v>6.2</v>
      </c>
      <c r="AN18" s="11" t="s">
        <v>112</v>
      </c>
    </row>
    <row r="19" spans="1:40" x14ac:dyDescent="0.2">
      <c r="A19" s="124" t="s">
        <v>90</v>
      </c>
      <c r="B19" s="125"/>
      <c r="C19" s="16">
        <f>C18-C17</f>
        <v>-1.2584319999999991</v>
      </c>
      <c r="D19" s="16">
        <f t="shared" ref="D19:V19" si="1">D18-D17</f>
        <v>-1.2584319999999991</v>
      </c>
      <c r="E19" s="16">
        <f t="shared" si="1"/>
        <v>-1.2584319999999991</v>
      </c>
      <c r="F19" s="16">
        <f t="shared" si="1"/>
        <v>-1.2584319999999991</v>
      </c>
      <c r="G19" s="16">
        <f t="shared" si="1"/>
        <v>-1.2584319999999991</v>
      </c>
      <c r="H19" s="16">
        <f t="shared" si="1"/>
        <v>-1.2584319999999991</v>
      </c>
      <c r="I19" s="16">
        <f t="shared" si="1"/>
        <v>-1.2584319999999991</v>
      </c>
      <c r="J19" s="16">
        <f t="shared" si="1"/>
        <v>-1.2584319999999991</v>
      </c>
      <c r="K19" s="16">
        <f t="shared" si="1"/>
        <v>-1.2584319999999991</v>
      </c>
      <c r="L19" s="16">
        <f t="shared" si="1"/>
        <v>-1.2584319999999991</v>
      </c>
      <c r="M19" s="16">
        <f t="shared" si="1"/>
        <v>-1.2584319999999991</v>
      </c>
      <c r="N19" s="16">
        <f t="shared" si="1"/>
        <v>-1.2584319999999991</v>
      </c>
      <c r="O19" s="16">
        <f t="shared" si="1"/>
        <v>-1.2584319999999991</v>
      </c>
      <c r="P19" s="16">
        <f t="shared" si="1"/>
        <v>-1.2584319999999991</v>
      </c>
      <c r="Q19" s="16">
        <f t="shared" si="1"/>
        <v>-1.2584319999999991</v>
      </c>
      <c r="R19" s="16">
        <f t="shared" si="1"/>
        <v>-1.2584319999999991</v>
      </c>
      <c r="S19" s="16">
        <f t="shared" si="1"/>
        <v>-1.2584319999999991</v>
      </c>
      <c r="T19" s="16">
        <f t="shared" si="1"/>
        <v>-1.2584319999999991</v>
      </c>
      <c r="U19" s="16">
        <f t="shared" si="1"/>
        <v>-1.2584319999999991</v>
      </c>
      <c r="V19" s="25">
        <f t="shared" si="1"/>
        <v>-1.2584319999999991</v>
      </c>
      <c r="AI19" s="48" t="s">
        <v>107</v>
      </c>
      <c r="AJ19" s="49">
        <v>3.2</v>
      </c>
      <c r="AK19" s="50">
        <v>10.5</v>
      </c>
      <c r="AL19" s="51">
        <v>17</v>
      </c>
      <c r="AM19" s="11">
        <v>6.2</v>
      </c>
      <c r="AN19" s="11" t="s">
        <v>112</v>
      </c>
    </row>
    <row r="20" spans="1:40" ht="13.5" thickBot="1" x14ac:dyDescent="0.25">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DECREASE</v>
      </c>
      <c r="S20" s="26" t="str">
        <f>IF($B47="","",IF(S$19&gt;=0,"INCREASE","DECREASE"))</f>
        <v>DECREASE</v>
      </c>
      <c r="T20" s="26" t="str">
        <f>IF($B48="","",IF(T$19&gt;=0,"INCREASE","DECREASE"))</f>
        <v>DECREASE</v>
      </c>
      <c r="U20" s="26" t="str">
        <f>IF($B49="","",IF(U$19&gt;=0,"INCREASE","DECREASE"))</f>
        <v>DECREASE</v>
      </c>
      <c r="V20" s="27" t="str">
        <f>IF($B50="","",IF(V$19&gt;=0,"INCREASE","DECREASE"))</f>
        <v>DECREASE</v>
      </c>
      <c r="AI20" s="48" t="s">
        <v>114</v>
      </c>
      <c r="AJ20" s="49">
        <v>2.1</v>
      </c>
      <c r="AK20" s="50">
        <v>7.2</v>
      </c>
      <c r="AL20" s="51">
        <v>18</v>
      </c>
      <c r="AM20" s="11">
        <v>6.2</v>
      </c>
      <c r="AN20" s="11" t="s">
        <v>112</v>
      </c>
    </row>
    <row r="21" spans="1:40" x14ac:dyDescent="0.2">
      <c r="A21" s="122" t="s">
        <v>88</v>
      </c>
      <c r="B21" s="123"/>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228</v>
      </c>
      <c r="Q21" s="28">
        <f t="shared" si="2"/>
        <v>228</v>
      </c>
      <c r="R21" s="28">
        <f t="shared" si="2"/>
        <v>228</v>
      </c>
      <c r="S21" s="28">
        <f t="shared" si="2"/>
        <v>228</v>
      </c>
      <c r="T21" s="28">
        <f t="shared" si="2"/>
        <v>228</v>
      </c>
      <c r="U21" s="28">
        <f t="shared" si="2"/>
        <v>228</v>
      </c>
      <c r="V21" s="28">
        <f t="shared" si="2"/>
        <v>228</v>
      </c>
      <c r="AI21" s="63" t="s">
        <v>100</v>
      </c>
      <c r="AJ21" s="66">
        <v>11</v>
      </c>
      <c r="AK21" s="65">
        <v>12</v>
      </c>
      <c r="AL21" s="29">
        <v>19</v>
      </c>
      <c r="AM21" s="11">
        <v>6.7</v>
      </c>
      <c r="AN21" s="11" t="s">
        <v>135</v>
      </c>
    </row>
    <row r="22" spans="1:40" x14ac:dyDescent="0.2">
      <c r="A22" s="124" t="s">
        <v>89</v>
      </c>
      <c r="B22" s="125"/>
      <c r="C22" s="16">
        <f>$E31</f>
        <v>20.128320000000002</v>
      </c>
      <c r="D22" s="16">
        <f>$E32</f>
        <v>20.128320000000002</v>
      </c>
      <c r="E22" s="16">
        <f>$E33</f>
        <v>20.128320000000002</v>
      </c>
      <c r="F22" s="16">
        <f>$E34</f>
        <v>20.128320000000002</v>
      </c>
      <c r="G22" s="16">
        <f>$E35</f>
        <v>20.128320000000002</v>
      </c>
      <c r="H22" s="16">
        <f>$E36</f>
        <v>20.128320000000002</v>
      </c>
      <c r="I22" s="16">
        <f>$E37</f>
        <v>20.128320000000002</v>
      </c>
      <c r="J22" s="16">
        <f>$E38</f>
        <v>20.128320000000002</v>
      </c>
      <c r="K22" s="16">
        <f>$E39</f>
        <v>20.128320000000002</v>
      </c>
      <c r="L22" s="16">
        <f>$E40</f>
        <v>20.128320000000002</v>
      </c>
      <c r="M22" s="16">
        <f>$E41</f>
        <v>20.128320000000002</v>
      </c>
      <c r="N22" s="16">
        <f>$E42</f>
        <v>20.128320000000002</v>
      </c>
      <c r="O22" s="16">
        <f>$E43</f>
        <v>20.128320000000002</v>
      </c>
      <c r="P22" s="16">
        <f>$E44</f>
        <v>20.128320000000002</v>
      </c>
      <c r="Q22" s="16">
        <f>$E45</f>
        <v>20.128320000000002</v>
      </c>
      <c r="R22" s="16">
        <f>$E46</f>
        <v>20.128320000000002</v>
      </c>
      <c r="S22" s="16">
        <f>$E47</f>
        <v>20.128320000000002</v>
      </c>
      <c r="T22" s="16">
        <f>$E48</f>
        <v>20.128320000000002</v>
      </c>
      <c r="U22" s="16">
        <f>$E49</f>
        <v>20.128320000000002</v>
      </c>
      <c r="V22" s="16">
        <f>$E50</f>
        <v>20.128320000000002</v>
      </c>
      <c r="AI22" s="63" t="s">
        <v>102</v>
      </c>
      <c r="AJ22" s="64">
        <v>1.2</v>
      </c>
      <c r="AK22" s="65">
        <v>5</v>
      </c>
      <c r="AL22" s="29">
        <v>20</v>
      </c>
      <c r="AM22" s="11">
        <v>6.7</v>
      </c>
      <c r="AN22" s="11" t="s">
        <v>135</v>
      </c>
    </row>
    <row r="23" spans="1:40" x14ac:dyDescent="0.2">
      <c r="A23" s="124" t="s">
        <v>92</v>
      </c>
      <c r="B23" s="125"/>
      <c r="C23" s="16">
        <f>C22-C21</f>
        <v>-207.87168</v>
      </c>
      <c r="D23" s="16">
        <f t="shared" ref="D23:V23" si="3">D22-D21</f>
        <v>-207.87168</v>
      </c>
      <c r="E23" s="16">
        <f t="shared" si="3"/>
        <v>-207.87168</v>
      </c>
      <c r="F23" s="16">
        <f t="shared" si="3"/>
        <v>-207.87168</v>
      </c>
      <c r="G23" s="16">
        <f t="shared" si="3"/>
        <v>-207.87168</v>
      </c>
      <c r="H23" s="16">
        <f t="shared" si="3"/>
        <v>-207.87168</v>
      </c>
      <c r="I23" s="16">
        <f t="shared" si="3"/>
        <v>-207.87168</v>
      </c>
      <c r="J23" s="16">
        <f t="shared" si="3"/>
        <v>-207.87168</v>
      </c>
      <c r="K23" s="16">
        <f t="shared" si="3"/>
        <v>-207.87168</v>
      </c>
      <c r="L23" s="16">
        <f t="shared" si="3"/>
        <v>-207.87168</v>
      </c>
      <c r="M23" s="16">
        <f t="shared" si="3"/>
        <v>-207.87168</v>
      </c>
      <c r="N23" s="16">
        <f t="shared" si="3"/>
        <v>-207.87168</v>
      </c>
      <c r="O23" s="16">
        <f t="shared" si="3"/>
        <v>-207.87168</v>
      </c>
      <c r="P23" s="16">
        <f t="shared" si="3"/>
        <v>-207.87168</v>
      </c>
      <c r="Q23" s="16">
        <f t="shared" si="3"/>
        <v>-207.87168</v>
      </c>
      <c r="R23" s="16">
        <f t="shared" si="3"/>
        <v>-207.87168</v>
      </c>
      <c r="S23" s="16">
        <f t="shared" si="3"/>
        <v>-207.87168</v>
      </c>
      <c r="T23" s="16">
        <f t="shared" si="3"/>
        <v>-207.87168</v>
      </c>
      <c r="U23" s="16">
        <f t="shared" si="3"/>
        <v>-207.87168</v>
      </c>
      <c r="V23" s="16">
        <f t="shared" si="3"/>
        <v>-207.87168</v>
      </c>
      <c r="AI23" s="63" t="s">
        <v>98</v>
      </c>
      <c r="AJ23" s="66">
        <v>9</v>
      </c>
      <c r="AK23" s="65">
        <v>10</v>
      </c>
      <c r="AL23" s="29">
        <v>21</v>
      </c>
      <c r="AM23" s="11">
        <v>6.7</v>
      </c>
      <c r="AN23" s="11" t="s">
        <v>135</v>
      </c>
    </row>
    <row r="24" spans="1:40" ht="13.5" thickBot="1" x14ac:dyDescent="0.25">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str">
        <f t="shared" si="4"/>
        <v>DECREASE</v>
      </c>
      <c r="T24" s="26" t="str">
        <f t="shared" si="4"/>
        <v>DECREASE</v>
      </c>
      <c r="U24" s="26" t="str">
        <f t="shared" si="4"/>
        <v>DECREASE</v>
      </c>
      <c r="V24" s="26" t="str">
        <f t="shared" si="4"/>
        <v>DECREASE</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25">
      <c r="A28" s="108"/>
      <c r="B28" s="24">
        <v>5.12</v>
      </c>
      <c r="C28" s="15">
        <v>0.3</v>
      </c>
      <c r="D28" s="15">
        <v>864</v>
      </c>
      <c r="E28" s="15">
        <v>522</v>
      </c>
      <c r="F28" s="15">
        <v>62.9</v>
      </c>
      <c r="G28" s="15">
        <v>2.34</v>
      </c>
      <c r="H28" s="15">
        <v>56.9</v>
      </c>
      <c r="I28" s="15">
        <v>3.21</v>
      </c>
      <c r="J28" s="15">
        <v>0.05</v>
      </c>
      <c r="K28" s="23">
        <v>0.05</v>
      </c>
      <c r="L28" s="15">
        <v>0.78</v>
      </c>
      <c r="M28" s="15">
        <v>0.93</v>
      </c>
      <c r="N28" s="15"/>
      <c r="O28" s="15"/>
      <c r="P28" s="15">
        <v>1527</v>
      </c>
      <c r="Q28" s="15">
        <v>894</v>
      </c>
      <c r="R28" s="15"/>
      <c r="S28" s="15"/>
      <c r="T28" s="15"/>
      <c r="U28" s="15"/>
    </row>
    <row r="29" spans="1:40" s="7" customFormat="1" ht="27" x14ac:dyDescent="0.2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5905</v>
      </c>
      <c r="B31" s="15">
        <v>32</v>
      </c>
      <c r="C31" s="77">
        <f>IF(C$27="%w/w SAR",((C$28*10)*$B31),IF(C$27="%w/w DM",(((C$28*10)*($B$28/100))*$B31),IF(C$27="kg/t SAR",(C$28*$B31),IF(C$27="kg/t DM",((C$28*($B$28/100))*$B31),IF(C$27="mg/kg SAR",((C$28*0.001)*$B31),IF(C$27="mg/kg DM",(((C$28*0.001)*($B$28/100))*$B31),0))))))</f>
        <v>96</v>
      </c>
      <c r="D31" s="77">
        <f>(IF(D$27="%w/w SAR",((D$28*10)*$B31),IF(D$27="%w/w DM",(((D$28*10)*($B$28/100))*$B31),IF(D$27="kg/t SAR",(D$28*$B31),IF(D$27="kg/t DM",((D$28*($B$28/100))*$B31),IF(D$27="mg/kg SAR",((D$28*0.001)*$B31),IF(D$27="mg/kg DM",(((D$28*0.001)*($B$28/100))*$B31),"0")))))))*2.291</f>
        <v>63.341567999999995</v>
      </c>
      <c r="E31" s="77">
        <f>(IF(E$27="%w/w SAR",((E$28*10)*$B31),IF(E$27="%w/w DM",(((E$28*10)*($B$28/100))*$B31),IF(E$27="kg/t SAR",(E$28*$B31),IF(E$27="kg/t DM",((E$28*($B$28/100))*$B31),IF(E$27="mg/kg SAR",((E$28*0.001)*$B31),IF(E$27="mg/kg DM",(((E$28*0.001)*($B$28/100))*$B31),"0")))))))*1.205</f>
        <v>20.128320000000002</v>
      </c>
      <c r="F31" s="77">
        <f>(IF(F$27="%w/w SAR",((F$28*10)*$B31),IF(F$27="%w/w DM",(((F$28*10)*($B$28/100))*$B31),IF(F$27="kg/t SAR",(F$28*$B31),IF(F$27="kg/t DM",((F$28*($B$28/100))*$B31),IF(F$27="mg/kg SAR",((F$28*0.001)*$B31),IF(F$27="mg/kg DM",(((F$28*0.001)*($B$28/100))*$B31),"0")))))))*1.658</f>
        <v>3.3372223999999999</v>
      </c>
      <c r="G31" s="77">
        <f t="shared" ref="G31:P31" si="5">IF(G$27="%w/w SAR",((G$28*10)*$B31),IF(G$27="%w/w DM",(((G$28*10)*($B$28/100))*$B31),IF(G$27="kg/t SAR",(G$28*$B31),IF(G$27="kg/t DM",((G$28*($B$28/100))*$B31),IF(G$27="mg/kg SAR",((G$28*0.001)*$B31),IF(G$27="mg/kg DM",(((G$28*0.001)*($B$28/100))*$B31),0))))))</f>
        <v>7.4880000000000002E-2</v>
      </c>
      <c r="H31" s="77">
        <f t="shared" si="5"/>
        <v>1.8208</v>
      </c>
      <c r="I31" s="77">
        <f t="shared" si="5"/>
        <v>0.10272000000000001</v>
      </c>
      <c r="J31" s="77">
        <f t="shared" si="5"/>
        <v>1.6000000000000001E-3</v>
      </c>
      <c r="K31" s="77">
        <f t="shared" si="5"/>
        <v>1.6000000000000001E-3</v>
      </c>
      <c r="L31" s="77">
        <f t="shared" si="5"/>
        <v>2.4960000000000003E-2</v>
      </c>
      <c r="M31" s="77">
        <f t="shared" si="5"/>
        <v>2.9760000000000002E-2</v>
      </c>
      <c r="N31" s="77">
        <f t="shared" si="5"/>
        <v>0</v>
      </c>
      <c r="O31" s="77">
        <f t="shared" si="5"/>
        <v>0</v>
      </c>
      <c r="P31" s="77">
        <f t="shared" si="5"/>
        <v>48.864000000000004</v>
      </c>
      <c r="Q31" s="77">
        <f>(IF(Q$27="%w/w SAR",((Q$28*10)*$B31),IF(Q$27="%w/w DM",(((Q$28*10)*($B$28/100))*$B31),IF(Q$27="kg/t SAR",(Q$28*$B31),IF(Q$27="kg/t DM",((Q$28*($B$28/100))*$B31),IF(Q$27="mg/kg SAR",((Q$28*0.001)*$B31),IF(Q$27="mg/kg DM",(((Q$28*0.001)*($B$28/100))*$B31),0)))))))*2.5</f>
        <v>71.52</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4279</v>
      </c>
      <c r="B32" s="15">
        <v>32</v>
      </c>
      <c r="C32" s="77">
        <f t="shared" ref="C32:C50" si="6">IF(C$27="%w/w SAR",((C$28*10)*$B32),IF(C$27="%w/w DM",(((C$28*10)*($B$28/100))*$B32),IF(C$27="kg/t SAR",(C$28*$B32),IF(C$27="kg/t DM",((C$28*($B$28/100))*$B32),IF(C$27="mg/kg SAR",((C$28*0.001)*$B32),IF(C$27="mg/kg DM",(((C$28*0.001)*($B$28/100))*$B32),0))))))</f>
        <v>96</v>
      </c>
      <c r="D32" s="77">
        <f t="shared" ref="D32:D50" si="7">(IF(D$27="%w/w SAR",((D$28*10)*$B32),IF(D$27="%w/w DM",(((D$28*10)*($B$28/100))*$B32),IF(D$27="kg/t SAR",(D$28*$B32),IF(D$27="kg/t DM",((D$28*($B$28/100))*$B32),IF(D$27="mg/kg SAR",((D$28*0.001)*$B32),IF(D$27="mg/kg DM",(((D$28*0.001)*($B$28/100))*$B32),"0")))))))*2.291</f>
        <v>63.341567999999995</v>
      </c>
      <c r="E32" s="77">
        <f t="shared" ref="E32:E50" si="8">(IF(E$27="%w/w SAR",((E$28*10)*$B32),IF(E$27="%w/w DM",(((E$28*10)*($B$28/100))*$B32),IF(E$27="kg/t SAR",(E$28*$B32),IF(E$27="kg/t DM",((E$28*($B$28/100))*$B32),IF(E$27="mg/kg SAR",((E$28*0.001)*$B32),IF(E$27="mg/kg DM",(((E$28*0.001)*($B$28/100))*$B32),"0")))))))*1.205</f>
        <v>20.128320000000002</v>
      </c>
      <c r="F32" s="77">
        <f t="shared" ref="F32:F50" si="9">(IF(F$27="%w/w SAR",((F$28*10)*$B32),IF(F$27="%w/w DM",(((F$28*10)*($B$28/100))*$B32),IF(F$27="kg/t SAR",(F$28*$B32),IF(F$27="kg/t DM",((F$28*($B$28/100))*$B32),IF(F$27="mg/kg SAR",((F$28*0.001)*$B32),IF(F$27="mg/kg DM",(((F$28*0.001)*($B$28/100))*$B32),"0")))))))*1.658</f>
        <v>3.3372223999999999</v>
      </c>
      <c r="G32" s="77">
        <f t="shared" ref="G32:P50" si="10">IF(G$27="%w/w SAR",((G$28*10)*$B32),IF(G$27="%w/w DM",(((G$28*10)*($B$28/100))*$B32),IF(G$27="kg/t SAR",(G$28*$B32),IF(G$27="kg/t DM",((G$28*($B$28/100))*$B32),IF(G$27="mg/kg SAR",((G$28*0.001)*$B32),IF(G$27="mg/kg DM",(((G$28*0.001)*($B$28/100))*$B32),0))))))</f>
        <v>7.4880000000000002E-2</v>
      </c>
      <c r="H32" s="77">
        <f t="shared" si="10"/>
        <v>1.8208</v>
      </c>
      <c r="I32" s="77">
        <f t="shared" si="10"/>
        <v>0.10272000000000001</v>
      </c>
      <c r="J32" s="77">
        <f t="shared" si="10"/>
        <v>1.6000000000000001E-3</v>
      </c>
      <c r="K32" s="77">
        <f t="shared" si="10"/>
        <v>1.6000000000000001E-3</v>
      </c>
      <c r="L32" s="77">
        <f t="shared" si="10"/>
        <v>2.4960000000000003E-2</v>
      </c>
      <c r="M32" s="77">
        <f t="shared" si="10"/>
        <v>2.9760000000000002E-2</v>
      </c>
      <c r="N32" s="77">
        <f t="shared" si="10"/>
        <v>0</v>
      </c>
      <c r="O32" s="77">
        <f t="shared" si="10"/>
        <v>0</v>
      </c>
      <c r="P32" s="77">
        <f t="shared" si="10"/>
        <v>48.864000000000004</v>
      </c>
      <c r="Q32" s="77">
        <f t="shared" ref="Q32:Q50" si="11">(IF(Q$27="%w/w SAR",((Q$28*10)*$B32),IF(Q$27="%w/w DM",(((Q$28*10)*($B$28/100))*$B32),IF(Q$27="kg/t SAR",(Q$28*$B32),IF(Q$27="kg/t DM",((Q$28*($B$28/100))*$B32),IF(Q$27="mg/kg SAR",((Q$28*0.001)*$B32),IF(Q$27="mg/kg DM",(((Q$28*0.001)*($B$28/100))*$B32),0)))))))*2.5</f>
        <v>71.52</v>
      </c>
      <c r="R32" s="77">
        <f t="shared" ref="R32:U50" si="12">IF(R$27="%w/w SAR",((R$28*10)*$B32),IF(R$27="%w/w DM",(((R$28*10)*($B$28/100))*$B32),IF(R$27="kg/t SAR",(R$28*$B32),IF(R$27="kg/t DM",((R$28*($B$28/100))*$B32),IF(R$27="mg/kg SAR",((R$28*0.001)*$B32),IF(R$27="mg/kg DM",(((R$28*0.001)*($B$28/100))*$B32),0))))))</f>
        <v>0</v>
      </c>
      <c r="S32" s="77">
        <f t="shared" si="12"/>
        <v>0</v>
      </c>
      <c r="T32" s="77">
        <f t="shared" si="12"/>
        <v>0</v>
      </c>
      <c r="U32" s="77">
        <f t="shared" si="12"/>
        <v>0</v>
      </c>
      <c r="AB32" s="59"/>
      <c r="AC32" s="59"/>
      <c r="AD32" s="59"/>
      <c r="AE32" s="59"/>
      <c r="AF32" s="59"/>
      <c r="AG32" s="59"/>
      <c r="AH32" s="59"/>
      <c r="AI32" s="59"/>
    </row>
    <row r="33" spans="1:35" s="72" customFormat="1" x14ac:dyDescent="0.25">
      <c r="A33" s="13">
        <f>E8</f>
        <v>7605</v>
      </c>
      <c r="B33" s="15">
        <v>32</v>
      </c>
      <c r="C33" s="77">
        <f t="shared" si="6"/>
        <v>96</v>
      </c>
      <c r="D33" s="77">
        <f t="shared" si="7"/>
        <v>63.341567999999995</v>
      </c>
      <c r="E33" s="77">
        <f t="shared" si="8"/>
        <v>20.128320000000002</v>
      </c>
      <c r="F33" s="77">
        <f t="shared" si="9"/>
        <v>3.3372223999999999</v>
      </c>
      <c r="G33" s="77">
        <f t="shared" si="10"/>
        <v>7.4880000000000002E-2</v>
      </c>
      <c r="H33" s="77">
        <f t="shared" si="10"/>
        <v>1.8208</v>
      </c>
      <c r="I33" s="77">
        <f t="shared" si="10"/>
        <v>0.10272000000000001</v>
      </c>
      <c r="J33" s="77">
        <f t="shared" si="10"/>
        <v>1.6000000000000001E-3</v>
      </c>
      <c r="K33" s="77">
        <f t="shared" si="10"/>
        <v>1.6000000000000001E-3</v>
      </c>
      <c r="L33" s="77">
        <f t="shared" si="10"/>
        <v>2.4960000000000003E-2</v>
      </c>
      <c r="M33" s="77">
        <f t="shared" si="10"/>
        <v>2.9760000000000002E-2</v>
      </c>
      <c r="N33" s="77">
        <f t="shared" si="10"/>
        <v>0</v>
      </c>
      <c r="O33" s="77">
        <f t="shared" si="10"/>
        <v>0</v>
      </c>
      <c r="P33" s="77">
        <f t="shared" si="10"/>
        <v>48.864000000000004</v>
      </c>
      <c r="Q33" s="77">
        <f t="shared" si="11"/>
        <v>71.52</v>
      </c>
      <c r="R33" s="77">
        <f t="shared" si="12"/>
        <v>0</v>
      </c>
      <c r="S33" s="77">
        <f t="shared" si="12"/>
        <v>0</v>
      </c>
      <c r="T33" s="77">
        <f t="shared" si="12"/>
        <v>0</v>
      </c>
      <c r="U33" s="77">
        <f t="shared" si="12"/>
        <v>0</v>
      </c>
      <c r="AB33" s="59"/>
      <c r="AC33" s="59"/>
      <c r="AD33" s="59"/>
      <c r="AE33" s="59"/>
      <c r="AF33" s="59"/>
      <c r="AG33" s="59"/>
      <c r="AH33" s="59"/>
      <c r="AI33" s="59"/>
    </row>
    <row r="34" spans="1:35" s="72" customFormat="1" x14ac:dyDescent="0.25">
      <c r="A34" s="13">
        <f>F8</f>
        <v>3851</v>
      </c>
      <c r="B34" s="15">
        <v>32</v>
      </c>
      <c r="C34" s="77">
        <f t="shared" si="6"/>
        <v>96</v>
      </c>
      <c r="D34" s="77">
        <f t="shared" si="7"/>
        <v>63.341567999999995</v>
      </c>
      <c r="E34" s="77">
        <f t="shared" si="8"/>
        <v>20.128320000000002</v>
      </c>
      <c r="F34" s="77">
        <f t="shared" si="9"/>
        <v>3.3372223999999999</v>
      </c>
      <c r="G34" s="77">
        <f t="shared" si="10"/>
        <v>7.4880000000000002E-2</v>
      </c>
      <c r="H34" s="77">
        <f t="shared" si="10"/>
        <v>1.8208</v>
      </c>
      <c r="I34" s="77">
        <f t="shared" si="10"/>
        <v>0.10272000000000001</v>
      </c>
      <c r="J34" s="77">
        <f t="shared" si="10"/>
        <v>1.6000000000000001E-3</v>
      </c>
      <c r="K34" s="77">
        <f t="shared" si="10"/>
        <v>1.6000000000000001E-3</v>
      </c>
      <c r="L34" s="77">
        <f t="shared" si="10"/>
        <v>2.4960000000000003E-2</v>
      </c>
      <c r="M34" s="77">
        <f t="shared" si="10"/>
        <v>2.9760000000000002E-2</v>
      </c>
      <c r="N34" s="77">
        <f t="shared" si="10"/>
        <v>0</v>
      </c>
      <c r="O34" s="77">
        <f t="shared" si="10"/>
        <v>0</v>
      </c>
      <c r="P34" s="77">
        <f t="shared" si="10"/>
        <v>48.864000000000004</v>
      </c>
      <c r="Q34" s="77">
        <f t="shared" si="11"/>
        <v>71.52</v>
      </c>
      <c r="R34" s="77">
        <f t="shared" si="12"/>
        <v>0</v>
      </c>
      <c r="S34" s="77">
        <f t="shared" si="12"/>
        <v>0</v>
      </c>
      <c r="T34" s="77">
        <f t="shared" si="12"/>
        <v>0</v>
      </c>
      <c r="U34" s="77">
        <f t="shared" si="12"/>
        <v>0</v>
      </c>
      <c r="AB34" s="59"/>
      <c r="AC34" s="59"/>
      <c r="AD34" s="59"/>
      <c r="AE34" s="59"/>
      <c r="AF34" s="59"/>
      <c r="AG34" s="59"/>
      <c r="AH34" s="59"/>
      <c r="AI34" s="59"/>
    </row>
    <row r="35" spans="1:35" s="72" customFormat="1" x14ac:dyDescent="0.25">
      <c r="A35" s="13">
        <f>G8</f>
        <v>6418</v>
      </c>
      <c r="B35" s="15">
        <v>32</v>
      </c>
      <c r="C35" s="77">
        <f t="shared" si="6"/>
        <v>96</v>
      </c>
      <c r="D35" s="77">
        <f t="shared" si="7"/>
        <v>63.341567999999995</v>
      </c>
      <c r="E35" s="77">
        <f t="shared" si="8"/>
        <v>20.128320000000002</v>
      </c>
      <c r="F35" s="77">
        <f t="shared" si="9"/>
        <v>3.3372223999999999</v>
      </c>
      <c r="G35" s="77">
        <f t="shared" si="10"/>
        <v>7.4880000000000002E-2</v>
      </c>
      <c r="H35" s="77">
        <f t="shared" si="10"/>
        <v>1.8208</v>
      </c>
      <c r="I35" s="77">
        <f t="shared" si="10"/>
        <v>0.10272000000000001</v>
      </c>
      <c r="J35" s="77">
        <f t="shared" si="10"/>
        <v>1.6000000000000001E-3</v>
      </c>
      <c r="K35" s="77">
        <f t="shared" si="10"/>
        <v>1.6000000000000001E-3</v>
      </c>
      <c r="L35" s="77">
        <f t="shared" si="10"/>
        <v>2.4960000000000003E-2</v>
      </c>
      <c r="M35" s="77">
        <f t="shared" si="10"/>
        <v>2.9760000000000002E-2</v>
      </c>
      <c r="N35" s="77">
        <f t="shared" si="10"/>
        <v>0</v>
      </c>
      <c r="O35" s="77">
        <f t="shared" si="10"/>
        <v>0</v>
      </c>
      <c r="P35" s="77">
        <f t="shared" si="10"/>
        <v>48.864000000000004</v>
      </c>
      <c r="Q35" s="77">
        <f t="shared" si="11"/>
        <v>71.52</v>
      </c>
      <c r="R35" s="77">
        <f t="shared" si="12"/>
        <v>0</v>
      </c>
      <c r="S35" s="77">
        <f t="shared" si="12"/>
        <v>0</v>
      </c>
      <c r="T35" s="77">
        <f t="shared" si="12"/>
        <v>0</v>
      </c>
      <c r="U35" s="77">
        <f t="shared" si="12"/>
        <v>0</v>
      </c>
      <c r="AB35" s="59"/>
      <c r="AC35" s="59"/>
      <c r="AD35" s="59"/>
      <c r="AE35" s="59"/>
      <c r="AF35" s="59"/>
      <c r="AG35" s="59"/>
      <c r="AH35" s="59"/>
      <c r="AI35" s="59"/>
    </row>
    <row r="36" spans="1:35" s="72" customFormat="1" x14ac:dyDescent="0.25">
      <c r="A36" s="13">
        <f>H8</f>
        <v>1843</v>
      </c>
      <c r="B36" s="15">
        <v>32</v>
      </c>
      <c r="C36" s="77">
        <f t="shared" si="6"/>
        <v>96</v>
      </c>
      <c r="D36" s="77">
        <f t="shared" si="7"/>
        <v>63.341567999999995</v>
      </c>
      <c r="E36" s="77">
        <f t="shared" si="8"/>
        <v>20.128320000000002</v>
      </c>
      <c r="F36" s="77">
        <f t="shared" si="9"/>
        <v>3.3372223999999999</v>
      </c>
      <c r="G36" s="77">
        <f t="shared" si="10"/>
        <v>7.4880000000000002E-2</v>
      </c>
      <c r="H36" s="77">
        <f t="shared" si="10"/>
        <v>1.8208</v>
      </c>
      <c r="I36" s="77">
        <f t="shared" si="10"/>
        <v>0.10272000000000001</v>
      </c>
      <c r="J36" s="77">
        <f t="shared" si="10"/>
        <v>1.6000000000000001E-3</v>
      </c>
      <c r="K36" s="77">
        <f t="shared" si="10"/>
        <v>1.6000000000000001E-3</v>
      </c>
      <c r="L36" s="77">
        <f t="shared" si="10"/>
        <v>2.4960000000000003E-2</v>
      </c>
      <c r="M36" s="77">
        <f t="shared" si="10"/>
        <v>2.9760000000000002E-2</v>
      </c>
      <c r="N36" s="77">
        <f t="shared" si="10"/>
        <v>0</v>
      </c>
      <c r="O36" s="77">
        <f t="shared" si="10"/>
        <v>0</v>
      </c>
      <c r="P36" s="77">
        <f t="shared" si="10"/>
        <v>48.864000000000004</v>
      </c>
      <c r="Q36" s="77">
        <f t="shared" si="11"/>
        <v>71.52</v>
      </c>
      <c r="R36" s="77">
        <f t="shared" si="12"/>
        <v>0</v>
      </c>
      <c r="S36" s="77">
        <f t="shared" si="12"/>
        <v>0</v>
      </c>
      <c r="T36" s="77">
        <f t="shared" si="12"/>
        <v>0</v>
      </c>
      <c r="U36" s="77">
        <f t="shared" si="12"/>
        <v>0</v>
      </c>
      <c r="AB36" s="59"/>
      <c r="AC36" s="59"/>
      <c r="AD36" s="59"/>
      <c r="AE36" s="59"/>
      <c r="AF36" s="59"/>
      <c r="AG36" s="59"/>
      <c r="AH36" s="59"/>
      <c r="AI36" s="59"/>
    </row>
    <row r="37" spans="1:35" s="72" customFormat="1" x14ac:dyDescent="0.25">
      <c r="A37" s="13">
        <f>I8</f>
        <v>5974</v>
      </c>
      <c r="B37" s="15">
        <v>32</v>
      </c>
      <c r="C37" s="77">
        <f t="shared" si="6"/>
        <v>96</v>
      </c>
      <c r="D37" s="77">
        <f t="shared" si="7"/>
        <v>63.341567999999995</v>
      </c>
      <c r="E37" s="77">
        <f t="shared" si="8"/>
        <v>20.128320000000002</v>
      </c>
      <c r="F37" s="77">
        <f t="shared" si="9"/>
        <v>3.3372223999999999</v>
      </c>
      <c r="G37" s="77">
        <f t="shared" si="10"/>
        <v>7.4880000000000002E-2</v>
      </c>
      <c r="H37" s="77">
        <f t="shared" si="10"/>
        <v>1.8208</v>
      </c>
      <c r="I37" s="77">
        <f t="shared" si="10"/>
        <v>0.10272000000000001</v>
      </c>
      <c r="J37" s="77">
        <f t="shared" si="10"/>
        <v>1.6000000000000001E-3</v>
      </c>
      <c r="K37" s="77">
        <f t="shared" si="10"/>
        <v>1.6000000000000001E-3</v>
      </c>
      <c r="L37" s="77">
        <f t="shared" si="10"/>
        <v>2.4960000000000003E-2</v>
      </c>
      <c r="M37" s="77">
        <f t="shared" si="10"/>
        <v>2.9760000000000002E-2</v>
      </c>
      <c r="N37" s="77">
        <f t="shared" si="10"/>
        <v>0</v>
      </c>
      <c r="O37" s="77">
        <f t="shared" si="10"/>
        <v>0</v>
      </c>
      <c r="P37" s="77">
        <f t="shared" si="10"/>
        <v>48.864000000000004</v>
      </c>
      <c r="Q37" s="77">
        <f t="shared" si="11"/>
        <v>71.52</v>
      </c>
      <c r="R37" s="77">
        <f t="shared" si="12"/>
        <v>0</v>
      </c>
      <c r="S37" s="77">
        <f t="shared" si="12"/>
        <v>0</v>
      </c>
      <c r="T37" s="77">
        <f t="shared" si="12"/>
        <v>0</v>
      </c>
      <c r="U37" s="77">
        <f t="shared" si="12"/>
        <v>0</v>
      </c>
      <c r="AB37" s="59"/>
      <c r="AC37" s="59"/>
      <c r="AD37" s="59"/>
      <c r="AE37" s="59"/>
      <c r="AF37" s="59"/>
      <c r="AG37" s="59"/>
      <c r="AH37" s="59"/>
      <c r="AI37" s="59"/>
    </row>
    <row r="38" spans="1:35" s="72" customFormat="1" x14ac:dyDescent="0.25">
      <c r="A38" s="13">
        <f>J8</f>
        <v>5490</v>
      </c>
      <c r="B38" s="15">
        <v>32</v>
      </c>
      <c r="C38" s="77">
        <f t="shared" si="6"/>
        <v>96</v>
      </c>
      <c r="D38" s="77">
        <f t="shared" si="7"/>
        <v>63.341567999999995</v>
      </c>
      <c r="E38" s="77">
        <f t="shared" si="8"/>
        <v>20.128320000000002</v>
      </c>
      <c r="F38" s="77">
        <f t="shared" si="9"/>
        <v>3.3372223999999999</v>
      </c>
      <c r="G38" s="77">
        <f t="shared" si="10"/>
        <v>7.4880000000000002E-2</v>
      </c>
      <c r="H38" s="77">
        <f t="shared" si="10"/>
        <v>1.8208</v>
      </c>
      <c r="I38" s="77">
        <f t="shared" si="10"/>
        <v>0.10272000000000001</v>
      </c>
      <c r="J38" s="77">
        <f t="shared" si="10"/>
        <v>1.6000000000000001E-3</v>
      </c>
      <c r="K38" s="77">
        <f t="shared" si="10"/>
        <v>1.6000000000000001E-3</v>
      </c>
      <c r="L38" s="77">
        <f t="shared" si="10"/>
        <v>2.4960000000000003E-2</v>
      </c>
      <c r="M38" s="77">
        <f t="shared" si="10"/>
        <v>2.9760000000000002E-2</v>
      </c>
      <c r="N38" s="77">
        <f t="shared" si="10"/>
        <v>0</v>
      </c>
      <c r="O38" s="77">
        <f t="shared" si="10"/>
        <v>0</v>
      </c>
      <c r="P38" s="77">
        <f t="shared" si="10"/>
        <v>48.864000000000004</v>
      </c>
      <c r="Q38" s="77">
        <f t="shared" si="11"/>
        <v>71.52</v>
      </c>
      <c r="R38" s="77">
        <f t="shared" si="12"/>
        <v>0</v>
      </c>
      <c r="S38" s="77">
        <f t="shared" si="12"/>
        <v>0</v>
      </c>
      <c r="T38" s="77">
        <f t="shared" si="12"/>
        <v>0</v>
      </c>
      <c r="U38" s="77">
        <f t="shared" si="12"/>
        <v>0</v>
      </c>
      <c r="AB38" s="59"/>
      <c r="AC38" s="59"/>
      <c r="AD38" s="59"/>
      <c r="AE38" s="59"/>
      <c r="AF38" s="59"/>
      <c r="AG38" s="59"/>
      <c r="AH38" s="59"/>
      <c r="AI38" s="59"/>
    </row>
    <row r="39" spans="1:35" s="72" customFormat="1" x14ac:dyDescent="0.25">
      <c r="A39" s="13">
        <f>K8</f>
        <v>2565</v>
      </c>
      <c r="B39" s="15">
        <v>32</v>
      </c>
      <c r="C39" s="77">
        <f t="shared" si="6"/>
        <v>96</v>
      </c>
      <c r="D39" s="77">
        <f t="shared" si="7"/>
        <v>63.341567999999995</v>
      </c>
      <c r="E39" s="77">
        <f t="shared" si="8"/>
        <v>20.128320000000002</v>
      </c>
      <c r="F39" s="77">
        <f t="shared" si="9"/>
        <v>3.3372223999999999</v>
      </c>
      <c r="G39" s="77">
        <f t="shared" si="10"/>
        <v>7.4880000000000002E-2</v>
      </c>
      <c r="H39" s="77">
        <f t="shared" si="10"/>
        <v>1.8208</v>
      </c>
      <c r="I39" s="77">
        <f t="shared" si="10"/>
        <v>0.10272000000000001</v>
      </c>
      <c r="J39" s="77">
        <f t="shared" si="10"/>
        <v>1.6000000000000001E-3</v>
      </c>
      <c r="K39" s="77">
        <f t="shared" si="10"/>
        <v>1.6000000000000001E-3</v>
      </c>
      <c r="L39" s="77">
        <f t="shared" si="10"/>
        <v>2.4960000000000003E-2</v>
      </c>
      <c r="M39" s="77">
        <f t="shared" si="10"/>
        <v>2.9760000000000002E-2</v>
      </c>
      <c r="N39" s="77">
        <f t="shared" si="10"/>
        <v>0</v>
      </c>
      <c r="O39" s="77">
        <f t="shared" si="10"/>
        <v>0</v>
      </c>
      <c r="P39" s="77">
        <f t="shared" si="10"/>
        <v>48.864000000000004</v>
      </c>
      <c r="Q39" s="77">
        <f t="shared" si="11"/>
        <v>71.52</v>
      </c>
      <c r="R39" s="77">
        <f t="shared" si="12"/>
        <v>0</v>
      </c>
      <c r="S39" s="77">
        <f t="shared" si="12"/>
        <v>0</v>
      </c>
      <c r="T39" s="77">
        <f t="shared" si="12"/>
        <v>0</v>
      </c>
      <c r="U39" s="77">
        <f t="shared" si="12"/>
        <v>0</v>
      </c>
      <c r="AB39" s="59"/>
      <c r="AC39" s="59"/>
      <c r="AD39" s="59"/>
      <c r="AE39" s="59"/>
      <c r="AF39" s="59"/>
      <c r="AG39" s="59"/>
      <c r="AH39" s="59"/>
      <c r="AI39" s="59"/>
    </row>
    <row r="40" spans="1:35" s="72" customFormat="1" x14ac:dyDescent="0.25">
      <c r="A40" s="13">
        <f>L8</f>
        <v>7887</v>
      </c>
      <c r="B40" s="15">
        <v>32</v>
      </c>
      <c r="C40" s="77">
        <f t="shared" si="6"/>
        <v>96</v>
      </c>
      <c r="D40" s="77">
        <f t="shared" si="7"/>
        <v>63.341567999999995</v>
      </c>
      <c r="E40" s="77">
        <f t="shared" si="8"/>
        <v>20.128320000000002</v>
      </c>
      <c r="F40" s="77">
        <f t="shared" si="9"/>
        <v>3.3372223999999999</v>
      </c>
      <c r="G40" s="77">
        <f t="shared" si="10"/>
        <v>7.4880000000000002E-2</v>
      </c>
      <c r="H40" s="77">
        <f t="shared" si="10"/>
        <v>1.8208</v>
      </c>
      <c r="I40" s="77">
        <f t="shared" si="10"/>
        <v>0.10272000000000001</v>
      </c>
      <c r="J40" s="77">
        <f t="shared" si="10"/>
        <v>1.6000000000000001E-3</v>
      </c>
      <c r="K40" s="77">
        <f t="shared" si="10"/>
        <v>1.6000000000000001E-3</v>
      </c>
      <c r="L40" s="77">
        <f t="shared" si="10"/>
        <v>2.4960000000000003E-2</v>
      </c>
      <c r="M40" s="77">
        <f t="shared" si="10"/>
        <v>2.9760000000000002E-2</v>
      </c>
      <c r="N40" s="77">
        <f t="shared" si="10"/>
        <v>0</v>
      </c>
      <c r="O40" s="77">
        <f t="shared" si="10"/>
        <v>0</v>
      </c>
      <c r="P40" s="77">
        <f t="shared" si="10"/>
        <v>48.864000000000004</v>
      </c>
      <c r="Q40" s="77">
        <f t="shared" si="11"/>
        <v>71.52</v>
      </c>
      <c r="R40" s="77">
        <f t="shared" si="12"/>
        <v>0</v>
      </c>
      <c r="S40" s="77">
        <f t="shared" si="12"/>
        <v>0</v>
      </c>
      <c r="T40" s="77">
        <f t="shared" si="12"/>
        <v>0</v>
      </c>
      <c r="U40" s="77">
        <f t="shared" si="12"/>
        <v>0</v>
      </c>
      <c r="AB40" s="59"/>
      <c r="AC40" s="59"/>
      <c r="AD40" s="59"/>
      <c r="AE40" s="59"/>
      <c r="AF40" s="59"/>
      <c r="AG40" s="59"/>
      <c r="AH40" s="59"/>
      <c r="AI40" s="59"/>
    </row>
    <row r="41" spans="1:35" s="72" customFormat="1" x14ac:dyDescent="0.25">
      <c r="A41" s="13">
        <f>M8</f>
        <v>2946</v>
      </c>
      <c r="B41" s="15">
        <v>32</v>
      </c>
      <c r="C41" s="77">
        <f t="shared" si="6"/>
        <v>96</v>
      </c>
      <c r="D41" s="77">
        <f t="shared" si="7"/>
        <v>63.341567999999995</v>
      </c>
      <c r="E41" s="77">
        <f t="shared" si="8"/>
        <v>20.128320000000002</v>
      </c>
      <c r="F41" s="77">
        <f t="shared" si="9"/>
        <v>3.3372223999999999</v>
      </c>
      <c r="G41" s="77">
        <f t="shared" si="10"/>
        <v>7.4880000000000002E-2</v>
      </c>
      <c r="H41" s="77">
        <f t="shared" si="10"/>
        <v>1.8208</v>
      </c>
      <c r="I41" s="77">
        <f t="shared" si="10"/>
        <v>0.10272000000000001</v>
      </c>
      <c r="J41" s="77">
        <f t="shared" si="10"/>
        <v>1.6000000000000001E-3</v>
      </c>
      <c r="K41" s="77">
        <f t="shared" si="10"/>
        <v>1.6000000000000001E-3</v>
      </c>
      <c r="L41" s="77">
        <f t="shared" si="10"/>
        <v>2.4960000000000003E-2</v>
      </c>
      <c r="M41" s="77">
        <f t="shared" si="10"/>
        <v>2.9760000000000002E-2</v>
      </c>
      <c r="N41" s="77">
        <f t="shared" si="10"/>
        <v>0</v>
      </c>
      <c r="O41" s="77">
        <f t="shared" si="10"/>
        <v>0</v>
      </c>
      <c r="P41" s="77">
        <f t="shared" si="10"/>
        <v>48.864000000000004</v>
      </c>
      <c r="Q41" s="77">
        <f t="shared" si="11"/>
        <v>71.52</v>
      </c>
      <c r="R41" s="77">
        <f t="shared" si="12"/>
        <v>0</v>
      </c>
      <c r="S41" s="77">
        <f t="shared" si="12"/>
        <v>0</v>
      </c>
      <c r="T41" s="77">
        <f t="shared" si="12"/>
        <v>0</v>
      </c>
      <c r="U41" s="77">
        <f t="shared" si="12"/>
        <v>0</v>
      </c>
      <c r="AB41" s="59"/>
      <c r="AC41" s="59"/>
      <c r="AD41" s="59"/>
      <c r="AE41" s="59"/>
      <c r="AF41" s="59"/>
      <c r="AG41" s="59"/>
      <c r="AH41" s="59"/>
      <c r="AI41" s="59"/>
    </row>
    <row r="42" spans="1:35" s="72" customFormat="1" x14ac:dyDescent="0.25">
      <c r="A42" s="13">
        <f>N8</f>
        <v>2881</v>
      </c>
      <c r="B42" s="15">
        <v>32</v>
      </c>
      <c r="C42" s="77">
        <f t="shared" si="6"/>
        <v>96</v>
      </c>
      <c r="D42" s="77">
        <f t="shared" si="7"/>
        <v>63.341567999999995</v>
      </c>
      <c r="E42" s="77">
        <f t="shared" si="8"/>
        <v>20.128320000000002</v>
      </c>
      <c r="F42" s="77">
        <f t="shared" si="9"/>
        <v>3.3372223999999999</v>
      </c>
      <c r="G42" s="77">
        <f t="shared" si="10"/>
        <v>7.4880000000000002E-2</v>
      </c>
      <c r="H42" s="77">
        <f t="shared" si="10"/>
        <v>1.8208</v>
      </c>
      <c r="I42" s="77">
        <f t="shared" si="10"/>
        <v>0.10272000000000001</v>
      </c>
      <c r="J42" s="77">
        <f t="shared" si="10"/>
        <v>1.6000000000000001E-3</v>
      </c>
      <c r="K42" s="77">
        <f t="shared" si="10"/>
        <v>1.6000000000000001E-3</v>
      </c>
      <c r="L42" s="77">
        <f t="shared" si="10"/>
        <v>2.4960000000000003E-2</v>
      </c>
      <c r="M42" s="77">
        <f t="shared" si="10"/>
        <v>2.9760000000000002E-2</v>
      </c>
      <c r="N42" s="77">
        <f t="shared" si="10"/>
        <v>0</v>
      </c>
      <c r="O42" s="77">
        <f t="shared" si="10"/>
        <v>0</v>
      </c>
      <c r="P42" s="77">
        <f t="shared" si="10"/>
        <v>48.864000000000004</v>
      </c>
      <c r="Q42" s="77">
        <f t="shared" si="11"/>
        <v>71.52</v>
      </c>
      <c r="R42" s="77">
        <f t="shared" si="12"/>
        <v>0</v>
      </c>
      <c r="S42" s="77">
        <f t="shared" si="12"/>
        <v>0</v>
      </c>
      <c r="T42" s="77">
        <f t="shared" si="12"/>
        <v>0</v>
      </c>
      <c r="U42" s="77">
        <f t="shared" si="12"/>
        <v>0</v>
      </c>
      <c r="AB42" s="59"/>
      <c r="AC42" s="59"/>
      <c r="AD42" s="59"/>
      <c r="AE42" s="59"/>
      <c r="AF42" s="59"/>
      <c r="AG42" s="59"/>
      <c r="AH42" s="59"/>
      <c r="AI42" s="59"/>
    </row>
    <row r="43" spans="1:35" s="72" customFormat="1" x14ac:dyDescent="0.25">
      <c r="A43" s="13">
        <f>O8</f>
        <v>3398</v>
      </c>
      <c r="B43" s="15">
        <v>32</v>
      </c>
      <c r="C43" s="77">
        <f t="shared" si="6"/>
        <v>96</v>
      </c>
      <c r="D43" s="77">
        <f t="shared" si="7"/>
        <v>63.341567999999995</v>
      </c>
      <c r="E43" s="77">
        <f t="shared" si="8"/>
        <v>20.128320000000002</v>
      </c>
      <c r="F43" s="77">
        <f t="shared" si="9"/>
        <v>3.3372223999999999</v>
      </c>
      <c r="G43" s="77">
        <f t="shared" si="10"/>
        <v>7.4880000000000002E-2</v>
      </c>
      <c r="H43" s="77">
        <f t="shared" si="10"/>
        <v>1.8208</v>
      </c>
      <c r="I43" s="77">
        <f t="shared" si="10"/>
        <v>0.10272000000000001</v>
      </c>
      <c r="J43" s="77">
        <f t="shared" si="10"/>
        <v>1.6000000000000001E-3</v>
      </c>
      <c r="K43" s="77">
        <f t="shared" si="10"/>
        <v>1.6000000000000001E-3</v>
      </c>
      <c r="L43" s="77">
        <f t="shared" si="10"/>
        <v>2.4960000000000003E-2</v>
      </c>
      <c r="M43" s="77">
        <f t="shared" si="10"/>
        <v>2.9760000000000002E-2</v>
      </c>
      <c r="N43" s="77">
        <f t="shared" si="10"/>
        <v>0</v>
      </c>
      <c r="O43" s="77">
        <f t="shared" si="10"/>
        <v>0</v>
      </c>
      <c r="P43" s="77">
        <f t="shared" si="10"/>
        <v>48.864000000000004</v>
      </c>
      <c r="Q43" s="77">
        <f t="shared" si="11"/>
        <v>71.52</v>
      </c>
      <c r="R43" s="77">
        <f t="shared" si="12"/>
        <v>0</v>
      </c>
      <c r="S43" s="77">
        <f t="shared" si="12"/>
        <v>0</v>
      </c>
      <c r="T43" s="77">
        <f t="shared" si="12"/>
        <v>0</v>
      </c>
      <c r="U43" s="77">
        <f t="shared" si="12"/>
        <v>0</v>
      </c>
      <c r="AB43" s="59"/>
      <c r="AC43" s="59"/>
      <c r="AD43" s="59"/>
      <c r="AE43" s="59"/>
      <c r="AF43" s="59"/>
      <c r="AG43" s="59"/>
      <c r="AH43" s="59"/>
      <c r="AI43" s="59"/>
    </row>
    <row r="44" spans="1:35" s="72" customFormat="1" x14ac:dyDescent="0.25">
      <c r="A44" s="13">
        <f>P8</f>
        <v>5694</v>
      </c>
      <c r="B44" s="15">
        <v>32</v>
      </c>
      <c r="C44" s="77">
        <f t="shared" si="6"/>
        <v>96</v>
      </c>
      <c r="D44" s="77">
        <f t="shared" si="7"/>
        <v>63.341567999999995</v>
      </c>
      <c r="E44" s="77">
        <f t="shared" si="8"/>
        <v>20.128320000000002</v>
      </c>
      <c r="F44" s="77">
        <f t="shared" si="9"/>
        <v>3.3372223999999999</v>
      </c>
      <c r="G44" s="77">
        <f t="shared" si="10"/>
        <v>7.4880000000000002E-2</v>
      </c>
      <c r="H44" s="77">
        <f t="shared" si="10"/>
        <v>1.8208</v>
      </c>
      <c r="I44" s="77">
        <f t="shared" si="10"/>
        <v>0.10272000000000001</v>
      </c>
      <c r="J44" s="77">
        <f t="shared" si="10"/>
        <v>1.6000000000000001E-3</v>
      </c>
      <c r="K44" s="77">
        <f t="shared" si="10"/>
        <v>1.6000000000000001E-3</v>
      </c>
      <c r="L44" s="77">
        <f t="shared" si="10"/>
        <v>2.4960000000000003E-2</v>
      </c>
      <c r="M44" s="77">
        <f t="shared" si="10"/>
        <v>2.9760000000000002E-2</v>
      </c>
      <c r="N44" s="77">
        <f t="shared" si="10"/>
        <v>0</v>
      </c>
      <c r="O44" s="77">
        <f t="shared" si="10"/>
        <v>0</v>
      </c>
      <c r="P44" s="77">
        <f t="shared" si="10"/>
        <v>48.864000000000004</v>
      </c>
      <c r="Q44" s="77">
        <f t="shared" si="11"/>
        <v>71.52</v>
      </c>
      <c r="R44" s="77">
        <f t="shared" si="12"/>
        <v>0</v>
      </c>
      <c r="S44" s="77">
        <f t="shared" si="12"/>
        <v>0</v>
      </c>
      <c r="T44" s="77">
        <f t="shared" si="12"/>
        <v>0</v>
      </c>
      <c r="U44" s="77">
        <f t="shared" si="12"/>
        <v>0</v>
      </c>
      <c r="AB44" s="59"/>
      <c r="AC44" s="59"/>
      <c r="AD44" s="59"/>
      <c r="AE44" s="59"/>
      <c r="AF44" s="59"/>
      <c r="AG44" s="59"/>
      <c r="AH44" s="59"/>
      <c r="AI44" s="59"/>
    </row>
    <row r="45" spans="1:35" s="72" customFormat="1" x14ac:dyDescent="0.25">
      <c r="A45" s="13">
        <f>Q8</f>
        <v>2991</v>
      </c>
      <c r="B45" s="15">
        <v>32</v>
      </c>
      <c r="C45" s="77">
        <f t="shared" si="6"/>
        <v>96</v>
      </c>
      <c r="D45" s="77">
        <f t="shared" si="7"/>
        <v>63.341567999999995</v>
      </c>
      <c r="E45" s="77">
        <f t="shared" si="8"/>
        <v>20.128320000000002</v>
      </c>
      <c r="F45" s="77">
        <f t="shared" si="9"/>
        <v>3.3372223999999999</v>
      </c>
      <c r="G45" s="77">
        <f t="shared" si="10"/>
        <v>7.4880000000000002E-2</v>
      </c>
      <c r="H45" s="77">
        <f t="shared" si="10"/>
        <v>1.8208</v>
      </c>
      <c r="I45" s="77">
        <f t="shared" si="10"/>
        <v>0.10272000000000001</v>
      </c>
      <c r="J45" s="77">
        <f t="shared" si="10"/>
        <v>1.6000000000000001E-3</v>
      </c>
      <c r="K45" s="77">
        <f t="shared" si="10"/>
        <v>1.6000000000000001E-3</v>
      </c>
      <c r="L45" s="77">
        <f t="shared" si="10"/>
        <v>2.4960000000000003E-2</v>
      </c>
      <c r="M45" s="77">
        <f t="shared" si="10"/>
        <v>2.9760000000000002E-2</v>
      </c>
      <c r="N45" s="77">
        <f t="shared" si="10"/>
        <v>0</v>
      </c>
      <c r="O45" s="77">
        <f t="shared" si="10"/>
        <v>0</v>
      </c>
      <c r="P45" s="77">
        <f t="shared" si="10"/>
        <v>48.864000000000004</v>
      </c>
      <c r="Q45" s="77">
        <f t="shared" si="11"/>
        <v>71.52</v>
      </c>
      <c r="R45" s="77">
        <f t="shared" si="12"/>
        <v>0</v>
      </c>
      <c r="S45" s="77">
        <f t="shared" si="12"/>
        <v>0</v>
      </c>
      <c r="T45" s="77">
        <f t="shared" si="12"/>
        <v>0</v>
      </c>
      <c r="U45" s="77">
        <f t="shared" si="12"/>
        <v>0</v>
      </c>
      <c r="AB45" s="59"/>
      <c r="AC45" s="59"/>
      <c r="AD45" s="59"/>
      <c r="AE45" s="59"/>
      <c r="AF45" s="59"/>
      <c r="AG45" s="59"/>
      <c r="AH45" s="59"/>
      <c r="AI45" s="59"/>
    </row>
    <row r="46" spans="1:35" s="72" customFormat="1" x14ac:dyDescent="0.25">
      <c r="A46" s="13">
        <f>R8</f>
        <v>3799</v>
      </c>
      <c r="B46" s="15">
        <v>32</v>
      </c>
      <c r="C46" s="77">
        <f t="shared" si="6"/>
        <v>96</v>
      </c>
      <c r="D46" s="77">
        <f t="shared" si="7"/>
        <v>63.341567999999995</v>
      </c>
      <c r="E46" s="77">
        <f t="shared" si="8"/>
        <v>20.128320000000002</v>
      </c>
      <c r="F46" s="77">
        <f t="shared" si="9"/>
        <v>3.3372223999999999</v>
      </c>
      <c r="G46" s="77">
        <f t="shared" si="10"/>
        <v>7.4880000000000002E-2</v>
      </c>
      <c r="H46" s="77">
        <f t="shared" si="10"/>
        <v>1.8208</v>
      </c>
      <c r="I46" s="77">
        <f t="shared" si="10"/>
        <v>0.10272000000000001</v>
      </c>
      <c r="J46" s="77">
        <f t="shared" si="10"/>
        <v>1.6000000000000001E-3</v>
      </c>
      <c r="K46" s="77">
        <f t="shared" si="10"/>
        <v>1.6000000000000001E-3</v>
      </c>
      <c r="L46" s="77">
        <f t="shared" si="10"/>
        <v>2.4960000000000003E-2</v>
      </c>
      <c r="M46" s="77">
        <f t="shared" si="10"/>
        <v>2.9760000000000002E-2</v>
      </c>
      <c r="N46" s="77">
        <f t="shared" si="10"/>
        <v>0</v>
      </c>
      <c r="O46" s="77">
        <f t="shared" si="10"/>
        <v>0</v>
      </c>
      <c r="P46" s="77">
        <f t="shared" si="10"/>
        <v>48.864000000000004</v>
      </c>
      <c r="Q46" s="77">
        <f t="shared" si="11"/>
        <v>71.52</v>
      </c>
      <c r="R46" s="77">
        <f t="shared" si="12"/>
        <v>0</v>
      </c>
      <c r="S46" s="77">
        <f t="shared" si="12"/>
        <v>0</v>
      </c>
      <c r="T46" s="77">
        <f t="shared" si="12"/>
        <v>0</v>
      </c>
      <c r="U46" s="77">
        <f t="shared" si="12"/>
        <v>0</v>
      </c>
      <c r="AB46" s="59"/>
      <c r="AC46" s="59"/>
      <c r="AD46" s="59"/>
      <c r="AE46" s="59"/>
      <c r="AF46" s="59"/>
      <c r="AG46" s="59"/>
      <c r="AH46" s="59"/>
      <c r="AI46" s="59"/>
    </row>
    <row r="47" spans="1:35" s="72" customFormat="1" x14ac:dyDescent="0.25">
      <c r="A47" s="13">
        <f>S8</f>
        <v>5813</v>
      </c>
      <c r="B47" s="15">
        <v>32</v>
      </c>
      <c r="C47" s="77">
        <f t="shared" si="6"/>
        <v>96</v>
      </c>
      <c r="D47" s="77">
        <f t="shared" si="7"/>
        <v>63.341567999999995</v>
      </c>
      <c r="E47" s="77">
        <f t="shared" si="8"/>
        <v>20.128320000000002</v>
      </c>
      <c r="F47" s="77">
        <f t="shared" si="9"/>
        <v>3.3372223999999999</v>
      </c>
      <c r="G47" s="77">
        <f t="shared" si="10"/>
        <v>7.4880000000000002E-2</v>
      </c>
      <c r="H47" s="77">
        <f t="shared" si="10"/>
        <v>1.8208</v>
      </c>
      <c r="I47" s="77">
        <f t="shared" si="10"/>
        <v>0.10272000000000001</v>
      </c>
      <c r="J47" s="77">
        <f t="shared" si="10"/>
        <v>1.6000000000000001E-3</v>
      </c>
      <c r="K47" s="77">
        <f t="shared" si="10"/>
        <v>1.6000000000000001E-3</v>
      </c>
      <c r="L47" s="77">
        <f t="shared" si="10"/>
        <v>2.4960000000000003E-2</v>
      </c>
      <c r="M47" s="77">
        <f t="shared" si="10"/>
        <v>2.9760000000000002E-2</v>
      </c>
      <c r="N47" s="77">
        <f t="shared" si="10"/>
        <v>0</v>
      </c>
      <c r="O47" s="77">
        <f t="shared" si="10"/>
        <v>0</v>
      </c>
      <c r="P47" s="77">
        <f t="shared" si="10"/>
        <v>48.864000000000004</v>
      </c>
      <c r="Q47" s="77">
        <f t="shared" si="11"/>
        <v>71.52</v>
      </c>
      <c r="R47" s="77">
        <f t="shared" si="12"/>
        <v>0</v>
      </c>
      <c r="S47" s="77">
        <f t="shared" si="12"/>
        <v>0</v>
      </c>
      <c r="T47" s="77">
        <f t="shared" si="12"/>
        <v>0</v>
      </c>
      <c r="U47" s="77">
        <f t="shared" si="12"/>
        <v>0</v>
      </c>
      <c r="AB47" s="59"/>
      <c r="AC47" s="59"/>
      <c r="AD47" s="59"/>
      <c r="AE47" s="59"/>
      <c r="AF47" s="59"/>
      <c r="AG47" s="59"/>
      <c r="AH47" s="59"/>
      <c r="AI47" s="59"/>
    </row>
    <row r="48" spans="1:35" s="72" customFormat="1" x14ac:dyDescent="0.25">
      <c r="A48" s="13">
        <f>T8</f>
        <v>1390</v>
      </c>
      <c r="B48" s="15">
        <v>32</v>
      </c>
      <c r="C48" s="77">
        <f t="shared" si="6"/>
        <v>96</v>
      </c>
      <c r="D48" s="77">
        <f t="shared" si="7"/>
        <v>63.341567999999995</v>
      </c>
      <c r="E48" s="77">
        <f t="shared" si="8"/>
        <v>20.128320000000002</v>
      </c>
      <c r="F48" s="77">
        <f t="shared" si="9"/>
        <v>3.3372223999999999</v>
      </c>
      <c r="G48" s="77">
        <f t="shared" si="10"/>
        <v>7.4880000000000002E-2</v>
      </c>
      <c r="H48" s="77">
        <f t="shared" si="10"/>
        <v>1.8208</v>
      </c>
      <c r="I48" s="77">
        <f t="shared" si="10"/>
        <v>0.10272000000000001</v>
      </c>
      <c r="J48" s="77">
        <f t="shared" si="10"/>
        <v>1.6000000000000001E-3</v>
      </c>
      <c r="K48" s="77">
        <f t="shared" si="10"/>
        <v>1.6000000000000001E-3</v>
      </c>
      <c r="L48" s="77">
        <f t="shared" si="10"/>
        <v>2.4960000000000003E-2</v>
      </c>
      <c r="M48" s="77">
        <f t="shared" si="10"/>
        <v>2.9760000000000002E-2</v>
      </c>
      <c r="N48" s="77">
        <f t="shared" si="10"/>
        <v>0</v>
      </c>
      <c r="O48" s="77">
        <f t="shared" si="10"/>
        <v>0</v>
      </c>
      <c r="P48" s="77">
        <f t="shared" si="10"/>
        <v>48.864000000000004</v>
      </c>
      <c r="Q48" s="77">
        <f t="shared" si="11"/>
        <v>71.52</v>
      </c>
      <c r="R48" s="77">
        <f t="shared" si="12"/>
        <v>0</v>
      </c>
      <c r="S48" s="77">
        <f t="shared" si="12"/>
        <v>0</v>
      </c>
      <c r="T48" s="77">
        <f t="shared" si="12"/>
        <v>0</v>
      </c>
      <c r="U48" s="77">
        <f t="shared" si="12"/>
        <v>0</v>
      </c>
      <c r="AB48" s="59"/>
      <c r="AC48" s="59"/>
      <c r="AD48" s="59"/>
      <c r="AE48" s="59"/>
      <c r="AF48" s="59"/>
      <c r="AG48" s="59"/>
      <c r="AH48" s="59"/>
      <c r="AI48" s="59"/>
    </row>
    <row r="49" spans="1:35" s="72" customFormat="1" x14ac:dyDescent="0.25">
      <c r="A49" s="13">
        <f>U8</f>
        <v>9596</v>
      </c>
      <c r="B49" s="15">
        <v>32</v>
      </c>
      <c r="C49" s="77">
        <f t="shared" si="6"/>
        <v>96</v>
      </c>
      <c r="D49" s="77">
        <f t="shared" si="7"/>
        <v>63.341567999999995</v>
      </c>
      <c r="E49" s="77">
        <f t="shared" si="8"/>
        <v>20.128320000000002</v>
      </c>
      <c r="F49" s="77">
        <f t="shared" si="9"/>
        <v>3.3372223999999999</v>
      </c>
      <c r="G49" s="77">
        <f t="shared" si="10"/>
        <v>7.4880000000000002E-2</v>
      </c>
      <c r="H49" s="77">
        <f t="shared" si="10"/>
        <v>1.8208</v>
      </c>
      <c r="I49" s="77">
        <f t="shared" si="10"/>
        <v>0.10272000000000001</v>
      </c>
      <c r="J49" s="77">
        <f t="shared" si="10"/>
        <v>1.6000000000000001E-3</v>
      </c>
      <c r="K49" s="77">
        <f t="shared" si="10"/>
        <v>1.6000000000000001E-3</v>
      </c>
      <c r="L49" s="77">
        <f t="shared" si="10"/>
        <v>2.4960000000000003E-2</v>
      </c>
      <c r="M49" s="77">
        <f t="shared" si="10"/>
        <v>2.9760000000000002E-2</v>
      </c>
      <c r="N49" s="77">
        <f t="shared" si="10"/>
        <v>0</v>
      </c>
      <c r="O49" s="77">
        <f t="shared" si="10"/>
        <v>0</v>
      </c>
      <c r="P49" s="77">
        <f t="shared" si="10"/>
        <v>48.864000000000004</v>
      </c>
      <c r="Q49" s="77">
        <f t="shared" si="11"/>
        <v>71.52</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3">
      <c r="A50" s="14">
        <f>V8</f>
        <v>716</v>
      </c>
      <c r="B50" s="15">
        <v>32</v>
      </c>
      <c r="C50" s="98">
        <f t="shared" si="6"/>
        <v>96</v>
      </c>
      <c r="D50" s="98">
        <f t="shared" si="7"/>
        <v>63.341567999999995</v>
      </c>
      <c r="E50" s="98">
        <f t="shared" si="8"/>
        <v>20.128320000000002</v>
      </c>
      <c r="F50" s="98">
        <f t="shared" si="9"/>
        <v>3.3372223999999999</v>
      </c>
      <c r="G50" s="98">
        <f t="shared" si="10"/>
        <v>7.4880000000000002E-2</v>
      </c>
      <c r="H50" s="98">
        <f t="shared" si="10"/>
        <v>1.8208</v>
      </c>
      <c r="I50" s="98">
        <f t="shared" si="10"/>
        <v>0.10272000000000001</v>
      </c>
      <c r="J50" s="98">
        <f t="shared" si="10"/>
        <v>1.6000000000000001E-3</v>
      </c>
      <c r="K50" s="98">
        <f t="shared" si="10"/>
        <v>1.6000000000000001E-3</v>
      </c>
      <c r="L50" s="98">
        <f t="shared" si="10"/>
        <v>2.4960000000000003E-2</v>
      </c>
      <c r="M50" s="98">
        <f t="shared" si="10"/>
        <v>2.9760000000000002E-2</v>
      </c>
      <c r="N50" s="98">
        <f t="shared" si="10"/>
        <v>0</v>
      </c>
      <c r="O50" s="98">
        <f t="shared" si="10"/>
        <v>0</v>
      </c>
      <c r="P50" s="98">
        <f t="shared" si="10"/>
        <v>48.864000000000004</v>
      </c>
      <c r="Q50" s="98">
        <f t="shared" si="11"/>
        <v>71.52</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5905</v>
      </c>
      <c r="C57" s="8">
        <f t="shared" ref="C57:U57" si="13">D8</f>
        <v>4279</v>
      </c>
      <c r="D57" s="8">
        <f t="shared" si="13"/>
        <v>7605</v>
      </c>
      <c r="E57" s="8">
        <f t="shared" si="13"/>
        <v>3851</v>
      </c>
      <c r="F57" s="8">
        <f t="shared" si="13"/>
        <v>6418</v>
      </c>
      <c r="G57" s="8">
        <f t="shared" si="13"/>
        <v>1843</v>
      </c>
      <c r="H57" s="8">
        <f t="shared" si="13"/>
        <v>5974</v>
      </c>
      <c r="I57" s="8">
        <f t="shared" si="13"/>
        <v>5490</v>
      </c>
      <c r="J57" s="8">
        <f t="shared" si="13"/>
        <v>2565</v>
      </c>
      <c r="K57" s="8">
        <f t="shared" si="13"/>
        <v>7887</v>
      </c>
      <c r="L57" s="8">
        <f t="shared" si="13"/>
        <v>2946</v>
      </c>
      <c r="M57" s="8">
        <f t="shared" si="13"/>
        <v>2881</v>
      </c>
      <c r="N57" s="8">
        <f t="shared" si="13"/>
        <v>3398</v>
      </c>
      <c r="O57" s="8">
        <f t="shared" si="13"/>
        <v>5694</v>
      </c>
      <c r="P57" s="8">
        <f t="shared" si="13"/>
        <v>2991</v>
      </c>
      <c r="Q57" s="8">
        <f t="shared" si="13"/>
        <v>3799</v>
      </c>
      <c r="R57" s="8">
        <f t="shared" si="13"/>
        <v>5813</v>
      </c>
      <c r="S57" s="8">
        <f t="shared" si="13"/>
        <v>1390</v>
      </c>
      <c r="T57" s="8">
        <f t="shared" si="13"/>
        <v>9596</v>
      </c>
      <c r="U57" s="8">
        <f t="shared" si="13"/>
        <v>716</v>
      </c>
    </row>
    <row r="58" spans="1:35" s="19" customFormat="1" x14ac:dyDescent="0.25">
      <c r="A58" s="92" t="s">
        <v>136</v>
      </c>
      <c r="B58" s="13" t="str">
        <f>C16&amp;" I "&amp;(VLOOKUP(C14,Table24[],6,FALSE))</f>
        <v>Medium/Clay I Grass</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Grass</v>
      </c>
      <c r="G58" s="13" t="str">
        <f>H16&amp;" I "&amp;(VLOOKUP(H14,Table24[],6,FALSE))</f>
        <v>Medium/Clay I Grass</v>
      </c>
      <c r="H58" s="13" t="str">
        <f>I16&amp;" I "&amp;(VLOOKUP(I14,Table24[],6,FALSE))</f>
        <v>Medium/Clay I Grass</v>
      </c>
      <c r="I58" s="13" t="str">
        <f>J16&amp;" I "&amp;(VLOOKUP(J14,Table24[],6,FALSE))</f>
        <v>Medium/Clay I Grass</v>
      </c>
      <c r="J58" s="13" t="str">
        <f>K16&amp;" I "&amp;(VLOOKUP(K14,Table24[],6,FALSE))</f>
        <v>Medium/Clay I Grass</v>
      </c>
      <c r="K58" s="13" t="str">
        <f>L16&amp;" I "&amp;(VLOOKUP(L14,Table24[],6,FALSE))</f>
        <v>Medium/Clay I Grass</v>
      </c>
      <c r="L58" s="13" t="str">
        <f>M16&amp;" I "&amp;(VLOOKUP(M14,Table24[],6,FALSE))</f>
        <v>Medium/Clay I Grass</v>
      </c>
      <c r="M58" s="13" t="str">
        <f>N16&amp;" I "&amp;(VLOOKUP(N14,Table24[],6,FALSE))</f>
        <v>Medium/Clay I Grass</v>
      </c>
      <c r="N58" s="13" t="str">
        <f>O16&amp;" I "&amp;(VLOOKUP(O14,Table24[],6,FALSE))</f>
        <v>Medium/Clay I Grass</v>
      </c>
      <c r="O58" s="13" t="str">
        <f>P16&amp;" I "&amp;(VLOOKUP(P14,Table24[],6,FALSE))</f>
        <v>Medium/Clay I Grass</v>
      </c>
      <c r="P58" s="13" t="str">
        <f>Q16&amp;" I "&amp;(VLOOKUP(Q14,Table24[],6,FALSE))</f>
        <v>Medium/Clay I Grass</v>
      </c>
      <c r="Q58" s="13" t="str">
        <f>R16&amp;" I "&amp;(VLOOKUP(R14,Table24[],6,FALSE))</f>
        <v>Medium/Clay I Grass</v>
      </c>
      <c r="R58" s="13" t="str">
        <f>S16&amp;" I "&amp;(VLOOKUP(S14,Table24[],6,FALSE))</f>
        <v>Medium/Clay I Grass</v>
      </c>
      <c r="S58" s="13" t="str">
        <f>T16&amp;" I "&amp;(VLOOKUP(T14,Table24[],6,FALSE))</f>
        <v>Medium/Clay I Grass</v>
      </c>
      <c r="T58" s="13" t="str">
        <f>U16&amp;" I "&amp;(VLOOKUP(U14,Table24[],6,FALSE))</f>
        <v>Medium/Clay I Grass</v>
      </c>
      <c r="U58" s="13" t="str">
        <f>V16&amp;" I "&amp;(VLOOKUP(V14,Table24[],6,FALSE))</f>
        <v>Medium/Clay I Grass</v>
      </c>
    </row>
    <row r="59" spans="1:35" s="19" customFormat="1" x14ac:dyDescent="0.2">
      <c r="A59" s="111" t="s">
        <v>132</v>
      </c>
      <c r="B59" s="76">
        <f>VLOOKUP(C$14,Table24[],5,FALSE)</f>
        <v>6.2</v>
      </c>
      <c r="C59" s="76">
        <f>VLOOKUP(D$14,Table24[],5,FALSE)</f>
        <v>6.2</v>
      </c>
      <c r="D59" s="76">
        <f>VLOOKUP(E$14,Table24[],5,FALSE)</f>
        <v>6.2</v>
      </c>
      <c r="E59" s="76">
        <f>VLOOKUP(F$14,Table24[],5,FALSE)</f>
        <v>6.2</v>
      </c>
      <c r="F59" s="76">
        <f>VLOOKUP(G$14,Table24[],5,FALSE)</f>
        <v>6.2</v>
      </c>
      <c r="G59" s="76">
        <f>VLOOKUP(H$14,Table24[],5,FALSE)</f>
        <v>6.2</v>
      </c>
      <c r="H59" s="76">
        <f>VLOOKUP(I$14,Table24[],5,FALSE)</f>
        <v>6.2</v>
      </c>
      <c r="I59" s="76">
        <f>VLOOKUP(J$14,Table24[],5,FALSE)</f>
        <v>6.2</v>
      </c>
      <c r="J59" s="76">
        <f>VLOOKUP(K$14,Table24[],5,FALSE)</f>
        <v>6.2</v>
      </c>
      <c r="K59" s="76">
        <f>VLOOKUP(L$14,Table24[],5,FALSE)</f>
        <v>6.2</v>
      </c>
      <c r="L59" s="76">
        <f>VLOOKUP(M$14,Table24[],5,FALSE)</f>
        <v>6.2</v>
      </c>
      <c r="M59" s="76">
        <f>VLOOKUP(N$14,Table24[],5,FALSE)</f>
        <v>6.2</v>
      </c>
      <c r="N59" s="76">
        <f>VLOOKUP(O$14,Table24[],5,FALSE)</f>
        <v>6.2</v>
      </c>
      <c r="O59" s="76">
        <f>VLOOKUP(P$14,Table24[],5,FALSE)</f>
        <v>6.2</v>
      </c>
      <c r="P59" s="76">
        <f>VLOOKUP(Q$14,Table24[],5,FALSE)</f>
        <v>6.2</v>
      </c>
      <c r="Q59" s="76">
        <f>VLOOKUP(R$14,Table24[],5,FALSE)</f>
        <v>6.2</v>
      </c>
      <c r="R59" s="76">
        <f>VLOOKUP(S$14,Table24[],5,FALSE)</f>
        <v>6.2</v>
      </c>
      <c r="S59" s="76">
        <f>VLOOKUP(T$14,Table24[],5,FALSE)</f>
        <v>6.2</v>
      </c>
      <c r="T59" s="76">
        <f>VLOOKUP(U$14,Table24[],5,FALSE)</f>
        <v>6.2</v>
      </c>
      <c r="U59" s="76">
        <f>VLOOKUP(V$14,Table24[],5,FALSE)</f>
        <v>6.2</v>
      </c>
    </row>
    <row r="60" spans="1:35" s="19" customFormat="1" x14ac:dyDescent="0.2">
      <c r="A60" s="111" t="s">
        <v>4</v>
      </c>
      <c r="B60" s="76">
        <f>C10</f>
        <v>6.2</v>
      </c>
      <c r="C60" s="76">
        <f t="shared" ref="C60:U60" si="14">D10</f>
        <v>5.6</v>
      </c>
      <c r="D60" s="76">
        <f t="shared" si="14"/>
        <v>6.3</v>
      </c>
      <c r="E60" s="76">
        <f t="shared" si="14"/>
        <v>6</v>
      </c>
      <c r="F60" s="76">
        <f t="shared" si="14"/>
        <v>5.8</v>
      </c>
      <c r="G60" s="76">
        <f t="shared" si="14"/>
        <v>5.3</v>
      </c>
      <c r="H60" s="76">
        <f t="shared" si="14"/>
        <v>6</v>
      </c>
      <c r="I60" s="76">
        <f t="shared" si="14"/>
        <v>6.1</v>
      </c>
      <c r="J60" s="76">
        <f t="shared" si="14"/>
        <v>5.5</v>
      </c>
      <c r="K60" s="76">
        <f t="shared" si="14"/>
        <v>6.1</v>
      </c>
      <c r="L60" s="76">
        <f t="shared" si="14"/>
        <v>5.5</v>
      </c>
      <c r="M60" s="76">
        <f t="shared" si="14"/>
        <v>5.6</v>
      </c>
      <c r="N60" s="76">
        <f t="shared" si="14"/>
        <v>5.9</v>
      </c>
      <c r="O60" s="76">
        <f t="shared" si="14"/>
        <v>6.5</v>
      </c>
      <c r="P60" s="76">
        <f t="shared" si="14"/>
        <v>5.7</v>
      </c>
      <c r="Q60" s="76">
        <f t="shared" si="14"/>
        <v>6.4</v>
      </c>
      <c r="R60" s="76">
        <f t="shared" si="14"/>
        <v>6.7</v>
      </c>
      <c r="S60" s="76">
        <f t="shared" si="14"/>
        <v>5.4</v>
      </c>
      <c r="T60" s="76">
        <f t="shared" si="14"/>
        <v>5.5</v>
      </c>
      <c r="U60" s="76">
        <f t="shared" si="14"/>
        <v>6.4</v>
      </c>
    </row>
    <row r="61" spans="1:35" s="19" customFormat="1" x14ac:dyDescent="0.2">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f t="shared" si="15"/>
        <v>6</v>
      </c>
      <c r="R61" s="76">
        <f t="shared" si="15"/>
        <v>6</v>
      </c>
      <c r="S61" s="76">
        <f t="shared" si="15"/>
        <v>6</v>
      </c>
      <c r="T61" s="76">
        <f t="shared" si="15"/>
        <v>6</v>
      </c>
      <c r="U61" s="76">
        <f t="shared" si="15"/>
        <v>6</v>
      </c>
    </row>
    <row r="62" spans="1:35" s="19" customFormat="1" x14ac:dyDescent="0.2">
      <c r="A62" s="111" t="s">
        <v>134</v>
      </c>
      <c r="B62" s="77">
        <f>B31</f>
        <v>32</v>
      </c>
      <c r="C62" s="77">
        <f>B32</f>
        <v>32</v>
      </c>
      <c r="D62" s="77">
        <f>B33</f>
        <v>32</v>
      </c>
      <c r="E62" s="77">
        <f>B34</f>
        <v>32</v>
      </c>
      <c r="F62" s="77">
        <f>B35</f>
        <v>32</v>
      </c>
      <c r="G62" s="77">
        <f>B36</f>
        <v>32</v>
      </c>
      <c r="H62" s="77">
        <f>B37</f>
        <v>32</v>
      </c>
      <c r="I62" s="77">
        <f>B38</f>
        <v>32</v>
      </c>
      <c r="J62" s="77">
        <f>B39</f>
        <v>32</v>
      </c>
      <c r="K62" s="77">
        <f>B40</f>
        <v>32</v>
      </c>
      <c r="L62" s="77">
        <f>B41</f>
        <v>32</v>
      </c>
      <c r="M62" s="77">
        <f>B42</f>
        <v>32</v>
      </c>
      <c r="N62" s="77">
        <f>B43</f>
        <v>32</v>
      </c>
      <c r="O62" s="77">
        <f>B44</f>
        <v>32</v>
      </c>
      <c r="P62" s="77">
        <f>B45</f>
        <v>32</v>
      </c>
      <c r="Q62" s="77">
        <f>B46</f>
        <v>32</v>
      </c>
      <c r="R62" s="77">
        <f>B47</f>
        <v>32</v>
      </c>
      <c r="S62" s="77">
        <f>B48</f>
        <v>32</v>
      </c>
      <c r="T62" s="77">
        <f>B49</f>
        <v>32</v>
      </c>
      <c r="U62" s="77">
        <f>B50</f>
        <v>32</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0</v>
      </c>
      <c r="C64" s="77">
        <f t="shared" ref="C64:U64" si="17">(C59-C60)*C61</f>
        <v>3.6000000000000032</v>
      </c>
      <c r="D64" s="77">
        <f t="shared" si="17"/>
        <v>-0.59999999999999787</v>
      </c>
      <c r="E64" s="77">
        <f t="shared" si="17"/>
        <v>1.2000000000000011</v>
      </c>
      <c r="F64" s="77">
        <f t="shared" si="17"/>
        <v>2.4000000000000021</v>
      </c>
      <c r="G64" s="77">
        <f t="shared" si="17"/>
        <v>5.4000000000000021</v>
      </c>
      <c r="H64" s="77">
        <f t="shared" si="17"/>
        <v>1.2000000000000011</v>
      </c>
      <c r="I64" s="77">
        <f t="shared" si="17"/>
        <v>0.6000000000000032</v>
      </c>
      <c r="J64" s="77">
        <f t="shared" si="17"/>
        <v>4.2000000000000011</v>
      </c>
      <c r="K64" s="77">
        <f t="shared" si="17"/>
        <v>0.6000000000000032</v>
      </c>
      <c r="L64" s="77">
        <f t="shared" si="17"/>
        <v>4.2000000000000011</v>
      </c>
      <c r="M64" s="77">
        <f t="shared" si="17"/>
        <v>3.6000000000000032</v>
      </c>
      <c r="N64" s="77">
        <f t="shared" si="17"/>
        <v>1.7999999999999989</v>
      </c>
      <c r="O64" s="77">
        <f t="shared" si="17"/>
        <v>-1.7999999999999989</v>
      </c>
      <c r="P64" s="77">
        <f t="shared" si="17"/>
        <v>3</v>
      </c>
      <c r="Q64" s="77">
        <f t="shared" si="17"/>
        <v>-1.2000000000000011</v>
      </c>
      <c r="R64" s="77">
        <f t="shared" si="17"/>
        <v>-3</v>
      </c>
      <c r="S64" s="77">
        <f t="shared" si="17"/>
        <v>4.7999999999999989</v>
      </c>
      <c r="T64" s="77">
        <f t="shared" si="17"/>
        <v>4.2000000000000011</v>
      </c>
      <c r="U64" s="77">
        <f t="shared" si="17"/>
        <v>-1.2000000000000011</v>
      </c>
    </row>
    <row r="65" spans="1:21" s="19" customFormat="1" ht="51" x14ac:dyDescent="0.2">
      <c r="A65" s="112" t="s">
        <v>157</v>
      </c>
      <c r="B65" s="77">
        <f>B63-B64</f>
        <v>0</v>
      </c>
      <c r="C65" s="77">
        <f t="shared" ref="C65:U65" si="18">C63-C64</f>
        <v>-3.6000000000000032</v>
      </c>
      <c r="D65" s="77">
        <f t="shared" si="18"/>
        <v>0.59999999999999787</v>
      </c>
      <c r="E65" s="77">
        <f t="shared" si="18"/>
        <v>-1.2000000000000011</v>
      </c>
      <c r="F65" s="77">
        <f t="shared" si="18"/>
        <v>-2.4000000000000021</v>
      </c>
      <c r="G65" s="77">
        <f t="shared" si="18"/>
        <v>-5.4000000000000021</v>
      </c>
      <c r="H65" s="77">
        <f t="shared" si="18"/>
        <v>-1.2000000000000011</v>
      </c>
      <c r="I65" s="77">
        <f t="shared" si="18"/>
        <v>-0.6000000000000032</v>
      </c>
      <c r="J65" s="77">
        <f t="shared" si="18"/>
        <v>-4.2000000000000011</v>
      </c>
      <c r="K65" s="77">
        <f t="shared" si="18"/>
        <v>-0.6000000000000032</v>
      </c>
      <c r="L65" s="77">
        <f t="shared" si="18"/>
        <v>-4.2000000000000011</v>
      </c>
      <c r="M65" s="77">
        <f t="shared" si="18"/>
        <v>-3.6000000000000032</v>
      </c>
      <c r="N65" s="77">
        <f t="shared" si="18"/>
        <v>-1.7999999999999989</v>
      </c>
      <c r="O65" s="77">
        <f t="shared" si="18"/>
        <v>1.7999999999999989</v>
      </c>
      <c r="P65" s="77">
        <f t="shared" si="18"/>
        <v>-3</v>
      </c>
      <c r="Q65" s="77">
        <f t="shared" si="18"/>
        <v>1.2000000000000011</v>
      </c>
      <c r="R65" s="77">
        <f t="shared" si="18"/>
        <v>3</v>
      </c>
      <c r="S65" s="77">
        <f t="shared" si="18"/>
        <v>-4.7999999999999989</v>
      </c>
      <c r="T65" s="77">
        <f t="shared" si="18"/>
        <v>-4.2000000000000011</v>
      </c>
      <c r="U65" s="77">
        <f t="shared" si="18"/>
        <v>1.2000000000000011</v>
      </c>
    </row>
    <row r="66" spans="1:21" s="19" customFormat="1" ht="38.25" x14ac:dyDescent="0.2">
      <c r="A66" s="112" t="s">
        <v>148</v>
      </c>
      <c r="B66" s="78" t="str">
        <f>IF(B64&lt;=B63,"OVER","UNDER")</f>
        <v>OVER</v>
      </c>
      <c r="C66" s="78" t="str">
        <f t="shared" ref="C66:U66" si="19">IF(C64&lt;=C63,"OVER","UNDER")</f>
        <v>UNDER</v>
      </c>
      <c r="D66" s="78" t="str">
        <f t="shared" si="19"/>
        <v>OVER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str">
        <f t="shared" si="19"/>
        <v>UNDER</v>
      </c>
      <c r="N66" s="78" t="str">
        <f t="shared" si="19"/>
        <v>UNDER</v>
      </c>
      <c r="O66" s="78" t="str">
        <f t="shared" si="19"/>
        <v>OVER</v>
      </c>
      <c r="P66" s="78" t="str">
        <f t="shared" si="19"/>
        <v>UNDER</v>
      </c>
      <c r="Q66" s="78" t="str">
        <f t="shared" si="19"/>
        <v>OVER</v>
      </c>
      <c r="R66" s="78" t="str">
        <f t="shared" si="19"/>
        <v>OVER</v>
      </c>
      <c r="S66" s="78" t="str">
        <f t="shared" si="19"/>
        <v>UNDER</v>
      </c>
      <c r="T66" s="78" t="str">
        <f t="shared" si="19"/>
        <v>UNDER</v>
      </c>
      <c r="U66" s="78" t="str">
        <f t="shared" si="19"/>
        <v>OVER</v>
      </c>
    </row>
  </sheetData>
  <sheetProtection algorithmName="SHA-512" hashValue="NTkWD5haagd9YWB5vytpvACwMXYHWrLnDsXapNy1zaX2Zzd3TfxZMiIdaEguAAPPlCQsAigfMSqHw85NqpDgKQ==" saltValue="C8/wxB6LErWWhrUTuWhjP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C20:V21">
    <cfRule type="cellIs" dxfId="419" priority="43" operator="equal">
      <formula>"DECREASE"</formula>
    </cfRule>
    <cfRule type="cellIs" dxfId="418" priority="44" operator="equal">
      <formula>"INCREASE"</formula>
    </cfRule>
  </conditionalFormatting>
  <conditionalFormatting sqref="B62:U66 B31:B50">
    <cfRule type="cellIs" dxfId="417" priority="42" operator="greaterThan">
      <formula>$B$51</formula>
    </cfRule>
  </conditionalFormatting>
  <conditionalFormatting sqref="C31:C50">
    <cfRule type="cellIs" dxfId="416" priority="41" operator="greaterThan">
      <formula>$C$51</formula>
    </cfRule>
  </conditionalFormatting>
  <conditionalFormatting sqref="C18:V18">
    <cfRule type="cellIs" dxfId="415" priority="37" operator="equal">
      <formula>0</formula>
    </cfRule>
  </conditionalFormatting>
  <conditionalFormatting sqref="C17:V17">
    <cfRule type="cellIs" dxfId="414" priority="35" operator="equal">
      <formula>0</formula>
    </cfRule>
  </conditionalFormatting>
  <conditionalFormatting sqref="C19:V19">
    <cfRule type="cellIs" dxfId="413" priority="34" operator="equal">
      <formula>0</formula>
    </cfRule>
  </conditionalFormatting>
  <conditionalFormatting sqref="G31:G50">
    <cfRule type="cellIs" dxfId="412" priority="31" operator="greaterThan">
      <formula>$G$51</formula>
    </cfRule>
  </conditionalFormatting>
  <conditionalFormatting sqref="H31:H50">
    <cfRule type="cellIs" dxfId="411" priority="30" operator="greaterThan">
      <formula>$H$51</formula>
    </cfRule>
  </conditionalFormatting>
  <conditionalFormatting sqref="I31:I50">
    <cfRule type="cellIs" dxfId="410" priority="29" operator="greaterThan">
      <formula>$I$51</formula>
    </cfRule>
  </conditionalFormatting>
  <conditionalFormatting sqref="K31:K50">
    <cfRule type="cellIs" dxfId="409" priority="27" operator="greaterThan">
      <formula>$K$51</formula>
    </cfRule>
  </conditionalFormatting>
  <conditionalFormatting sqref="L31:L50">
    <cfRule type="cellIs" dxfId="408" priority="26" operator="greaterThan">
      <formula>$L$51</formula>
    </cfRule>
  </conditionalFormatting>
  <conditionalFormatting sqref="M31:M50">
    <cfRule type="cellIs" dxfId="407" priority="25" operator="greaterThan">
      <formula>$M$51</formula>
    </cfRule>
  </conditionalFormatting>
  <conditionalFormatting sqref="P31:P50">
    <cfRule type="cellIs" dxfId="406" priority="24" operator="greaterThan">
      <formula>$P$51</formula>
    </cfRule>
  </conditionalFormatting>
  <conditionalFormatting sqref="R31:R50">
    <cfRule type="cellIs" dxfId="405" priority="23" operator="greaterThan">
      <formula>$R$51</formula>
    </cfRule>
  </conditionalFormatting>
  <conditionalFormatting sqref="S31:S50">
    <cfRule type="cellIs" dxfId="404" priority="22" operator="greaterThan">
      <formula>$S$51</formula>
    </cfRule>
  </conditionalFormatting>
  <conditionalFormatting sqref="T31:T50">
    <cfRule type="cellIs" dxfId="403" priority="21" operator="greaterThan">
      <formula>$T$51</formula>
    </cfRule>
  </conditionalFormatting>
  <conditionalFormatting sqref="U31:U50">
    <cfRule type="cellIs" dxfId="402" priority="20" operator="greaterThan">
      <formula>$U$51</formula>
    </cfRule>
  </conditionalFormatting>
  <conditionalFormatting sqref="C22:V22">
    <cfRule type="cellIs" dxfId="401" priority="18" operator="equal">
      <formula>0</formula>
    </cfRule>
  </conditionalFormatting>
  <conditionalFormatting sqref="C24:V24">
    <cfRule type="cellIs" dxfId="400" priority="16" operator="equal">
      <formula>"DECREASE"</formula>
    </cfRule>
    <cfRule type="cellIs" dxfId="399" priority="17" operator="equal">
      <formula>"INCREASE"</formula>
    </cfRule>
  </conditionalFormatting>
  <conditionalFormatting sqref="C23:V23">
    <cfRule type="cellIs" dxfId="398" priority="15" operator="equal">
      <formula>0</formula>
    </cfRule>
  </conditionalFormatting>
  <conditionalFormatting sqref="I1">
    <cfRule type="cellIs" dxfId="397" priority="11" operator="between">
      <formula>0.1</formula>
      <formula>5</formula>
    </cfRule>
  </conditionalFormatting>
  <conditionalFormatting sqref="I2">
    <cfRule type="cellIs" dxfId="396" priority="10" operator="greaterThan">
      <formula>5000.1</formula>
    </cfRule>
  </conditionalFormatting>
  <conditionalFormatting sqref="I3">
    <cfRule type="cellIs" dxfId="395" priority="9" operator="greaterThan">
      <formula>40000.01</formula>
    </cfRule>
  </conditionalFormatting>
  <conditionalFormatting sqref="C21:V21">
    <cfRule type="cellIs" dxfId="394" priority="8" operator="equal">
      <formula>0</formula>
    </cfRule>
  </conditionalFormatting>
  <conditionalFormatting sqref="B66:U66">
    <cfRule type="cellIs" dxfId="393" priority="4" operator="equal">
      <formula>"UNDER"</formula>
    </cfRule>
    <cfRule type="cellIs" dxfId="392" priority="5" operator="equal">
      <formula>"OVER"</formula>
    </cfRule>
  </conditionalFormatting>
  <conditionalFormatting sqref="J31:J50">
    <cfRule type="cellIs" dxfId="391" priority="3" operator="greaterThan">
      <formula>$J$51</formula>
    </cfRule>
  </conditionalFormatting>
  <conditionalFormatting sqref="L3">
    <cfRule type="cellIs" dxfId="390" priority="1" operator="lessThan">
      <formula>30</formula>
    </cfRule>
    <cfRule type="cellIs" dxfId="389"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E39" sqref="E39"/>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19" t="s">
        <v>41</v>
      </c>
      <c r="B1" s="119"/>
      <c r="C1" s="140" t="str">
        <f>Secanim!C1:D1</f>
        <v>PAN-021626</v>
      </c>
      <c r="D1" s="141"/>
      <c r="E1" s="93" t="s">
        <v>45</v>
      </c>
      <c r="F1" s="39">
        <f>Secanim!F1</f>
        <v>48.6</v>
      </c>
      <c r="G1" s="120" t="s">
        <v>43</v>
      </c>
      <c r="H1" s="121"/>
      <c r="I1" s="118">
        <v>7.08</v>
      </c>
      <c r="J1" s="119" t="s">
        <v>153</v>
      </c>
      <c r="K1" s="119"/>
      <c r="L1" s="97">
        <v>50</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19" t="s">
        <v>87</v>
      </c>
      <c r="B2" s="119"/>
      <c r="C2" s="142" t="str">
        <f>Secanim!C2:D2</f>
        <v>KP3594VE</v>
      </c>
      <c r="D2" s="143"/>
      <c r="E2" s="93" t="s">
        <v>109</v>
      </c>
      <c r="F2" s="96" t="s">
        <v>168</v>
      </c>
      <c r="G2" s="138" t="s">
        <v>110</v>
      </c>
      <c r="H2" s="139"/>
      <c r="I2" s="118">
        <v>2012</v>
      </c>
      <c r="J2" s="119" t="s">
        <v>158</v>
      </c>
      <c r="K2" s="119"/>
      <c r="L2" s="97">
        <v>7.0000000000000007E-2</v>
      </c>
      <c r="AB2" s="30" t="s">
        <v>56</v>
      </c>
      <c r="AC2" s="17"/>
      <c r="AD2" s="30" t="s">
        <v>70</v>
      </c>
      <c r="AE2" s="17"/>
      <c r="AF2" s="17"/>
      <c r="AG2" s="44" t="s">
        <v>76</v>
      </c>
      <c r="AH2" s="18"/>
      <c r="AI2" s="45" t="s">
        <v>126</v>
      </c>
      <c r="AJ2" s="46">
        <v>0</v>
      </c>
      <c r="AK2" s="47">
        <v>0</v>
      </c>
      <c r="AL2" s="10">
        <v>0</v>
      </c>
      <c r="AM2" s="11">
        <v>0</v>
      </c>
      <c r="AN2" s="11">
        <v>0</v>
      </c>
    </row>
    <row r="3" spans="1:41" x14ac:dyDescent="0.2">
      <c r="A3" s="120" t="s">
        <v>42</v>
      </c>
      <c r="B3" s="121"/>
      <c r="C3" s="142" t="str">
        <f>Secanim!C3:D3</f>
        <v>Trade Effluent Services Limited</v>
      </c>
      <c r="D3" s="143"/>
      <c r="E3" s="93" t="s">
        <v>108</v>
      </c>
      <c r="F3" s="31"/>
      <c r="G3" s="119" t="s">
        <v>159</v>
      </c>
      <c r="H3" s="119"/>
      <c r="I3" s="118"/>
      <c r="J3" s="120" t="s">
        <v>154</v>
      </c>
      <c r="K3" s="121"/>
      <c r="L3" s="97">
        <f>(L1/(L2*10000))*100</f>
        <v>7.1428571428571415</v>
      </c>
      <c r="AB3" s="30" t="s">
        <v>57</v>
      </c>
      <c r="AC3" s="17"/>
      <c r="AD3" s="30" t="s">
        <v>71</v>
      </c>
      <c r="AE3" s="17"/>
      <c r="AF3" s="17"/>
      <c r="AG3" s="44" t="s">
        <v>77</v>
      </c>
      <c r="AH3" s="18"/>
      <c r="AI3" s="48" t="s">
        <v>113</v>
      </c>
      <c r="AJ3" s="49">
        <v>1.7</v>
      </c>
      <c r="AK3" s="50">
        <v>6</v>
      </c>
      <c r="AL3" s="51">
        <v>1</v>
      </c>
      <c r="AM3" s="11">
        <v>6.2</v>
      </c>
      <c r="AN3" s="11" t="s">
        <v>112</v>
      </c>
    </row>
    <row r="4" spans="1:41" x14ac:dyDescent="0.2">
      <c r="A4" s="119" t="s">
        <v>0</v>
      </c>
      <c r="B4" s="119"/>
      <c r="C4" s="140" t="str">
        <f>Secanim!C4:D4</f>
        <v>Gwaenynog Bach Farm, Pentrefoelas Road, Bryn Ynys, Denbigh, Y Groes, Denbighshire, LL16 5RP</v>
      </c>
      <c r="D4" s="141"/>
      <c r="E4" s="94" t="s">
        <v>1</v>
      </c>
      <c r="F4" s="96" t="s">
        <v>167</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x14ac:dyDescent="0.2">
      <c r="A5" s="119" t="s">
        <v>47</v>
      </c>
      <c r="B5" s="119"/>
      <c r="C5" s="140" t="str">
        <f>Secanim!C5:D5</f>
        <v>Louise Bailey</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19" t="s">
        <v>2</v>
      </c>
      <c r="B8" s="119"/>
      <c r="C8" s="60">
        <f>Secanim!C8</f>
        <v>5905</v>
      </c>
      <c r="D8" s="60">
        <f>Secanim!D8</f>
        <v>4279</v>
      </c>
      <c r="E8" s="60">
        <f>Secanim!E8</f>
        <v>7605</v>
      </c>
      <c r="F8" s="60">
        <f>Secanim!F8</f>
        <v>3851</v>
      </c>
      <c r="G8" s="60">
        <f>Secanim!G8</f>
        <v>6418</v>
      </c>
      <c r="H8" s="60">
        <f>Secanim!H8</f>
        <v>1843</v>
      </c>
      <c r="I8" s="60">
        <f>Secanim!I8</f>
        <v>5974</v>
      </c>
      <c r="J8" s="60">
        <f>Secanim!J8</f>
        <v>5490</v>
      </c>
      <c r="K8" s="60">
        <f>Secanim!K8</f>
        <v>2565</v>
      </c>
      <c r="L8" s="60">
        <f>Secanim!L8</f>
        <v>7887</v>
      </c>
      <c r="M8" s="60">
        <f>Secanim!M8</f>
        <v>2946</v>
      </c>
      <c r="N8" s="60">
        <f>Secanim!N8</f>
        <v>2881</v>
      </c>
      <c r="O8" s="60">
        <f>Secanim!O8</f>
        <v>3398</v>
      </c>
      <c r="P8" s="60">
        <f>Secanim!P8</f>
        <v>5694</v>
      </c>
      <c r="Q8" s="60">
        <f>Secanim!Q8</f>
        <v>2991</v>
      </c>
      <c r="R8" s="60">
        <f>Secanim!R8</f>
        <v>3799</v>
      </c>
      <c r="S8" s="60">
        <f>Secanim!S8</f>
        <v>5813</v>
      </c>
      <c r="T8" s="60">
        <f>Secanim!T8</f>
        <v>1390</v>
      </c>
      <c r="U8" s="60">
        <f>Secanim!U8</f>
        <v>9596</v>
      </c>
      <c r="V8" s="60">
        <f>Secanim!V8</f>
        <v>716</v>
      </c>
      <c r="AB8" s="61"/>
      <c r="AC8" s="61"/>
      <c r="AD8" s="18"/>
      <c r="AE8" s="17" t="s">
        <v>139</v>
      </c>
      <c r="AF8" s="17"/>
      <c r="AG8" s="18"/>
      <c r="AH8" s="18"/>
      <c r="AI8" s="53" t="s">
        <v>105</v>
      </c>
      <c r="AJ8" s="62">
        <v>1.4</v>
      </c>
      <c r="AK8" s="55">
        <v>4.4000000000000004</v>
      </c>
      <c r="AL8" s="11">
        <v>6</v>
      </c>
      <c r="AM8" s="11">
        <v>6.7</v>
      </c>
      <c r="AN8" s="11" t="s">
        <v>135</v>
      </c>
      <c r="AO8" s="79"/>
    </row>
    <row r="9" spans="1:41" x14ac:dyDescent="0.2">
      <c r="A9" s="119" t="s">
        <v>3</v>
      </c>
      <c r="B9" s="119"/>
      <c r="C9" s="60" t="str">
        <f>Secanim!C9</f>
        <v>Moderate</v>
      </c>
      <c r="D9" s="60" t="str">
        <f>Secanim!D9</f>
        <v>Moderate</v>
      </c>
      <c r="E9" s="60" t="str">
        <f>Secanim!E9</f>
        <v>Moderate</v>
      </c>
      <c r="F9" s="60" t="str">
        <f>Secanim!F9</f>
        <v>Moderate</v>
      </c>
      <c r="G9" s="60" t="str">
        <f>Secanim!G9</f>
        <v>Moderate</v>
      </c>
      <c r="H9" s="60" t="str">
        <f>Secanim!H9</f>
        <v>Moderate</v>
      </c>
      <c r="I9" s="60" t="str">
        <f>Secanim!I9</f>
        <v>Moderate</v>
      </c>
      <c r="J9" s="60" t="str">
        <f>Secanim!J9</f>
        <v>Moderate</v>
      </c>
      <c r="K9" s="60" t="str">
        <f>Secanim!K9</f>
        <v>Moderate</v>
      </c>
      <c r="L9" s="60" t="str">
        <f>Secanim!L9</f>
        <v>Moderate</v>
      </c>
      <c r="M9" s="60" t="str">
        <f>Secanim!M9</f>
        <v>Moderate</v>
      </c>
      <c r="N9" s="60" t="str">
        <f>Secanim!N9</f>
        <v>Moderate</v>
      </c>
      <c r="O9" s="60" t="str">
        <f>Secanim!O9</f>
        <v>Moderate</v>
      </c>
      <c r="P9" s="60" t="str">
        <f>Secanim!P9</f>
        <v>Moderate</v>
      </c>
      <c r="Q9" s="60" t="str">
        <f>Secanim!Q9</f>
        <v>Moderate</v>
      </c>
      <c r="R9" s="60" t="str">
        <f>Secanim!R9</f>
        <v>Moderate</v>
      </c>
      <c r="S9" s="60" t="str">
        <f>Secanim!S9</f>
        <v>Moderate</v>
      </c>
      <c r="T9" s="60" t="str">
        <f>Secanim!T9</f>
        <v>Moderate</v>
      </c>
      <c r="U9" s="60" t="str">
        <f>Secanim!U9</f>
        <v>Moderate</v>
      </c>
      <c r="V9" s="60" t="str">
        <f>Secanim!V9</f>
        <v>Moderate</v>
      </c>
      <c r="AB9" s="17"/>
      <c r="AC9" s="17"/>
      <c r="AD9" s="30" t="s">
        <v>137</v>
      </c>
      <c r="AE9" s="30">
        <v>4.5</v>
      </c>
      <c r="AF9" s="17"/>
      <c r="AG9" s="18"/>
      <c r="AH9" s="18"/>
      <c r="AI9" s="63" t="s">
        <v>103</v>
      </c>
      <c r="AJ9" s="64">
        <v>0.7</v>
      </c>
      <c r="AK9" s="65">
        <v>4</v>
      </c>
      <c r="AL9" s="29">
        <v>7</v>
      </c>
      <c r="AM9" s="11">
        <v>6.7</v>
      </c>
      <c r="AN9" s="11" t="s">
        <v>135</v>
      </c>
      <c r="AO9" s="99"/>
    </row>
    <row r="10" spans="1:41" x14ac:dyDescent="0.2">
      <c r="A10" s="119" t="s">
        <v>4</v>
      </c>
      <c r="B10" s="119"/>
      <c r="C10" s="60">
        <f>Secanim!C10</f>
        <v>6.2</v>
      </c>
      <c r="D10" s="60">
        <f>Secanim!D10</f>
        <v>5.6</v>
      </c>
      <c r="E10" s="60">
        <f>Secanim!E10</f>
        <v>6.3</v>
      </c>
      <c r="F10" s="60">
        <f>Secanim!F10</f>
        <v>6</v>
      </c>
      <c r="G10" s="60">
        <f>Secanim!G10</f>
        <v>5.8</v>
      </c>
      <c r="H10" s="60">
        <f>Secanim!H10</f>
        <v>5.3</v>
      </c>
      <c r="I10" s="60">
        <f>Secanim!I10</f>
        <v>6</v>
      </c>
      <c r="J10" s="60">
        <f>Secanim!J10</f>
        <v>6.1</v>
      </c>
      <c r="K10" s="60">
        <f>Secanim!K10</f>
        <v>5.5</v>
      </c>
      <c r="L10" s="60">
        <f>Secanim!L10</f>
        <v>6.1</v>
      </c>
      <c r="M10" s="60">
        <f>Secanim!M10</f>
        <v>5.5</v>
      </c>
      <c r="N10" s="60">
        <f>Secanim!N10</f>
        <v>5.6</v>
      </c>
      <c r="O10" s="60">
        <f>Secanim!O10</f>
        <v>5.9</v>
      </c>
      <c r="P10" s="60">
        <f>Secanim!P10</f>
        <v>6.5</v>
      </c>
      <c r="Q10" s="60">
        <f>Secanim!Q10</f>
        <v>5.7</v>
      </c>
      <c r="R10" s="60">
        <f>Secanim!R10</f>
        <v>6.4</v>
      </c>
      <c r="S10" s="60">
        <f>Secanim!S10</f>
        <v>6.7</v>
      </c>
      <c r="T10" s="60">
        <f>Secanim!T10</f>
        <v>5.4</v>
      </c>
      <c r="U10" s="60">
        <f>Secanim!U10</f>
        <v>5.5</v>
      </c>
      <c r="V10" s="60">
        <f>Secanim!V10</f>
        <v>6.4</v>
      </c>
      <c r="AB10" s="17"/>
      <c r="AC10" s="17"/>
      <c r="AD10" s="30" t="s">
        <v>140</v>
      </c>
      <c r="AE10" s="30">
        <v>5</v>
      </c>
      <c r="AF10" s="17"/>
      <c r="AG10" s="18"/>
      <c r="AH10" s="18"/>
      <c r="AI10" s="53" t="s">
        <v>97</v>
      </c>
      <c r="AJ10" s="54">
        <v>9</v>
      </c>
      <c r="AK10" s="55">
        <v>16.5</v>
      </c>
      <c r="AL10" s="11">
        <v>8</v>
      </c>
      <c r="AM10" s="11">
        <v>6.7</v>
      </c>
      <c r="AN10" s="11" t="s">
        <v>135</v>
      </c>
    </row>
    <row r="11" spans="1:41" x14ac:dyDescent="0.2">
      <c r="A11" s="119" t="s">
        <v>5</v>
      </c>
      <c r="B11" s="119"/>
      <c r="C11" s="60">
        <f>Secanim!C11</f>
        <v>2</v>
      </c>
      <c r="D11" s="60">
        <f>Secanim!D11</f>
        <v>3</v>
      </c>
      <c r="E11" s="60">
        <f>Secanim!E11</f>
        <v>2</v>
      </c>
      <c r="F11" s="60">
        <f>Secanim!F11</f>
        <v>3</v>
      </c>
      <c r="G11" s="60">
        <f>Secanim!G11</f>
        <v>2</v>
      </c>
      <c r="H11" s="60">
        <f>Secanim!H11</f>
        <v>3</v>
      </c>
      <c r="I11" s="60">
        <f>Secanim!I11</f>
        <v>3</v>
      </c>
      <c r="J11" s="60">
        <f>Secanim!J11</f>
        <v>2</v>
      </c>
      <c r="K11" s="60">
        <f>Secanim!K11</f>
        <v>3</v>
      </c>
      <c r="L11" s="60">
        <f>Secanim!L11</f>
        <v>1</v>
      </c>
      <c r="M11" s="60">
        <f>Secanim!M11</f>
        <v>3</v>
      </c>
      <c r="N11" s="60">
        <f>Secanim!N11</f>
        <v>2</v>
      </c>
      <c r="O11" s="60">
        <f>Secanim!O11</f>
        <v>2</v>
      </c>
      <c r="P11" s="60">
        <f>Secanim!P11</f>
        <v>2</v>
      </c>
      <c r="Q11" s="60">
        <f>Secanim!Q11</f>
        <v>2</v>
      </c>
      <c r="R11" s="60">
        <f>Secanim!R11</f>
        <v>2</v>
      </c>
      <c r="S11" s="60">
        <f>Secanim!S11</f>
        <v>2</v>
      </c>
      <c r="T11" s="60">
        <f>Secanim!T11</f>
        <v>3</v>
      </c>
      <c r="U11" s="60">
        <f>Secanim!U11</f>
        <v>2</v>
      </c>
      <c r="V11" s="60">
        <f>Secanim!V11</f>
        <v>2</v>
      </c>
      <c r="AB11" s="17"/>
      <c r="AC11" s="17"/>
      <c r="AD11" s="52" t="s">
        <v>141</v>
      </c>
      <c r="AE11" s="30">
        <v>6</v>
      </c>
      <c r="AF11" s="17"/>
      <c r="AG11" s="18"/>
      <c r="AH11" s="18"/>
      <c r="AI11" s="53" t="s">
        <v>122</v>
      </c>
      <c r="AJ11" s="54">
        <v>15</v>
      </c>
      <c r="AK11" s="55">
        <v>17.5</v>
      </c>
      <c r="AL11" s="11">
        <v>9</v>
      </c>
      <c r="AM11" s="11">
        <v>7</v>
      </c>
      <c r="AN11" s="11" t="s">
        <v>135</v>
      </c>
    </row>
    <row r="12" spans="1:41" x14ac:dyDescent="0.2">
      <c r="A12" s="119" t="s">
        <v>6</v>
      </c>
      <c r="B12" s="119"/>
      <c r="C12" s="60" t="str">
        <f>Secanim!C12</f>
        <v>2-</v>
      </c>
      <c r="D12" s="60">
        <f>Secanim!D12</f>
        <v>3</v>
      </c>
      <c r="E12" s="60" t="str">
        <f>Secanim!E12</f>
        <v>2-</v>
      </c>
      <c r="F12" s="60" t="str">
        <f>Secanim!F12</f>
        <v>2+</v>
      </c>
      <c r="G12" s="60">
        <f>Secanim!G12</f>
        <v>3</v>
      </c>
      <c r="H12" s="60" t="str">
        <f>Secanim!H12</f>
        <v>2+</v>
      </c>
      <c r="I12" s="60">
        <f>Secanim!I12</f>
        <v>4</v>
      </c>
      <c r="J12" s="60" t="str">
        <f>Secanim!J12</f>
        <v>2+</v>
      </c>
      <c r="K12" s="60">
        <f>Secanim!K12</f>
        <v>4</v>
      </c>
      <c r="L12" s="60" t="str">
        <f>Secanim!L12</f>
        <v>2-</v>
      </c>
      <c r="M12" s="60" t="str">
        <f>Secanim!M12</f>
        <v>2-</v>
      </c>
      <c r="N12" s="60">
        <f>Secanim!N12</f>
        <v>3</v>
      </c>
      <c r="O12" s="60">
        <f>Secanim!O12</f>
        <v>3</v>
      </c>
      <c r="P12" s="60" t="str">
        <f>Secanim!P12</f>
        <v>2-</v>
      </c>
      <c r="Q12" s="60">
        <f>Secanim!Q12</f>
        <v>1</v>
      </c>
      <c r="R12" s="60">
        <f>Secanim!R12</f>
        <v>1</v>
      </c>
      <c r="S12" s="60">
        <f>Secanim!S12</f>
        <v>1</v>
      </c>
      <c r="T12" s="60" t="str">
        <f>Secanim!T12</f>
        <v>2+</v>
      </c>
      <c r="U12" s="60">
        <f>Secanim!U12</f>
        <v>1</v>
      </c>
      <c r="V12" s="60" t="str">
        <f>Secanim!V12</f>
        <v>2-</v>
      </c>
      <c r="AB12" s="17"/>
      <c r="AC12" s="17"/>
      <c r="AD12" s="52" t="s">
        <v>142</v>
      </c>
      <c r="AE12" s="30">
        <v>7.5</v>
      </c>
      <c r="AF12" s="17"/>
      <c r="AG12" s="18"/>
      <c r="AH12" s="18"/>
      <c r="AI12" s="53" t="s">
        <v>121</v>
      </c>
      <c r="AJ12" s="54">
        <v>14</v>
      </c>
      <c r="AK12" s="55">
        <v>11</v>
      </c>
      <c r="AL12" s="11">
        <v>10</v>
      </c>
      <c r="AM12" s="11">
        <v>7</v>
      </c>
      <c r="AN12" s="11" t="s">
        <v>135</v>
      </c>
    </row>
    <row r="13" spans="1:41" x14ac:dyDescent="0.2">
      <c r="A13" s="119" t="s">
        <v>7</v>
      </c>
      <c r="B13" s="119"/>
      <c r="C13" s="60">
        <f>Secanim!C13</f>
        <v>3</v>
      </c>
      <c r="D13" s="60">
        <f>Secanim!D13</f>
        <v>3</v>
      </c>
      <c r="E13" s="60">
        <f>Secanim!E13</f>
        <v>3</v>
      </c>
      <c r="F13" s="60">
        <f>Secanim!F13</f>
        <v>3</v>
      </c>
      <c r="G13" s="60">
        <f>Secanim!G13</f>
        <v>3</v>
      </c>
      <c r="H13" s="60">
        <f>Secanim!H13</f>
        <v>2</v>
      </c>
      <c r="I13" s="60">
        <f>Secanim!I13</f>
        <v>4</v>
      </c>
      <c r="J13" s="60">
        <f>Secanim!J13</f>
        <v>3</v>
      </c>
      <c r="K13" s="60">
        <f>Secanim!K13</f>
        <v>3</v>
      </c>
      <c r="L13" s="60">
        <f>Secanim!L13</f>
        <v>3</v>
      </c>
      <c r="M13" s="60">
        <f>Secanim!M13</f>
        <v>2</v>
      </c>
      <c r="N13" s="60">
        <f>Secanim!N13</f>
        <v>2</v>
      </c>
      <c r="O13" s="60">
        <f>Secanim!O13</f>
        <v>3</v>
      </c>
      <c r="P13" s="60">
        <f>Secanim!P13</f>
        <v>2</v>
      </c>
      <c r="Q13" s="60">
        <f>Secanim!Q13</f>
        <v>3</v>
      </c>
      <c r="R13" s="60">
        <f>Secanim!R13</f>
        <v>2</v>
      </c>
      <c r="S13" s="60">
        <f>Secanim!S13</f>
        <v>1</v>
      </c>
      <c r="T13" s="60">
        <f>Secanim!T13</f>
        <v>3</v>
      </c>
      <c r="U13" s="60">
        <f>Secanim!U13</f>
        <v>1</v>
      </c>
      <c r="V13" s="60">
        <f>Secanim!V13</f>
        <v>2</v>
      </c>
      <c r="AB13" s="17"/>
      <c r="AC13" s="17"/>
      <c r="AD13" s="52" t="s">
        <v>143</v>
      </c>
      <c r="AE13" s="30">
        <v>12</v>
      </c>
      <c r="AF13" s="17"/>
      <c r="AG13" s="18"/>
      <c r="AH13" s="18"/>
      <c r="AI13" s="53" t="s">
        <v>120</v>
      </c>
      <c r="AJ13" s="54">
        <v>1.9</v>
      </c>
      <c r="AK13" s="55">
        <v>7.5</v>
      </c>
      <c r="AL13" s="11">
        <v>11</v>
      </c>
      <c r="AM13" s="11">
        <v>6.7</v>
      </c>
      <c r="AN13" s="11" t="s">
        <v>135</v>
      </c>
    </row>
    <row r="14" spans="1:41" x14ac:dyDescent="0.2">
      <c r="A14" s="131" t="s">
        <v>8</v>
      </c>
      <c r="B14" s="131"/>
      <c r="C14" s="102" t="str">
        <f>Secanim!C14</f>
        <v xml:space="preserve">Grass Silage (25% DM) </v>
      </c>
      <c r="D14" s="102" t="str">
        <f>Secanim!D14</f>
        <v xml:space="preserve">Grass Silage (25% DM) </v>
      </c>
      <c r="E14" s="102" t="str">
        <f>Secanim!E14</f>
        <v xml:space="preserve">Grass Silage (25% DM) </v>
      </c>
      <c r="F14" s="102" t="str">
        <f>Secanim!F14</f>
        <v xml:space="preserve">Grass Silage (25% DM) </v>
      </c>
      <c r="G14" s="102" t="str">
        <f>Secanim!G14</f>
        <v xml:space="preserve">Grass Silage (25% DM) </v>
      </c>
      <c r="H14" s="102" t="str">
        <f>Secanim!H14</f>
        <v xml:space="preserve">Grass Silage (25% DM) </v>
      </c>
      <c r="I14" s="102" t="str">
        <f>Secanim!I14</f>
        <v xml:space="preserve">Grass Silage (25% DM) </v>
      </c>
      <c r="J14" s="102" t="str">
        <f>Secanim!J14</f>
        <v xml:space="preserve">Grass Silage (25% DM) </v>
      </c>
      <c r="K14" s="102" t="str">
        <f>Secanim!K14</f>
        <v xml:space="preserve">Grass Silage (25% DM) </v>
      </c>
      <c r="L14" s="102" t="str">
        <f>Secanim!L14</f>
        <v xml:space="preserve">Grass Silage (25% DM) </v>
      </c>
      <c r="M14" s="102" t="str">
        <f>Secanim!M14</f>
        <v xml:space="preserve">Grass Silage (25% DM) </v>
      </c>
      <c r="N14" s="102" t="str">
        <f>Secanim!N14</f>
        <v xml:space="preserve">Grass Silage (25% DM) </v>
      </c>
      <c r="O14" s="102" t="str">
        <f>Secanim!O14</f>
        <v xml:space="preserve">Grass Silage (25% DM) </v>
      </c>
      <c r="P14" s="102" t="str">
        <f>Secanim!P14</f>
        <v xml:space="preserve">Grass Silage (25% DM) </v>
      </c>
      <c r="Q14" s="102" t="str">
        <f>Secanim!Q14</f>
        <v xml:space="preserve">Grass Silage (25% DM) </v>
      </c>
      <c r="R14" s="102" t="str">
        <f>Secanim!R14</f>
        <v xml:space="preserve">Grass Silage (25% DM) </v>
      </c>
      <c r="S14" s="102" t="str">
        <f>Secanim!S14</f>
        <v xml:space="preserve">Grass Silage (25% DM) </v>
      </c>
      <c r="T14" s="102" t="str">
        <f>Secanim!T14</f>
        <v xml:space="preserve">Grass Silage (25% DM) </v>
      </c>
      <c r="U14" s="102" t="str">
        <f>Secanim!U14</f>
        <v xml:space="preserve">Grass Silage (25% DM) </v>
      </c>
      <c r="V14" s="102" t="str">
        <f>Secanim!V14</f>
        <v xml:space="preserve">Grass Silage (25% DM) </v>
      </c>
      <c r="AD14" s="30" t="s">
        <v>138</v>
      </c>
      <c r="AE14" s="30">
        <v>6</v>
      </c>
      <c r="AI14" s="53" t="s">
        <v>119</v>
      </c>
      <c r="AJ14" s="54">
        <v>0.8</v>
      </c>
      <c r="AK14" s="55">
        <v>1.7</v>
      </c>
      <c r="AL14" s="11">
        <v>12</v>
      </c>
      <c r="AM14" s="11">
        <v>6.7</v>
      </c>
      <c r="AN14" s="11" t="s">
        <v>135</v>
      </c>
    </row>
    <row r="15" spans="1:41" x14ac:dyDescent="0.2">
      <c r="A15" s="130" t="s">
        <v>9</v>
      </c>
      <c r="B15" s="130"/>
      <c r="C15" s="60">
        <f>Secanim!C15</f>
        <v>38</v>
      </c>
      <c r="D15" s="60">
        <f>Secanim!D15</f>
        <v>38</v>
      </c>
      <c r="E15" s="60">
        <f>Secanim!E15</f>
        <v>38</v>
      </c>
      <c r="F15" s="60">
        <f>Secanim!F15</f>
        <v>38</v>
      </c>
      <c r="G15" s="60">
        <f>Secanim!G15</f>
        <v>38</v>
      </c>
      <c r="H15" s="60">
        <f>Secanim!H15</f>
        <v>38</v>
      </c>
      <c r="I15" s="60">
        <f>Secanim!I15</f>
        <v>38</v>
      </c>
      <c r="J15" s="60">
        <f>Secanim!J15</f>
        <v>38</v>
      </c>
      <c r="K15" s="60">
        <f>Secanim!K15</f>
        <v>38</v>
      </c>
      <c r="L15" s="60">
        <f>Secanim!L15</f>
        <v>38</v>
      </c>
      <c r="M15" s="60">
        <f>Secanim!M15</f>
        <v>38</v>
      </c>
      <c r="N15" s="60">
        <f>Secanim!N15</f>
        <v>38</v>
      </c>
      <c r="O15" s="60">
        <f>Secanim!O15</f>
        <v>38</v>
      </c>
      <c r="P15" s="60">
        <f>Secanim!P15</f>
        <v>38</v>
      </c>
      <c r="Q15" s="60">
        <f>Secanim!Q15</f>
        <v>38</v>
      </c>
      <c r="R15" s="60">
        <f>Secanim!R15</f>
        <v>38</v>
      </c>
      <c r="S15" s="60">
        <f>Secanim!S15</f>
        <v>38</v>
      </c>
      <c r="T15" s="60">
        <f>Secanim!T15</f>
        <v>38</v>
      </c>
      <c r="U15" s="60">
        <f>Secanim!U15</f>
        <v>38</v>
      </c>
      <c r="V15" s="60">
        <f>Secanim!V15</f>
        <v>38</v>
      </c>
      <c r="AD15" s="30" t="s">
        <v>144</v>
      </c>
      <c r="AE15" s="30">
        <v>7</v>
      </c>
      <c r="AI15" s="53" t="s">
        <v>101</v>
      </c>
      <c r="AJ15" s="62">
        <v>1.8</v>
      </c>
      <c r="AK15" s="55">
        <v>5.4</v>
      </c>
      <c r="AL15" s="11">
        <v>13</v>
      </c>
      <c r="AM15" s="11">
        <v>6.7</v>
      </c>
      <c r="AN15" s="11" t="s">
        <v>135</v>
      </c>
    </row>
    <row r="16" spans="1:41" ht="13.5" thickBot="1" x14ac:dyDescent="0.25">
      <c r="A16" s="132" t="s">
        <v>44</v>
      </c>
      <c r="B16" s="132"/>
      <c r="C16" s="103" t="str">
        <f>Secanim!C16</f>
        <v>Medium/Clay</v>
      </c>
      <c r="D16" s="103" t="str">
        <f>Secanim!D16</f>
        <v>Medium/Clay</v>
      </c>
      <c r="E16" s="103" t="str">
        <f>Secanim!E16</f>
        <v>Medium/Clay</v>
      </c>
      <c r="F16" s="103" t="str">
        <f>Secanim!F16</f>
        <v>Medium/Clay</v>
      </c>
      <c r="G16" s="103" t="str">
        <f>Secanim!G16</f>
        <v>Medium/Clay</v>
      </c>
      <c r="H16" s="103" t="str">
        <f>Secanim!H16</f>
        <v>Medium/Clay</v>
      </c>
      <c r="I16" s="103" t="str">
        <f>Secanim!I16</f>
        <v>Medium/Clay</v>
      </c>
      <c r="J16" s="103" t="str">
        <f>Secanim!J16</f>
        <v>Medium/Clay</v>
      </c>
      <c r="K16" s="103" t="str">
        <f>Secanim!K16</f>
        <v>Medium/Clay</v>
      </c>
      <c r="L16" s="103" t="str">
        <f>Secanim!L16</f>
        <v>Medium/Clay</v>
      </c>
      <c r="M16" s="103" t="str">
        <f>Secanim!M16</f>
        <v>Medium/Clay</v>
      </c>
      <c r="N16" s="103" t="str">
        <f>Secanim!N16</f>
        <v>Medium/Clay</v>
      </c>
      <c r="O16" s="103" t="str">
        <f>Secanim!O16</f>
        <v>Medium/Clay</v>
      </c>
      <c r="P16" s="103" t="str">
        <f>Secanim!P16</f>
        <v>Medium/Clay</v>
      </c>
      <c r="Q16" s="103" t="str">
        <f>Secanim!Q16</f>
        <v>Medium/Clay</v>
      </c>
      <c r="R16" s="103" t="str">
        <f>Secanim!R16</f>
        <v>Medium/Clay</v>
      </c>
      <c r="S16" s="103" t="str">
        <f>Secanim!S16</f>
        <v>Medium/Clay</v>
      </c>
      <c r="T16" s="103" t="str">
        <f>Secanim!T16</f>
        <v>Medium/Clay</v>
      </c>
      <c r="U16" s="103" t="str">
        <f>Secanim!U16</f>
        <v>Medium/Clay</v>
      </c>
      <c r="V16" s="103" t="str">
        <f>Secanim!V16</f>
        <v>Medium/Clay</v>
      </c>
      <c r="AD16" s="52" t="s">
        <v>145</v>
      </c>
      <c r="AE16" s="30">
        <v>8</v>
      </c>
      <c r="AI16" s="53" t="s">
        <v>118</v>
      </c>
      <c r="AJ16" s="54">
        <v>8</v>
      </c>
      <c r="AK16" s="55">
        <v>5.5</v>
      </c>
      <c r="AL16" s="12">
        <v>14</v>
      </c>
      <c r="AM16" s="11">
        <v>6.7</v>
      </c>
      <c r="AN16" s="11" t="s">
        <v>135</v>
      </c>
    </row>
    <row r="17" spans="1:40" x14ac:dyDescent="0.2">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64.599999999999994</v>
      </c>
      <c r="R17" s="28">
        <f t="shared" si="0"/>
        <v>64.599999999999994</v>
      </c>
      <c r="S17" s="28">
        <f t="shared" si="0"/>
        <v>64.599999999999994</v>
      </c>
      <c r="T17" s="28">
        <f t="shared" si="0"/>
        <v>64.599999999999994</v>
      </c>
      <c r="U17" s="28">
        <f t="shared" si="0"/>
        <v>64.599999999999994</v>
      </c>
      <c r="V17" s="28">
        <f t="shared" si="0"/>
        <v>64.599999999999994</v>
      </c>
      <c r="AD17" s="52" t="s">
        <v>146</v>
      </c>
      <c r="AE17" s="30">
        <v>10</v>
      </c>
      <c r="AI17" s="48" t="s">
        <v>115</v>
      </c>
      <c r="AJ17" s="49">
        <v>1.4</v>
      </c>
      <c r="AK17" s="50">
        <v>4.8</v>
      </c>
      <c r="AL17" s="51">
        <v>15</v>
      </c>
      <c r="AM17" s="11">
        <v>6.2</v>
      </c>
      <c r="AN17" s="11" t="s">
        <v>112</v>
      </c>
    </row>
    <row r="18" spans="1:40" x14ac:dyDescent="0.2">
      <c r="A18" s="124" t="s">
        <v>23</v>
      </c>
      <c r="B18" s="125"/>
      <c r="C18" s="16">
        <f>$D31</f>
        <v>63.204107999999991</v>
      </c>
      <c r="D18" s="16">
        <f>$D32</f>
        <v>63.204107999999991</v>
      </c>
      <c r="E18" s="16">
        <f>$D33</f>
        <v>63.204107999999991</v>
      </c>
      <c r="F18" s="16">
        <f>$D34</f>
        <v>63.204107999999991</v>
      </c>
      <c r="G18" s="16">
        <f>$D35</f>
        <v>63.204107999999991</v>
      </c>
      <c r="H18" s="16">
        <f>$D36</f>
        <v>63.204107999999991</v>
      </c>
      <c r="I18" s="16">
        <f>$D37</f>
        <v>63.204107999999991</v>
      </c>
      <c r="J18" s="16">
        <f>$D38</f>
        <v>63.204107999999991</v>
      </c>
      <c r="K18" s="16">
        <f>$D39</f>
        <v>63.204107999999991</v>
      </c>
      <c r="L18" s="16">
        <f>$D40</f>
        <v>63.204107999999991</v>
      </c>
      <c r="M18" s="16">
        <f>$D41</f>
        <v>63.204107999999991</v>
      </c>
      <c r="N18" s="16">
        <f>$D42</f>
        <v>63.204107999999991</v>
      </c>
      <c r="O18" s="16">
        <f>$D43</f>
        <v>63.204107999999991</v>
      </c>
      <c r="P18" s="16">
        <f>$D44</f>
        <v>63.204107999999991</v>
      </c>
      <c r="Q18" s="16">
        <f>$D45</f>
        <v>63.204107999999991</v>
      </c>
      <c r="R18" s="16">
        <f>$D46</f>
        <v>63.204107999999991</v>
      </c>
      <c r="S18" s="16">
        <f>$D47</f>
        <v>63.204107999999991</v>
      </c>
      <c r="T18" s="16">
        <f>$D48</f>
        <v>63.204107999999991</v>
      </c>
      <c r="U18" s="16">
        <f>$D49</f>
        <v>63.204107999999991</v>
      </c>
      <c r="V18" s="25">
        <f>$D50</f>
        <v>63.204107999999991</v>
      </c>
      <c r="AD18" s="52" t="s">
        <v>147</v>
      </c>
      <c r="AE18" s="30">
        <v>16</v>
      </c>
      <c r="AI18" s="48" t="s">
        <v>106</v>
      </c>
      <c r="AJ18" s="49">
        <v>5.9</v>
      </c>
      <c r="AK18" s="50">
        <v>18</v>
      </c>
      <c r="AL18" s="51">
        <v>16</v>
      </c>
      <c r="AM18" s="11">
        <v>6.2</v>
      </c>
      <c r="AN18" s="11" t="s">
        <v>112</v>
      </c>
    </row>
    <row r="19" spans="1:40" x14ac:dyDescent="0.2">
      <c r="A19" s="124" t="s">
        <v>90</v>
      </c>
      <c r="B19" s="125"/>
      <c r="C19" s="16">
        <f>C18-C17</f>
        <v>-1.3958920000000035</v>
      </c>
      <c r="D19" s="16">
        <f t="shared" ref="D19:V19" si="1">D18-D17</f>
        <v>-1.3958920000000035</v>
      </c>
      <c r="E19" s="16">
        <f t="shared" si="1"/>
        <v>-1.3958920000000035</v>
      </c>
      <c r="F19" s="16">
        <f t="shared" si="1"/>
        <v>-1.3958920000000035</v>
      </c>
      <c r="G19" s="16">
        <f t="shared" si="1"/>
        <v>-1.3958920000000035</v>
      </c>
      <c r="H19" s="16">
        <f t="shared" si="1"/>
        <v>-1.3958920000000035</v>
      </c>
      <c r="I19" s="16">
        <f t="shared" si="1"/>
        <v>-1.3958920000000035</v>
      </c>
      <c r="J19" s="16">
        <f t="shared" si="1"/>
        <v>-1.3958920000000035</v>
      </c>
      <c r="K19" s="16">
        <f t="shared" si="1"/>
        <v>-1.3958920000000035</v>
      </c>
      <c r="L19" s="16">
        <f t="shared" si="1"/>
        <v>-1.3958920000000035</v>
      </c>
      <c r="M19" s="16">
        <f t="shared" si="1"/>
        <v>-1.3958920000000035</v>
      </c>
      <c r="N19" s="16">
        <f t="shared" si="1"/>
        <v>-1.3958920000000035</v>
      </c>
      <c r="O19" s="16">
        <f t="shared" si="1"/>
        <v>-1.3958920000000035</v>
      </c>
      <c r="P19" s="16">
        <f t="shared" si="1"/>
        <v>-1.3958920000000035</v>
      </c>
      <c r="Q19" s="16">
        <f t="shared" si="1"/>
        <v>-1.3958920000000035</v>
      </c>
      <c r="R19" s="16">
        <f t="shared" si="1"/>
        <v>-1.3958920000000035</v>
      </c>
      <c r="S19" s="16">
        <f t="shared" si="1"/>
        <v>-1.3958920000000035</v>
      </c>
      <c r="T19" s="16">
        <f t="shared" si="1"/>
        <v>-1.3958920000000035</v>
      </c>
      <c r="U19" s="16">
        <f t="shared" si="1"/>
        <v>-1.3958920000000035</v>
      </c>
      <c r="V19" s="25">
        <f t="shared" si="1"/>
        <v>-1.3958920000000035</v>
      </c>
      <c r="AI19" s="48" t="s">
        <v>107</v>
      </c>
      <c r="AJ19" s="49">
        <v>3.2</v>
      </c>
      <c r="AK19" s="50">
        <v>10.5</v>
      </c>
      <c r="AL19" s="51">
        <v>17</v>
      </c>
      <c r="AM19" s="11">
        <v>6.2</v>
      </c>
      <c r="AN19" s="11" t="s">
        <v>112</v>
      </c>
    </row>
    <row r="20" spans="1:40" ht="13.5" thickBot="1" x14ac:dyDescent="0.25">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DECREASE</v>
      </c>
      <c r="S20" s="26" t="str">
        <f>IF($B47="","",IF(S$19&gt;=0,"INCREASE","DECREASE"))</f>
        <v>DECREASE</v>
      </c>
      <c r="T20" s="26" t="str">
        <f>IF($B48="","",IF(T$19&gt;=0,"INCREASE","DECREASE"))</f>
        <v>DECREASE</v>
      </c>
      <c r="U20" s="26" t="str">
        <f>IF($B49="","",IF(U$19&gt;=0,"INCREASE","DECREASE"))</f>
        <v>DECREASE</v>
      </c>
      <c r="V20" s="27" t="str">
        <f>IF($B50="","",IF(V$19&gt;=0,"INCREASE","DECREASE"))</f>
        <v>DECREASE</v>
      </c>
      <c r="AI20" s="48" t="s">
        <v>114</v>
      </c>
      <c r="AJ20" s="49">
        <v>2.1</v>
      </c>
      <c r="AK20" s="50">
        <v>7.2</v>
      </c>
      <c r="AL20" s="51">
        <v>18</v>
      </c>
      <c r="AM20" s="11">
        <v>6.2</v>
      </c>
      <c r="AN20" s="11" t="s">
        <v>112</v>
      </c>
    </row>
    <row r="21" spans="1:40" x14ac:dyDescent="0.2">
      <c r="A21" s="122" t="s">
        <v>88</v>
      </c>
      <c r="B21" s="123"/>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228</v>
      </c>
      <c r="Q21" s="28">
        <f t="shared" si="2"/>
        <v>228</v>
      </c>
      <c r="R21" s="28">
        <f t="shared" si="2"/>
        <v>228</v>
      </c>
      <c r="S21" s="28">
        <f t="shared" si="2"/>
        <v>228</v>
      </c>
      <c r="T21" s="28">
        <f t="shared" si="2"/>
        <v>228</v>
      </c>
      <c r="U21" s="28">
        <f t="shared" si="2"/>
        <v>228</v>
      </c>
      <c r="V21" s="28">
        <f t="shared" si="2"/>
        <v>228</v>
      </c>
      <c r="AI21" s="63" t="s">
        <v>100</v>
      </c>
      <c r="AJ21" s="66">
        <v>11</v>
      </c>
      <c r="AK21" s="65">
        <v>12</v>
      </c>
      <c r="AL21" s="29">
        <v>19</v>
      </c>
      <c r="AM21" s="11">
        <v>6.7</v>
      </c>
      <c r="AN21" s="11" t="s">
        <v>135</v>
      </c>
    </row>
    <row r="22" spans="1:40" x14ac:dyDescent="0.2">
      <c r="A22" s="124" t="s">
        <v>89</v>
      </c>
      <c r="B22" s="125"/>
      <c r="C22" s="16">
        <f>$E31</f>
        <v>10.736550000000001</v>
      </c>
      <c r="D22" s="16">
        <f>$E32</f>
        <v>10.736550000000001</v>
      </c>
      <c r="E22" s="16">
        <f>$E33</f>
        <v>10.736550000000001</v>
      </c>
      <c r="F22" s="16">
        <f>$E34</f>
        <v>10.736550000000001</v>
      </c>
      <c r="G22" s="16">
        <f>$E35</f>
        <v>10.736550000000001</v>
      </c>
      <c r="H22" s="16">
        <f>$E36</f>
        <v>10.736550000000001</v>
      </c>
      <c r="I22" s="16">
        <f>$E37</f>
        <v>10.736550000000001</v>
      </c>
      <c r="J22" s="16">
        <f>$E38</f>
        <v>10.736550000000001</v>
      </c>
      <c r="K22" s="16">
        <f>$E39</f>
        <v>10.736550000000001</v>
      </c>
      <c r="L22" s="16">
        <f>$E40</f>
        <v>10.736550000000001</v>
      </c>
      <c r="M22" s="16">
        <f>$E41</f>
        <v>10.736550000000001</v>
      </c>
      <c r="N22" s="16">
        <f>$E42</f>
        <v>10.736550000000001</v>
      </c>
      <c r="O22" s="16">
        <f>$E43</f>
        <v>10.736550000000001</v>
      </c>
      <c r="P22" s="16">
        <f>$E44</f>
        <v>10.736550000000001</v>
      </c>
      <c r="Q22" s="16">
        <f>$E45</f>
        <v>10.736550000000001</v>
      </c>
      <c r="R22" s="16">
        <f>$E46</f>
        <v>10.736550000000001</v>
      </c>
      <c r="S22" s="16">
        <f>$E47</f>
        <v>10.736550000000001</v>
      </c>
      <c r="T22" s="16">
        <f>$E48</f>
        <v>10.736550000000001</v>
      </c>
      <c r="U22" s="16">
        <f>$E49</f>
        <v>10.736550000000001</v>
      </c>
      <c r="V22" s="16">
        <f>$E50</f>
        <v>10.736550000000001</v>
      </c>
      <c r="AI22" s="63" t="s">
        <v>102</v>
      </c>
      <c r="AJ22" s="64">
        <v>1.2</v>
      </c>
      <c r="AK22" s="65">
        <v>5</v>
      </c>
      <c r="AL22" s="29">
        <v>20</v>
      </c>
      <c r="AM22" s="11">
        <v>6.7</v>
      </c>
      <c r="AN22" s="11" t="s">
        <v>135</v>
      </c>
    </row>
    <row r="23" spans="1:40" x14ac:dyDescent="0.2">
      <c r="A23" s="124" t="s">
        <v>92</v>
      </c>
      <c r="B23" s="125"/>
      <c r="C23" s="16">
        <f>C22-C21</f>
        <v>-217.26345000000001</v>
      </c>
      <c r="D23" s="16">
        <f t="shared" ref="D23:V23" si="3">D22-D21</f>
        <v>-217.26345000000001</v>
      </c>
      <c r="E23" s="16">
        <f t="shared" si="3"/>
        <v>-217.26345000000001</v>
      </c>
      <c r="F23" s="16">
        <f t="shared" si="3"/>
        <v>-217.26345000000001</v>
      </c>
      <c r="G23" s="16">
        <f t="shared" si="3"/>
        <v>-217.26345000000001</v>
      </c>
      <c r="H23" s="16">
        <f t="shared" si="3"/>
        <v>-217.26345000000001</v>
      </c>
      <c r="I23" s="16">
        <f t="shared" si="3"/>
        <v>-217.26345000000001</v>
      </c>
      <c r="J23" s="16">
        <f t="shared" si="3"/>
        <v>-217.26345000000001</v>
      </c>
      <c r="K23" s="16">
        <f t="shared" si="3"/>
        <v>-217.26345000000001</v>
      </c>
      <c r="L23" s="16">
        <f t="shared" si="3"/>
        <v>-217.26345000000001</v>
      </c>
      <c r="M23" s="16">
        <f t="shared" si="3"/>
        <v>-217.26345000000001</v>
      </c>
      <c r="N23" s="16">
        <f t="shared" si="3"/>
        <v>-217.26345000000001</v>
      </c>
      <c r="O23" s="16">
        <f t="shared" si="3"/>
        <v>-217.26345000000001</v>
      </c>
      <c r="P23" s="16">
        <f t="shared" si="3"/>
        <v>-217.26345000000001</v>
      </c>
      <c r="Q23" s="16">
        <f t="shared" si="3"/>
        <v>-217.26345000000001</v>
      </c>
      <c r="R23" s="16">
        <f t="shared" si="3"/>
        <v>-217.26345000000001</v>
      </c>
      <c r="S23" s="16">
        <f t="shared" si="3"/>
        <v>-217.26345000000001</v>
      </c>
      <c r="T23" s="16">
        <f t="shared" si="3"/>
        <v>-217.26345000000001</v>
      </c>
      <c r="U23" s="16">
        <f t="shared" si="3"/>
        <v>-217.26345000000001</v>
      </c>
      <c r="V23" s="16">
        <f t="shared" si="3"/>
        <v>-217.26345000000001</v>
      </c>
      <c r="AI23" s="63" t="s">
        <v>98</v>
      </c>
      <c r="AJ23" s="66">
        <v>9</v>
      </c>
      <c r="AK23" s="65">
        <v>10</v>
      </c>
      <c r="AL23" s="29">
        <v>21</v>
      </c>
      <c r="AM23" s="11">
        <v>6.7</v>
      </c>
      <c r="AN23" s="11" t="s">
        <v>135</v>
      </c>
    </row>
    <row r="24" spans="1:40" ht="13.5" thickBot="1" x14ac:dyDescent="0.25">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str">
        <f t="shared" si="4"/>
        <v>DECREASE</v>
      </c>
      <c r="T24" s="26" t="str">
        <f t="shared" si="4"/>
        <v>DECREASE</v>
      </c>
      <c r="U24" s="26" t="str">
        <f t="shared" si="4"/>
        <v>DECREASE</v>
      </c>
      <c r="V24" s="26" t="str">
        <f t="shared" si="4"/>
        <v>DECREASE</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25">
      <c r="A28" s="108"/>
      <c r="B28" s="24">
        <v>1.55</v>
      </c>
      <c r="C28" s="15">
        <v>7.0000000000000007E-2</v>
      </c>
      <c r="D28" s="15">
        <v>209</v>
      </c>
      <c r="E28" s="15">
        <v>67.5</v>
      </c>
      <c r="F28" s="15">
        <v>25.3</v>
      </c>
      <c r="G28" s="15">
        <v>0.47</v>
      </c>
      <c r="H28" s="15">
        <v>7.09</v>
      </c>
      <c r="I28" s="15">
        <v>0.5</v>
      </c>
      <c r="J28" s="15">
        <v>0.01</v>
      </c>
      <c r="K28" s="23">
        <v>0.05</v>
      </c>
      <c r="L28" s="15">
        <v>0.23</v>
      </c>
      <c r="M28" s="15">
        <v>2</v>
      </c>
      <c r="N28" s="15"/>
      <c r="O28" s="15"/>
      <c r="P28" s="15">
        <v>2819</v>
      </c>
      <c r="Q28" s="15">
        <v>1275</v>
      </c>
      <c r="R28" s="15"/>
      <c r="S28" s="15"/>
      <c r="T28" s="15"/>
      <c r="U28" s="15"/>
    </row>
    <row r="29" spans="1:40" s="7" customFormat="1" ht="27" x14ac:dyDescent="0.2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5905</v>
      </c>
      <c r="B31" s="15">
        <v>132</v>
      </c>
      <c r="C31" s="77">
        <f>IF(C$27="%w/w SAR",((C$28*10)*$B31),IF(C$27="%w/w DM",(((C$28*10)*($B$28/100))*$B31),IF(C$27="kg/t SAR",(C$28*$B31),IF(C$27="kg/t DM",((C$28*($B$28/100))*$B31),IF(C$27="mg/kg SAR",((C$28*0.001)*$B31),IF(C$27="mg/kg DM",(((C$28*0.001)*($B$28/100))*$B31),0))))))</f>
        <v>92.4</v>
      </c>
      <c r="D31" s="77">
        <f>(IF(D$27="%w/w SAR",((D$28*10)*$B31),IF(D$27="%w/w DM",(((D$28*10)*($B$28/100))*$B31),IF(D$27="kg/t SAR",(D$28*$B31),IF(D$27="kg/t DM",((D$28*($B$28/100))*$B31),IF(D$27="mg/kg SAR",((D$28*0.001)*$B31),IF(D$27="mg/kg DM",(((D$28*0.001)*($B$28/100))*$B31),"0")))))))*2.291</f>
        <v>63.204107999999991</v>
      </c>
      <c r="E31" s="77">
        <f>(IF(E$27="%w/w SAR",((E$28*10)*$B31),IF(E$27="%w/w DM",(((E$28*10)*($B$28/100))*$B31),IF(E$27="kg/t SAR",(E$28*$B31),IF(E$27="kg/t DM",((E$28*($B$28/100))*$B31),IF(E$27="mg/kg SAR",((E$28*0.001)*$B31),IF(E$27="mg/kg DM",(((E$28*0.001)*($B$28/100))*$B31),"0")))))))*1.205</f>
        <v>10.736550000000001</v>
      </c>
      <c r="F31" s="77">
        <f>(IF(F$27="%w/w SAR",((F$28*10)*$B31),IF(F$27="%w/w DM",(((F$28*10)*($B$28/100))*$B31),IF(F$27="kg/t SAR",(F$28*$B31),IF(F$27="kg/t DM",((F$28*($B$28/100))*$B31),IF(F$27="mg/kg SAR",((F$28*0.001)*$B31),IF(F$27="mg/kg DM",(((F$28*0.001)*($B$28/100))*$B31),"0")))))))*1.658</f>
        <v>5.5370567999999993</v>
      </c>
      <c r="G31" s="77">
        <f t="shared" ref="G31:P46" si="5">IF(G$27="%w/w SAR",((G$28*10)*$B31),IF(G$27="%w/w DM",(((G$28*10)*($B$28/100))*$B31),IF(G$27="kg/t SAR",(G$28*$B31),IF(G$27="kg/t DM",((G$28*($B$28/100))*$B31),IF(G$27="mg/kg SAR",((G$28*0.001)*$B31),IF(G$27="mg/kg DM",(((G$28*0.001)*($B$28/100))*$B31),0))))))</f>
        <v>6.2039999999999998E-2</v>
      </c>
      <c r="H31" s="77">
        <f t="shared" si="5"/>
        <v>0.93588000000000005</v>
      </c>
      <c r="I31" s="77">
        <f t="shared" si="5"/>
        <v>6.6000000000000003E-2</v>
      </c>
      <c r="J31" s="77">
        <f t="shared" si="5"/>
        <v>1.3200000000000002E-3</v>
      </c>
      <c r="K31" s="77">
        <f t="shared" si="5"/>
        <v>6.6E-3</v>
      </c>
      <c r="L31" s="77">
        <f t="shared" si="5"/>
        <v>3.0360000000000002E-2</v>
      </c>
      <c r="M31" s="77">
        <f t="shared" si="5"/>
        <v>0.26400000000000001</v>
      </c>
      <c r="N31" s="77">
        <f t="shared" si="5"/>
        <v>0</v>
      </c>
      <c r="O31" s="77">
        <f t="shared" si="5"/>
        <v>0</v>
      </c>
      <c r="P31" s="77">
        <f t="shared" si="5"/>
        <v>372.108</v>
      </c>
      <c r="Q31" s="77">
        <f>(IF(Q$27="%w/w SAR",((Q$28*10)*$B31),IF(Q$27="%w/w DM",(((Q$28*10)*($B$28/100))*$B31),IF(Q$27="kg/t SAR",(Q$28*$B31),IF(Q$27="kg/t DM",((Q$28*($B$28/100))*$B31),IF(Q$27="mg/kg SAR",((Q$28*0.001)*$B31),IF(Q$27="mg/kg DM",(((Q$28*0.001)*($B$28/100))*$B31),0)))))))*2.5</f>
        <v>420.75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4279</v>
      </c>
      <c r="B32" s="15">
        <v>132</v>
      </c>
      <c r="C32" s="77">
        <f t="shared" ref="C32:C50" si="6">IF(C$27="%w/w SAR",((C$28*10)*$B32),IF(C$27="%w/w DM",(((C$28*10)*($B$28/100))*$B32),IF(C$27="kg/t SAR",(C$28*$B32),IF(C$27="kg/t DM",((C$28*($B$28/100))*$B32),IF(C$27="mg/kg SAR",((C$28*0.001)*$B32),IF(C$27="mg/kg DM",(((C$28*0.001)*($B$28/100))*$B32),0))))))</f>
        <v>92.4</v>
      </c>
      <c r="D32" s="77">
        <f t="shared" ref="D32:D50" si="7">(IF(D$27="%w/w SAR",((D$28*10)*$B32),IF(D$27="%w/w DM",(((D$28*10)*($B$28/100))*$B32),IF(D$27="kg/t SAR",(D$28*$B32),IF(D$27="kg/t DM",((D$28*($B$28/100))*$B32),IF(D$27="mg/kg SAR",((D$28*0.001)*$B32),IF(D$27="mg/kg DM",(((D$28*0.001)*($B$28/100))*$B32),"0")))))))*2.291</f>
        <v>63.204107999999991</v>
      </c>
      <c r="E32" s="77">
        <f t="shared" ref="E32:E50" si="8">(IF(E$27="%w/w SAR",((E$28*10)*$B32),IF(E$27="%w/w DM",(((E$28*10)*($B$28/100))*$B32),IF(E$27="kg/t SAR",(E$28*$B32),IF(E$27="kg/t DM",((E$28*($B$28/100))*$B32),IF(E$27="mg/kg SAR",((E$28*0.001)*$B32),IF(E$27="mg/kg DM",(((E$28*0.001)*($B$28/100))*$B32),"0")))))))*1.205</f>
        <v>10.736550000000001</v>
      </c>
      <c r="F32" s="77">
        <f t="shared" ref="F32:F50" si="9">(IF(F$27="%w/w SAR",((F$28*10)*$B32),IF(F$27="%w/w DM",(((F$28*10)*($B$28/100))*$B32),IF(F$27="kg/t SAR",(F$28*$B32),IF(F$27="kg/t DM",((F$28*($B$28/100))*$B32),IF(F$27="mg/kg SAR",((F$28*0.001)*$B32),IF(F$27="mg/kg DM",(((F$28*0.001)*($B$28/100))*$B32),"0")))))))*1.658</f>
        <v>5.5370567999999993</v>
      </c>
      <c r="G32" s="77">
        <f t="shared" si="5"/>
        <v>6.2039999999999998E-2</v>
      </c>
      <c r="H32" s="77">
        <f t="shared" si="5"/>
        <v>0.93588000000000005</v>
      </c>
      <c r="I32" s="77">
        <f t="shared" si="5"/>
        <v>6.6000000000000003E-2</v>
      </c>
      <c r="J32" s="77">
        <f t="shared" si="5"/>
        <v>1.3200000000000002E-3</v>
      </c>
      <c r="K32" s="77">
        <f t="shared" si="5"/>
        <v>6.6E-3</v>
      </c>
      <c r="L32" s="77">
        <f t="shared" si="5"/>
        <v>3.0360000000000002E-2</v>
      </c>
      <c r="M32" s="77">
        <f t="shared" si="5"/>
        <v>0.26400000000000001</v>
      </c>
      <c r="N32" s="77">
        <f t="shared" si="5"/>
        <v>0</v>
      </c>
      <c r="O32" s="77">
        <f t="shared" si="5"/>
        <v>0</v>
      </c>
      <c r="P32" s="77">
        <f t="shared" si="5"/>
        <v>372.108</v>
      </c>
      <c r="Q32" s="77">
        <f t="shared" ref="Q32:Q50" si="10">(IF(Q$27="%w/w SAR",((Q$28*10)*$B32),IF(Q$27="%w/w DM",(((Q$28*10)*($B$28/100))*$B32),IF(Q$27="kg/t SAR",(Q$28*$B32),IF(Q$27="kg/t DM",((Q$28*($B$28/100))*$B32),IF(Q$27="mg/kg SAR",((Q$28*0.001)*$B32),IF(Q$27="mg/kg DM",(((Q$28*0.001)*($B$28/100))*$B32),0)))))))*2.5</f>
        <v>420.75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7605</v>
      </c>
      <c r="B33" s="15">
        <v>132</v>
      </c>
      <c r="C33" s="77">
        <f t="shared" si="6"/>
        <v>92.4</v>
      </c>
      <c r="D33" s="77">
        <f t="shared" si="7"/>
        <v>63.204107999999991</v>
      </c>
      <c r="E33" s="77">
        <f t="shared" si="8"/>
        <v>10.736550000000001</v>
      </c>
      <c r="F33" s="77">
        <f t="shared" si="9"/>
        <v>5.5370567999999993</v>
      </c>
      <c r="G33" s="77">
        <f t="shared" si="5"/>
        <v>6.2039999999999998E-2</v>
      </c>
      <c r="H33" s="77">
        <f t="shared" si="5"/>
        <v>0.93588000000000005</v>
      </c>
      <c r="I33" s="77">
        <f t="shared" si="5"/>
        <v>6.6000000000000003E-2</v>
      </c>
      <c r="J33" s="77">
        <f t="shared" si="5"/>
        <v>1.3200000000000002E-3</v>
      </c>
      <c r="K33" s="77">
        <f t="shared" si="5"/>
        <v>6.6E-3</v>
      </c>
      <c r="L33" s="77">
        <f t="shared" si="5"/>
        <v>3.0360000000000002E-2</v>
      </c>
      <c r="M33" s="77">
        <f t="shared" si="5"/>
        <v>0.26400000000000001</v>
      </c>
      <c r="N33" s="77">
        <f t="shared" si="5"/>
        <v>0</v>
      </c>
      <c r="O33" s="77">
        <f t="shared" si="5"/>
        <v>0</v>
      </c>
      <c r="P33" s="77">
        <f t="shared" si="5"/>
        <v>372.108</v>
      </c>
      <c r="Q33" s="77">
        <f t="shared" si="10"/>
        <v>420.75</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3851</v>
      </c>
      <c r="B34" s="15">
        <v>132</v>
      </c>
      <c r="C34" s="77">
        <f t="shared" si="6"/>
        <v>92.4</v>
      </c>
      <c r="D34" s="77">
        <f t="shared" si="7"/>
        <v>63.204107999999991</v>
      </c>
      <c r="E34" s="77">
        <f t="shared" si="8"/>
        <v>10.736550000000001</v>
      </c>
      <c r="F34" s="77">
        <f t="shared" si="9"/>
        <v>5.5370567999999993</v>
      </c>
      <c r="G34" s="77">
        <f t="shared" si="5"/>
        <v>6.2039999999999998E-2</v>
      </c>
      <c r="H34" s="77">
        <f t="shared" si="5"/>
        <v>0.93588000000000005</v>
      </c>
      <c r="I34" s="77">
        <f t="shared" si="5"/>
        <v>6.6000000000000003E-2</v>
      </c>
      <c r="J34" s="77">
        <f t="shared" si="5"/>
        <v>1.3200000000000002E-3</v>
      </c>
      <c r="K34" s="77">
        <f t="shared" si="5"/>
        <v>6.6E-3</v>
      </c>
      <c r="L34" s="77">
        <f t="shared" si="5"/>
        <v>3.0360000000000002E-2</v>
      </c>
      <c r="M34" s="77">
        <f t="shared" si="5"/>
        <v>0.26400000000000001</v>
      </c>
      <c r="N34" s="77">
        <f t="shared" si="5"/>
        <v>0</v>
      </c>
      <c r="O34" s="77">
        <f t="shared" si="5"/>
        <v>0</v>
      </c>
      <c r="P34" s="77">
        <f t="shared" si="5"/>
        <v>372.108</v>
      </c>
      <c r="Q34" s="77">
        <f t="shared" si="10"/>
        <v>420.75</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6418</v>
      </c>
      <c r="B35" s="15">
        <v>132</v>
      </c>
      <c r="C35" s="77">
        <f t="shared" si="6"/>
        <v>92.4</v>
      </c>
      <c r="D35" s="77">
        <f t="shared" si="7"/>
        <v>63.204107999999991</v>
      </c>
      <c r="E35" s="77">
        <f t="shared" si="8"/>
        <v>10.736550000000001</v>
      </c>
      <c r="F35" s="77">
        <f t="shared" si="9"/>
        <v>5.5370567999999993</v>
      </c>
      <c r="G35" s="77">
        <f t="shared" si="5"/>
        <v>6.2039999999999998E-2</v>
      </c>
      <c r="H35" s="77">
        <f t="shared" si="5"/>
        <v>0.93588000000000005</v>
      </c>
      <c r="I35" s="77">
        <f t="shared" si="5"/>
        <v>6.6000000000000003E-2</v>
      </c>
      <c r="J35" s="77">
        <f t="shared" si="5"/>
        <v>1.3200000000000002E-3</v>
      </c>
      <c r="K35" s="77">
        <f t="shared" si="5"/>
        <v>6.6E-3</v>
      </c>
      <c r="L35" s="77">
        <f t="shared" si="5"/>
        <v>3.0360000000000002E-2</v>
      </c>
      <c r="M35" s="77">
        <f t="shared" si="5"/>
        <v>0.26400000000000001</v>
      </c>
      <c r="N35" s="77">
        <f t="shared" si="5"/>
        <v>0</v>
      </c>
      <c r="O35" s="77">
        <f t="shared" si="5"/>
        <v>0</v>
      </c>
      <c r="P35" s="77">
        <f t="shared" si="5"/>
        <v>372.108</v>
      </c>
      <c r="Q35" s="77">
        <f t="shared" si="10"/>
        <v>420.75</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1843</v>
      </c>
      <c r="B36" s="15">
        <v>132</v>
      </c>
      <c r="C36" s="77">
        <f t="shared" si="6"/>
        <v>92.4</v>
      </c>
      <c r="D36" s="77">
        <f t="shared" si="7"/>
        <v>63.204107999999991</v>
      </c>
      <c r="E36" s="77">
        <f t="shared" si="8"/>
        <v>10.736550000000001</v>
      </c>
      <c r="F36" s="77">
        <f t="shared" si="9"/>
        <v>5.5370567999999993</v>
      </c>
      <c r="G36" s="77">
        <f t="shared" si="5"/>
        <v>6.2039999999999998E-2</v>
      </c>
      <c r="H36" s="77">
        <f t="shared" si="5"/>
        <v>0.93588000000000005</v>
      </c>
      <c r="I36" s="77">
        <f t="shared" si="5"/>
        <v>6.6000000000000003E-2</v>
      </c>
      <c r="J36" s="77">
        <f t="shared" si="5"/>
        <v>1.3200000000000002E-3</v>
      </c>
      <c r="K36" s="77">
        <f t="shared" si="5"/>
        <v>6.6E-3</v>
      </c>
      <c r="L36" s="77">
        <f t="shared" si="5"/>
        <v>3.0360000000000002E-2</v>
      </c>
      <c r="M36" s="77">
        <f t="shared" si="5"/>
        <v>0.26400000000000001</v>
      </c>
      <c r="N36" s="77">
        <f t="shared" si="5"/>
        <v>0</v>
      </c>
      <c r="O36" s="77">
        <f t="shared" si="5"/>
        <v>0</v>
      </c>
      <c r="P36" s="77">
        <f t="shared" si="5"/>
        <v>372.108</v>
      </c>
      <c r="Q36" s="77">
        <f t="shared" si="10"/>
        <v>420.75</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5974</v>
      </c>
      <c r="B37" s="15">
        <v>132</v>
      </c>
      <c r="C37" s="77">
        <f t="shared" si="6"/>
        <v>92.4</v>
      </c>
      <c r="D37" s="77">
        <f t="shared" si="7"/>
        <v>63.204107999999991</v>
      </c>
      <c r="E37" s="77">
        <f t="shared" si="8"/>
        <v>10.736550000000001</v>
      </c>
      <c r="F37" s="77">
        <f t="shared" si="9"/>
        <v>5.5370567999999993</v>
      </c>
      <c r="G37" s="77">
        <f t="shared" si="5"/>
        <v>6.2039999999999998E-2</v>
      </c>
      <c r="H37" s="77">
        <f t="shared" si="5"/>
        <v>0.93588000000000005</v>
      </c>
      <c r="I37" s="77">
        <f t="shared" si="5"/>
        <v>6.6000000000000003E-2</v>
      </c>
      <c r="J37" s="77">
        <f t="shared" si="5"/>
        <v>1.3200000000000002E-3</v>
      </c>
      <c r="K37" s="77">
        <f t="shared" si="5"/>
        <v>6.6E-3</v>
      </c>
      <c r="L37" s="77">
        <f t="shared" si="5"/>
        <v>3.0360000000000002E-2</v>
      </c>
      <c r="M37" s="77">
        <f t="shared" si="5"/>
        <v>0.26400000000000001</v>
      </c>
      <c r="N37" s="77">
        <f t="shared" si="5"/>
        <v>0</v>
      </c>
      <c r="O37" s="77">
        <f t="shared" si="5"/>
        <v>0</v>
      </c>
      <c r="P37" s="77">
        <f t="shared" si="5"/>
        <v>372.108</v>
      </c>
      <c r="Q37" s="77">
        <f t="shared" si="10"/>
        <v>420.75</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5490</v>
      </c>
      <c r="B38" s="15">
        <v>132</v>
      </c>
      <c r="C38" s="77">
        <f t="shared" si="6"/>
        <v>92.4</v>
      </c>
      <c r="D38" s="77">
        <f t="shared" si="7"/>
        <v>63.204107999999991</v>
      </c>
      <c r="E38" s="77">
        <f t="shared" si="8"/>
        <v>10.736550000000001</v>
      </c>
      <c r="F38" s="77">
        <f t="shared" si="9"/>
        <v>5.5370567999999993</v>
      </c>
      <c r="G38" s="77">
        <f t="shared" si="5"/>
        <v>6.2039999999999998E-2</v>
      </c>
      <c r="H38" s="77">
        <f t="shared" si="5"/>
        <v>0.93588000000000005</v>
      </c>
      <c r="I38" s="77">
        <f t="shared" si="5"/>
        <v>6.6000000000000003E-2</v>
      </c>
      <c r="J38" s="77">
        <f t="shared" si="5"/>
        <v>1.3200000000000002E-3</v>
      </c>
      <c r="K38" s="77">
        <f t="shared" si="5"/>
        <v>6.6E-3</v>
      </c>
      <c r="L38" s="77">
        <f t="shared" si="5"/>
        <v>3.0360000000000002E-2</v>
      </c>
      <c r="M38" s="77">
        <f t="shared" si="5"/>
        <v>0.26400000000000001</v>
      </c>
      <c r="N38" s="77">
        <f t="shared" si="5"/>
        <v>0</v>
      </c>
      <c r="O38" s="77">
        <f t="shared" si="5"/>
        <v>0</v>
      </c>
      <c r="P38" s="77">
        <f t="shared" si="5"/>
        <v>372.108</v>
      </c>
      <c r="Q38" s="77">
        <f t="shared" si="10"/>
        <v>420.75</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2565</v>
      </c>
      <c r="B39" s="15">
        <v>132</v>
      </c>
      <c r="C39" s="77">
        <f t="shared" si="6"/>
        <v>92.4</v>
      </c>
      <c r="D39" s="77">
        <f t="shared" si="7"/>
        <v>63.204107999999991</v>
      </c>
      <c r="E39" s="77">
        <f t="shared" si="8"/>
        <v>10.736550000000001</v>
      </c>
      <c r="F39" s="77">
        <f t="shared" si="9"/>
        <v>5.5370567999999993</v>
      </c>
      <c r="G39" s="77">
        <f t="shared" si="5"/>
        <v>6.2039999999999998E-2</v>
      </c>
      <c r="H39" s="77">
        <f t="shared" si="5"/>
        <v>0.93588000000000005</v>
      </c>
      <c r="I39" s="77">
        <f t="shared" si="5"/>
        <v>6.6000000000000003E-2</v>
      </c>
      <c r="J39" s="77">
        <f t="shared" si="5"/>
        <v>1.3200000000000002E-3</v>
      </c>
      <c r="K39" s="77">
        <f t="shared" si="5"/>
        <v>6.6E-3</v>
      </c>
      <c r="L39" s="77">
        <f t="shared" si="5"/>
        <v>3.0360000000000002E-2</v>
      </c>
      <c r="M39" s="77">
        <f t="shared" si="5"/>
        <v>0.26400000000000001</v>
      </c>
      <c r="N39" s="77">
        <f t="shared" si="5"/>
        <v>0</v>
      </c>
      <c r="O39" s="77">
        <f t="shared" si="5"/>
        <v>0</v>
      </c>
      <c r="P39" s="77">
        <f t="shared" si="5"/>
        <v>372.108</v>
      </c>
      <c r="Q39" s="77">
        <f t="shared" si="10"/>
        <v>420.75</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7887</v>
      </c>
      <c r="B40" s="15">
        <v>132</v>
      </c>
      <c r="C40" s="77">
        <f t="shared" si="6"/>
        <v>92.4</v>
      </c>
      <c r="D40" s="77">
        <f t="shared" si="7"/>
        <v>63.204107999999991</v>
      </c>
      <c r="E40" s="77">
        <f t="shared" si="8"/>
        <v>10.736550000000001</v>
      </c>
      <c r="F40" s="77">
        <f t="shared" si="9"/>
        <v>5.5370567999999993</v>
      </c>
      <c r="G40" s="77">
        <f t="shared" si="5"/>
        <v>6.2039999999999998E-2</v>
      </c>
      <c r="H40" s="77">
        <f t="shared" si="5"/>
        <v>0.93588000000000005</v>
      </c>
      <c r="I40" s="77">
        <f t="shared" si="5"/>
        <v>6.6000000000000003E-2</v>
      </c>
      <c r="J40" s="77">
        <f t="shared" si="5"/>
        <v>1.3200000000000002E-3</v>
      </c>
      <c r="K40" s="77">
        <f t="shared" si="5"/>
        <v>6.6E-3</v>
      </c>
      <c r="L40" s="77">
        <f t="shared" si="5"/>
        <v>3.0360000000000002E-2</v>
      </c>
      <c r="M40" s="77">
        <f t="shared" si="5"/>
        <v>0.26400000000000001</v>
      </c>
      <c r="N40" s="77">
        <f t="shared" si="5"/>
        <v>0</v>
      </c>
      <c r="O40" s="77">
        <f t="shared" si="5"/>
        <v>0</v>
      </c>
      <c r="P40" s="77">
        <f t="shared" si="5"/>
        <v>372.108</v>
      </c>
      <c r="Q40" s="77">
        <f t="shared" si="10"/>
        <v>420.75</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2946</v>
      </c>
      <c r="B41" s="15">
        <v>132</v>
      </c>
      <c r="C41" s="77">
        <f t="shared" si="6"/>
        <v>92.4</v>
      </c>
      <c r="D41" s="77">
        <f t="shared" si="7"/>
        <v>63.204107999999991</v>
      </c>
      <c r="E41" s="77">
        <f t="shared" si="8"/>
        <v>10.736550000000001</v>
      </c>
      <c r="F41" s="77">
        <f t="shared" si="9"/>
        <v>5.5370567999999993</v>
      </c>
      <c r="G41" s="77">
        <f t="shared" si="5"/>
        <v>6.2039999999999998E-2</v>
      </c>
      <c r="H41" s="77">
        <f t="shared" si="5"/>
        <v>0.93588000000000005</v>
      </c>
      <c r="I41" s="77">
        <f t="shared" si="5"/>
        <v>6.6000000000000003E-2</v>
      </c>
      <c r="J41" s="77">
        <f t="shared" si="5"/>
        <v>1.3200000000000002E-3</v>
      </c>
      <c r="K41" s="77">
        <f t="shared" si="5"/>
        <v>6.6E-3</v>
      </c>
      <c r="L41" s="77">
        <f t="shared" si="5"/>
        <v>3.0360000000000002E-2</v>
      </c>
      <c r="M41" s="77">
        <f t="shared" si="5"/>
        <v>0.26400000000000001</v>
      </c>
      <c r="N41" s="77">
        <f t="shared" si="5"/>
        <v>0</v>
      </c>
      <c r="O41" s="77">
        <f t="shared" si="5"/>
        <v>0</v>
      </c>
      <c r="P41" s="77">
        <f t="shared" si="5"/>
        <v>372.108</v>
      </c>
      <c r="Q41" s="77">
        <f t="shared" si="10"/>
        <v>420.75</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2881</v>
      </c>
      <c r="B42" s="15">
        <v>132</v>
      </c>
      <c r="C42" s="77">
        <f t="shared" si="6"/>
        <v>92.4</v>
      </c>
      <c r="D42" s="77">
        <f t="shared" si="7"/>
        <v>63.204107999999991</v>
      </c>
      <c r="E42" s="77">
        <f t="shared" si="8"/>
        <v>10.736550000000001</v>
      </c>
      <c r="F42" s="77">
        <f t="shared" si="9"/>
        <v>5.5370567999999993</v>
      </c>
      <c r="G42" s="77">
        <f t="shared" si="5"/>
        <v>6.2039999999999998E-2</v>
      </c>
      <c r="H42" s="77">
        <f t="shared" si="5"/>
        <v>0.93588000000000005</v>
      </c>
      <c r="I42" s="77">
        <f t="shared" si="5"/>
        <v>6.6000000000000003E-2</v>
      </c>
      <c r="J42" s="77">
        <f t="shared" si="5"/>
        <v>1.3200000000000002E-3</v>
      </c>
      <c r="K42" s="77">
        <f t="shared" si="5"/>
        <v>6.6E-3</v>
      </c>
      <c r="L42" s="77">
        <f t="shared" si="5"/>
        <v>3.0360000000000002E-2</v>
      </c>
      <c r="M42" s="77">
        <f t="shared" si="5"/>
        <v>0.26400000000000001</v>
      </c>
      <c r="N42" s="77">
        <f t="shared" si="5"/>
        <v>0</v>
      </c>
      <c r="O42" s="77">
        <f t="shared" si="5"/>
        <v>0</v>
      </c>
      <c r="P42" s="77">
        <f t="shared" si="5"/>
        <v>372.108</v>
      </c>
      <c r="Q42" s="77">
        <f t="shared" si="10"/>
        <v>420.75</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3398</v>
      </c>
      <c r="B43" s="15">
        <v>132</v>
      </c>
      <c r="C43" s="77">
        <f t="shared" si="6"/>
        <v>92.4</v>
      </c>
      <c r="D43" s="77">
        <f t="shared" si="7"/>
        <v>63.204107999999991</v>
      </c>
      <c r="E43" s="77">
        <f t="shared" si="8"/>
        <v>10.736550000000001</v>
      </c>
      <c r="F43" s="77">
        <f t="shared" si="9"/>
        <v>5.5370567999999993</v>
      </c>
      <c r="G43" s="77">
        <f t="shared" si="5"/>
        <v>6.2039999999999998E-2</v>
      </c>
      <c r="H43" s="77">
        <f t="shared" si="5"/>
        <v>0.93588000000000005</v>
      </c>
      <c r="I43" s="77">
        <f t="shared" si="5"/>
        <v>6.6000000000000003E-2</v>
      </c>
      <c r="J43" s="77">
        <f t="shared" si="5"/>
        <v>1.3200000000000002E-3</v>
      </c>
      <c r="K43" s="77">
        <f t="shared" si="5"/>
        <v>6.6E-3</v>
      </c>
      <c r="L43" s="77">
        <f t="shared" si="5"/>
        <v>3.0360000000000002E-2</v>
      </c>
      <c r="M43" s="77">
        <f t="shared" si="5"/>
        <v>0.26400000000000001</v>
      </c>
      <c r="N43" s="77">
        <f t="shared" si="5"/>
        <v>0</v>
      </c>
      <c r="O43" s="77">
        <f t="shared" si="5"/>
        <v>0</v>
      </c>
      <c r="P43" s="77">
        <f t="shared" si="5"/>
        <v>372.108</v>
      </c>
      <c r="Q43" s="77">
        <f t="shared" si="10"/>
        <v>420.75</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5694</v>
      </c>
      <c r="B44" s="15">
        <v>132</v>
      </c>
      <c r="C44" s="77">
        <f t="shared" si="6"/>
        <v>92.4</v>
      </c>
      <c r="D44" s="77">
        <f t="shared" si="7"/>
        <v>63.204107999999991</v>
      </c>
      <c r="E44" s="77">
        <f t="shared" si="8"/>
        <v>10.736550000000001</v>
      </c>
      <c r="F44" s="77">
        <f t="shared" si="9"/>
        <v>5.5370567999999993</v>
      </c>
      <c r="G44" s="77">
        <f t="shared" si="5"/>
        <v>6.2039999999999998E-2</v>
      </c>
      <c r="H44" s="77">
        <f t="shared" si="5"/>
        <v>0.93588000000000005</v>
      </c>
      <c r="I44" s="77">
        <f t="shared" si="5"/>
        <v>6.6000000000000003E-2</v>
      </c>
      <c r="J44" s="77">
        <f t="shared" si="5"/>
        <v>1.3200000000000002E-3</v>
      </c>
      <c r="K44" s="77">
        <f t="shared" si="5"/>
        <v>6.6E-3</v>
      </c>
      <c r="L44" s="77">
        <f t="shared" si="5"/>
        <v>3.0360000000000002E-2</v>
      </c>
      <c r="M44" s="77">
        <f t="shared" si="5"/>
        <v>0.26400000000000001</v>
      </c>
      <c r="N44" s="77">
        <f t="shared" si="5"/>
        <v>0</v>
      </c>
      <c r="O44" s="77">
        <f t="shared" si="5"/>
        <v>0</v>
      </c>
      <c r="P44" s="77">
        <f t="shared" si="5"/>
        <v>372.108</v>
      </c>
      <c r="Q44" s="77">
        <f t="shared" si="10"/>
        <v>420.75</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2991</v>
      </c>
      <c r="B45" s="15">
        <v>132</v>
      </c>
      <c r="C45" s="77">
        <f t="shared" si="6"/>
        <v>92.4</v>
      </c>
      <c r="D45" s="77">
        <f t="shared" si="7"/>
        <v>63.204107999999991</v>
      </c>
      <c r="E45" s="77">
        <f t="shared" si="8"/>
        <v>10.736550000000001</v>
      </c>
      <c r="F45" s="77">
        <f t="shared" si="9"/>
        <v>5.5370567999999993</v>
      </c>
      <c r="G45" s="77">
        <f t="shared" si="5"/>
        <v>6.2039999999999998E-2</v>
      </c>
      <c r="H45" s="77">
        <f t="shared" si="5"/>
        <v>0.93588000000000005</v>
      </c>
      <c r="I45" s="77">
        <f t="shared" si="5"/>
        <v>6.6000000000000003E-2</v>
      </c>
      <c r="J45" s="77">
        <f t="shared" si="5"/>
        <v>1.3200000000000002E-3</v>
      </c>
      <c r="K45" s="77">
        <f t="shared" si="5"/>
        <v>6.6E-3</v>
      </c>
      <c r="L45" s="77">
        <f t="shared" si="5"/>
        <v>3.0360000000000002E-2</v>
      </c>
      <c r="M45" s="77">
        <f t="shared" si="5"/>
        <v>0.26400000000000001</v>
      </c>
      <c r="N45" s="77">
        <f t="shared" si="5"/>
        <v>0</v>
      </c>
      <c r="O45" s="77">
        <f t="shared" si="5"/>
        <v>0</v>
      </c>
      <c r="P45" s="77">
        <f t="shared" si="5"/>
        <v>372.108</v>
      </c>
      <c r="Q45" s="77">
        <f t="shared" si="10"/>
        <v>420.75</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3799</v>
      </c>
      <c r="B46" s="15">
        <v>132</v>
      </c>
      <c r="C46" s="77">
        <f t="shared" si="6"/>
        <v>92.4</v>
      </c>
      <c r="D46" s="77">
        <f t="shared" si="7"/>
        <v>63.204107999999991</v>
      </c>
      <c r="E46" s="77">
        <f t="shared" si="8"/>
        <v>10.736550000000001</v>
      </c>
      <c r="F46" s="77">
        <f t="shared" si="9"/>
        <v>5.5370567999999993</v>
      </c>
      <c r="G46" s="77">
        <f t="shared" si="5"/>
        <v>6.2039999999999998E-2</v>
      </c>
      <c r="H46" s="77">
        <f t="shared" si="5"/>
        <v>0.93588000000000005</v>
      </c>
      <c r="I46" s="77">
        <f t="shared" si="5"/>
        <v>6.6000000000000003E-2</v>
      </c>
      <c r="J46" s="77">
        <f t="shared" si="5"/>
        <v>1.3200000000000002E-3</v>
      </c>
      <c r="K46" s="77">
        <f t="shared" si="5"/>
        <v>6.6E-3</v>
      </c>
      <c r="L46" s="77">
        <f t="shared" si="5"/>
        <v>3.0360000000000002E-2</v>
      </c>
      <c r="M46" s="77">
        <f t="shared" si="5"/>
        <v>0.26400000000000001</v>
      </c>
      <c r="N46" s="77">
        <f t="shared" si="5"/>
        <v>0</v>
      </c>
      <c r="O46" s="77">
        <f t="shared" si="5"/>
        <v>0</v>
      </c>
      <c r="P46" s="77">
        <f t="shared" si="5"/>
        <v>372.108</v>
      </c>
      <c r="Q46" s="77">
        <f t="shared" si="10"/>
        <v>420.75</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5813</v>
      </c>
      <c r="B47" s="15">
        <v>132</v>
      </c>
      <c r="C47" s="77">
        <f t="shared" si="6"/>
        <v>92.4</v>
      </c>
      <c r="D47" s="77">
        <f t="shared" si="7"/>
        <v>63.204107999999991</v>
      </c>
      <c r="E47" s="77">
        <f t="shared" si="8"/>
        <v>10.736550000000001</v>
      </c>
      <c r="F47" s="77">
        <f t="shared" si="9"/>
        <v>5.5370567999999993</v>
      </c>
      <c r="G47" s="77">
        <f t="shared" ref="G47:P50" si="12">IF(G$27="%w/w SAR",((G$28*10)*$B47),IF(G$27="%w/w DM",(((G$28*10)*($B$28/100))*$B47),IF(G$27="kg/t SAR",(G$28*$B47),IF(G$27="kg/t DM",((G$28*($B$28/100))*$B47),IF(G$27="mg/kg SAR",((G$28*0.001)*$B47),IF(G$27="mg/kg DM",(((G$28*0.001)*($B$28/100))*$B47),0))))))</f>
        <v>6.2039999999999998E-2</v>
      </c>
      <c r="H47" s="77">
        <f t="shared" si="12"/>
        <v>0.93588000000000005</v>
      </c>
      <c r="I47" s="77">
        <f t="shared" si="12"/>
        <v>6.6000000000000003E-2</v>
      </c>
      <c r="J47" s="77">
        <f t="shared" si="12"/>
        <v>1.3200000000000002E-3</v>
      </c>
      <c r="K47" s="77">
        <f t="shared" si="12"/>
        <v>6.6E-3</v>
      </c>
      <c r="L47" s="77">
        <f t="shared" si="12"/>
        <v>3.0360000000000002E-2</v>
      </c>
      <c r="M47" s="77">
        <f t="shared" si="12"/>
        <v>0.26400000000000001</v>
      </c>
      <c r="N47" s="77">
        <f t="shared" si="12"/>
        <v>0</v>
      </c>
      <c r="O47" s="77">
        <f t="shared" si="12"/>
        <v>0</v>
      </c>
      <c r="P47" s="77">
        <f t="shared" si="12"/>
        <v>372.108</v>
      </c>
      <c r="Q47" s="77">
        <f t="shared" si="10"/>
        <v>420.75</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1390</v>
      </c>
      <c r="B48" s="15">
        <v>132</v>
      </c>
      <c r="C48" s="77">
        <f t="shared" si="6"/>
        <v>92.4</v>
      </c>
      <c r="D48" s="77">
        <f t="shared" si="7"/>
        <v>63.204107999999991</v>
      </c>
      <c r="E48" s="77">
        <f t="shared" si="8"/>
        <v>10.736550000000001</v>
      </c>
      <c r="F48" s="77">
        <f t="shared" si="9"/>
        <v>5.5370567999999993</v>
      </c>
      <c r="G48" s="77">
        <f t="shared" si="12"/>
        <v>6.2039999999999998E-2</v>
      </c>
      <c r="H48" s="77">
        <f t="shared" si="12"/>
        <v>0.93588000000000005</v>
      </c>
      <c r="I48" s="77">
        <f t="shared" si="12"/>
        <v>6.6000000000000003E-2</v>
      </c>
      <c r="J48" s="77">
        <f t="shared" si="12"/>
        <v>1.3200000000000002E-3</v>
      </c>
      <c r="K48" s="77">
        <f t="shared" si="12"/>
        <v>6.6E-3</v>
      </c>
      <c r="L48" s="77">
        <f t="shared" si="12"/>
        <v>3.0360000000000002E-2</v>
      </c>
      <c r="M48" s="77">
        <f t="shared" si="12"/>
        <v>0.26400000000000001</v>
      </c>
      <c r="N48" s="77">
        <f t="shared" si="12"/>
        <v>0</v>
      </c>
      <c r="O48" s="77">
        <f t="shared" si="12"/>
        <v>0</v>
      </c>
      <c r="P48" s="77">
        <f t="shared" si="12"/>
        <v>372.108</v>
      </c>
      <c r="Q48" s="77">
        <f t="shared" si="10"/>
        <v>420.75</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9596</v>
      </c>
      <c r="B49" s="15">
        <v>132</v>
      </c>
      <c r="C49" s="77">
        <f t="shared" si="6"/>
        <v>92.4</v>
      </c>
      <c r="D49" s="77">
        <f t="shared" si="7"/>
        <v>63.204107999999991</v>
      </c>
      <c r="E49" s="77">
        <f t="shared" si="8"/>
        <v>10.736550000000001</v>
      </c>
      <c r="F49" s="77">
        <f t="shared" si="9"/>
        <v>5.5370567999999993</v>
      </c>
      <c r="G49" s="77">
        <f t="shared" si="12"/>
        <v>6.2039999999999998E-2</v>
      </c>
      <c r="H49" s="77">
        <f t="shared" si="12"/>
        <v>0.93588000000000005</v>
      </c>
      <c r="I49" s="77">
        <f t="shared" si="12"/>
        <v>6.6000000000000003E-2</v>
      </c>
      <c r="J49" s="77">
        <f t="shared" si="12"/>
        <v>1.3200000000000002E-3</v>
      </c>
      <c r="K49" s="77">
        <f t="shared" si="12"/>
        <v>6.6E-3</v>
      </c>
      <c r="L49" s="77">
        <f t="shared" si="12"/>
        <v>3.0360000000000002E-2</v>
      </c>
      <c r="M49" s="77">
        <f t="shared" si="12"/>
        <v>0.26400000000000001</v>
      </c>
      <c r="N49" s="77">
        <f t="shared" si="12"/>
        <v>0</v>
      </c>
      <c r="O49" s="77">
        <f t="shared" si="12"/>
        <v>0</v>
      </c>
      <c r="P49" s="77">
        <f t="shared" si="12"/>
        <v>372.108</v>
      </c>
      <c r="Q49" s="77">
        <f t="shared" si="10"/>
        <v>420.75</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716</v>
      </c>
      <c r="B50" s="15">
        <v>132</v>
      </c>
      <c r="C50" s="98">
        <f t="shared" si="6"/>
        <v>92.4</v>
      </c>
      <c r="D50" s="98">
        <f t="shared" si="7"/>
        <v>63.204107999999991</v>
      </c>
      <c r="E50" s="98">
        <f t="shared" si="8"/>
        <v>10.736550000000001</v>
      </c>
      <c r="F50" s="98">
        <f t="shared" si="9"/>
        <v>5.5370567999999993</v>
      </c>
      <c r="G50" s="98">
        <f t="shared" si="12"/>
        <v>6.2039999999999998E-2</v>
      </c>
      <c r="H50" s="98">
        <f t="shared" si="12"/>
        <v>0.93588000000000005</v>
      </c>
      <c r="I50" s="98">
        <f t="shared" si="12"/>
        <v>6.6000000000000003E-2</v>
      </c>
      <c r="J50" s="98">
        <f t="shared" si="12"/>
        <v>1.3200000000000002E-3</v>
      </c>
      <c r="K50" s="98">
        <f t="shared" si="12"/>
        <v>6.6E-3</v>
      </c>
      <c r="L50" s="98">
        <f t="shared" si="12"/>
        <v>3.0360000000000002E-2</v>
      </c>
      <c r="M50" s="98">
        <f t="shared" si="12"/>
        <v>0.26400000000000001</v>
      </c>
      <c r="N50" s="98">
        <f t="shared" si="12"/>
        <v>0</v>
      </c>
      <c r="O50" s="98">
        <f t="shared" si="12"/>
        <v>0</v>
      </c>
      <c r="P50" s="98">
        <f t="shared" si="12"/>
        <v>372.108</v>
      </c>
      <c r="Q50" s="98">
        <f t="shared" si="10"/>
        <v>420.75</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5905</v>
      </c>
      <c r="C57" s="8">
        <f t="shared" ref="C57:U57" si="13">D8</f>
        <v>4279</v>
      </c>
      <c r="D57" s="8">
        <f t="shared" si="13"/>
        <v>7605</v>
      </c>
      <c r="E57" s="8">
        <f t="shared" si="13"/>
        <v>3851</v>
      </c>
      <c r="F57" s="8">
        <f t="shared" si="13"/>
        <v>6418</v>
      </c>
      <c r="G57" s="8">
        <f t="shared" si="13"/>
        <v>1843</v>
      </c>
      <c r="H57" s="8">
        <f t="shared" si="13"/>
        <v>5974</v>
      </c>
      <c r="I57" s="8">
        <f t="shared" si="13"/>
        <v>5490</v>
      </c>
      <c r="J57" s="8">
        <f t="shared" si="13"/>
        <v>2565</v>
      </c>
      <c r="K57" s="8">
        <f t="shared" si="13"/>
        <v>7887</v>
      </c>
      <c r="L57" s="8">
        <f t="shared" si="13"/>
        <v>2946</v>
      </c>
      <c r="M57" s="8">
        <f t="shared" si="13"/>
        <v>2881</v>
      </c>
      <c r="N57" s="8">
        <f t="shared" si="13"/>
        <v>3398</v>
      </c>
      <c r="O57" s="8">
        <f t="shared" si="13"/>
        <v>5694</v>
      </c>
      <c r="P57" s="8">
        <f t="shared" si="13"/>
        <v>2991</v>
      </c>
      <c r="Q57" s="8">
        <f t="shared" si="13"/>
        <v>3799</v>
      </c>
      <c r="R57" s="8">
        <f t="shared" si="13"/>
        <v>5813</v>
      </c>
      <c r="S57" s="8">
        <f t="shared" si="13"/>
        <v>1390</v>
      </c>
      <c r="T57" s="8">
        <f t="shared" si="13"/>
        <v>9596</v>
      </c>
      <c r="U57" s="8">
        <f t="shared" si="13"/>
        <v>716</v>
      </c>
    </row>
    <row r="58" spans="1:35" s="19" customFormat="1" x14ac:dyDescent="0.25">
      <c r="A58" s="92" t="s">
        <v>136</v>
      </c>
      <c r="B58" s="13" t="str">
        <f>C16&amp;" I "&amp;(VLOOKUP(C14,Table245[],6,FALSE))</f>
        <v>Medium/Clay I Grass</v>
      </c>
      <c r="C58" s="13" t="str">
        <f>D16&amp;" I "&amp;(VLOOKUP(D14,Table245[],6,FALSE))</f>
        <v>Medium/Clay I Grass</v>
      </c>
      <c r="D58" s="13" t="str">
        <f>E16&amp;" I "&amp;(VLOOKUP(E14,Table245[],6,FALSE))</f>
        <v>Medium/Clay I Grass</v>
      </c>
      <c r="E58" s="13" t="str">
        <f>F16&amp;" I "&amp;(VLOOKUP(F14,Table245[],6,FALSE))</f>
        <v>Medium/Clay I Grass</v>
      </c>
      <c r="F58" s="13" t="str">
        <f>G16&amp;" I "&amp;(VLOOKUP(G14,Table245[],6,FALSE))</f>
        <v>Medium/Clay I Grass</v>
      </c>
      <c r="G58" s="13" t="str">
        <f>H16&amp;" I "&amp;(VLOOKUP(H14,Table245[],6,FALSE))</f>
        <v>Medium/Clay I Grass</v>
      </c>
      <c r="H58" s="13" t="str">
        <f>I16&amp;" I "&amp;(VLOOKUP(I14,Table245[],6,FALSE))</f>
        <v>Medium/Clay I Grass</v>
      </c>
      <c r="I58" s="13" t="str">
        <f>J16&amp;" I "&amp;(VLOOKUP(J14,Table245[],6,FALSE))</f>
        <v>Medium/Clay I Grass</v>
      </c>
      <c r="J58" s="13" t="str">
        <f>K16&amp;" I "&amp;(VLOOKUP(K14,Table245[],6,FALSE))</f>
        <v>Medium/Clay I Grass</v>
      </c>
      <c r="K58" s="13" t="str">
        <f>L16&amp;" I "&amp;(VLOOKUP(L14,Table245[],6,FALSE))</f>
        <v>Medium/Clay I Grass</v>
      </c>
      <c r="L58" s="13" t="str">
        <f>M16&amp;" I "&amp;(VLOOKUP(M14,Table245[],6,FALSE))</f>
        <v>Medium/Clay I Grass</v>
      </c>
      <c r="M58" s="13" t="str">
        <f>N16&amp;" I "&amp;(VLOOKUP(N14,Table245[],6,FALSE))</f>
        <v>Medium/Clay I Grass</v>
      </c>
      <c r="N58" s="13" t="str">
        <f>O16&amp;" I "&amp;(VLOOKUP(O14,Table245[],6,FALSE))</f>
        <v>Medium/Clay I Grass</v>
      </c>
      <c r="O58" s="13" t="str">
        <f>P16&amp;" I "&amp;(VLOOKUP(P14,Table245[],6,FALSE))</f>
        <v>Medium/Clay I Grass</v>
      </c>
      <c r="P58" s="13" t="str">
        <f>Q16&amp;" I "&amp;(VLOOKUP(Q14,Table245[],6,FALSE))</f>
        <v>Medium/Clay I Grass</v>
      </c>
      <c r="Q58" s="13" t="str">
        <f>R16&amp;" I "&amp;(VLOOKUP(R14,Table245[],6,FALSE))</f>
        <v>Medium/Clay I Grass</v>
      </c>
      <c r="R58" s="13" t="str">
        <f>S16&amp;" I "&amp;(VLOOKUP(S14,Table245[],6,FALSE))</f>
        <v>Medium/Clay I Grass</v>
      </c>
      <c r="S58" s="13" t="str">
        <f>T16&amp;" I "&amp;(VLOOKUP(T14,Table245[],6,FALSE))</f>
        <v>Medium/Clay I Grass</v>
      </c>
      <c r="T58" s="13" t="str">
        <f>U16&amp;" I "&amp;(VLOOKUP(U14,Table245[],6,FALSE))</f>
        <v>Medium/Clay I Grass</v>
      </c>
      <c r="U58" s="13" t="str">
        <f>V16&amp;" I "&amp;(VLOOKUP(V14,Table245[],6,FALSE))</f>
        <v>Medium/Clay I Grass</v>
      </c>
    </row>
    <row r="59" spans="1:35" s="19" customFormat="1" x14ac:dyDescent="0.2">
      <c r="A59" s="111" t="s">
        <v>132</v>
      </c>
      <c r="B59" s="76">
        <f>VLOOKUP(C$14,Table245[],5,FALSE)</f>
        <v>6.2</v>
      </c>
      <c r="C59" s="76">
        <f>VLOOKUP(D$14,Table245[],5,FALSE)</f>
        <v>6.2</v>
      </c>
      <c r="D59" s="76">
        <f>VLOOKUP(E$14,Table245[],5,FALSE)</f>
        <v>6.2</v>
      </c>
      <c r="E59" s="76">
        <f>VLOOKUP(F$14,Table245[],5,FALSE)</f>
        <v>6.2</v>
      </c>
      <c r="F59" s="76">
        <f>VLOOKUP(G$14,Table245[],5,FALSE)</f>
        <v>6.2</v>
      </c>
      <c r="G59" s="76">
        <f>VLOOKUP(H$14,Table245[],5,FALSE)</f>
        <v>6.2</v>
      </c>
      <c r="H59" s="76">
        <f>VLOOKUP(I$14,Table245[],5,FALSE)</f>
        <v>6.2</v>
      </c>
      <c r="I59" s="76">
        <f>VLOOKUP(J$14,Table245[],5,FALSE)</f>
        <v>6.2</v>
      </c>
      <c r="J59" s="76">
        <f>VLOOKUP(K$14,Table245[],5,FALSE)</f>
        <v>6.2</v>
      </c>
      <c r="K59" s="76">
        <f>VLOOKUP(L$14,Table245[],5,FALSE)</f>
        <v>6.2</v>
      </c>
      <c r="L59" s="76">
        <f>VLOOKUP(M$14,Table245[],5,FALSE)</f>
        <v>6.2</v>
      </c>
      <c r="M59" s="76">
        <f>VLOOKUP(N$14,Table245[],5,FALSE)</f>
        <v>6.2</v>
      </c>
      <c r="N59" s="76">
        <f>VLOOKUP(O$14,Table245[],5,FALSE)</f>
        <v>6.2</v>
      </c>
      <c r="O59" s="76">
        <f>VLOOKUP(P$14,Table245[],5,FALSE)</f>
        <v>6.2</v>
      </c>
      <c r="P59" s="76">
        <f>VLOOKUP(Q$14,Table245[],5,FALSE)</f>
        <v>6.2</v>
      </c>
      <c r="Q59" s="76">
        <f>VLOOKUP(R$14,Table245[],5,FALSE)</f>
        <v>6.2</v>
      </c>
      <c r="R59" s="76">
        <f>VLOOKUP(S$14,Table245[],5,FALSE)</f>
        <v>6.2</v>
      </c>
      <c r="S59" s="76">
        <f>VLOOKUP(T$14,Table245[],5,FALSE)</f>
        <v>6.2</v>
      </c>
      <c r="T59" s="76">
        <f>VLOOKUP(U$14,Table245[],5,FALSE)</f>
        <v>6.2</v>
      </c>
      <c r="U59" s="76">
        <f>VLOOKUP(V$14,Table245[],5,FALSE)</f>
        <v>6.2</v>
      </c>
    </row>
    <row r="60" spans="1:35" s="19" customFormat="1" x14ac:dyDescent="0.2">
      <c r="A60" s="111" t="s">
        <v>4</v>
      </c>
      <c r="B60" s="76">
        <f>C10</f>
        <v>6.2</v>
      </c>
      <c r="C60" s="76">
        <f t="shared" ref="C60:U60" si="14">D10</f>
        <v>5.6</v>
      </c>
      <c r="D60" s="76">
        <f t="shared" si="14"/>
        <v>6.3</v>
      </c>
      <c r="E60" s="76">
        <f t="shared" si="14"/>
        <v>6</v>
      </c>
      <c r="F60" s="76">
        <f t="shared" si="14"/>
        <v>5.8</v>
      </c>
      <c r="G60" s="76">
        <f t="shared" si="14"/>
        <v>5.3</v>
      </c>
      <c r="H60" s="76">
        <f t="shared" si="14"/>
        <v>6</v>
      </c>
      <c r="I60" s="76">
        <f t="shared" si="14"/>
        <v>6.1</v>
      </c>
      <c r="J60" s="76">
        <f t="shared" si="14"/>
        <v>5.5</v>
      </c>
      <c r="K60" s="76">
        <f t="shared" si="14"/>
        <v>6.1</v>
      </c>
      <c r="L60" s="76">
        <f t="shared" si="14"/>
        <v>5.5</v>
      </c>
      <c r="M60" s="76">
        <f t="shared" si="14"/>
        <v>5.6</v>
      </c>
      <c r="N60" s="76">
        <f t="shared" si="14"/>
        <v>5.9</v>
      </c>
      <c r="O60" s="76">
        <f t="shared" si="14"/>
        <v>6.5</v>
      </c>
      <c r="P60" s="76">
        <f t="shared" si="14"/>
        <v>5.7</v>
      </c>
      <c r="Q60" s="76">
        <f t="shared" si="14"/>
        <v>6.4</v>
      </c>
      <c r="R60" s="76">
        <f t="shared" si="14"/>
        <v>6.7</v>
      </c>
      <c r="S60" s="76">
        <f t="shared" si="14"/>
        <v>5.4</v>
      </c>
      <c r="T60" s="76">
        <f t="shared" si="14"/>
        <v>5.5</v>
      </c>
      <c r="U60" s="76">
        <f t="shared" si="14"/>
        <v>6.4</v>
      </c>
    </row>
    <row r="61" spans="1:35" s="19" customFormat="1" x14ac:dyDescent="0.2">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f t="shared" si="15"/>
        <v>6</v>
      </c>
      <c r="R61" s="76">
        <f t="shared" si="15"/>
        <v>6</v>
      </c>
      <c r="S61" s="76">
        <f t="shared" si="15"/>
        <v>6</v>
      </c>
      <c r="T61" s="76">
        <f t="shared" si="15"/>
        <v>6</v>
      </c>
      <c r="U61" s="76">
        <f t="shared" si="15"/>
        <v>6</v>
      </c>
    </row>
    <row r="62" spans="1:35" s="19" customFormat="1" x14ac:dyDescent="0.2">
      <c r="A62" s="111" t="s">
        <v>134</v>
      </c>
      <c r="B62" s="77">
        <f>B31</f>
        <v>132</v>
      </c>
      <c r="C62" s="77">
        <f>B32</f>
        <v>132</v>
      </c>
      <c r="D62" s="77">
        <f>B33</f>
        <v>132</v>
      </c>
      <c r="E62" s="77">
        <f>B34</f>
        <v>132</v>
      </c>
      <c r="F62" s="77">
        <f>B35</f>
        <v>132</v>
      </c>
      <c r="G62" s="77">
        <f>B36</f>
        <v>132</v>
      </c>
      <c r="H62" s="77">
        <f>B37</f>
        <v>132</v>
      </c>
      <c r="I62" s="77">
        <f>B38</f>
        <v>132</v>
      </c>
      <c r="J62" s="77">
        <f>B39</f>
        <v>132</v>
      </c>
      <c r="K62" s="77">
        <f>B40</f>
        <v>132</v>
      </c>
      <c r="L62" s="77">
        <f>B41</f>
        <v>132</v>
      </c>
      <c r="M62" s="77">
        <f>B42</f>
        <v>132</v>
      </c>
      <c r="N62" s="77">
        <f>B43</f>
        <v>132</v>
      </c>
      <c r="O62" s="77">
        <f>B44</f>
        <v>132</v>
      </c>
      <c r="P62" s="77">
        <f>B45</f>
        <v>132</v>
      </c>
      <c r="Q62" s="77">
        <f>B46</f>
        <v>132</v>
      </c>
      <c r="R62" s="77">
        <f>B47</f>
        <v>132</v>
      </c>
      <c r="S62" s="77">
        <f>B48</f>
        <v>132</v>
      </c>
      <c r="T62" s="77">
        <f>B49</f>
        <v>132</v>
      </c>
      <c r="U62" s="77">
        <f>B50</f>
        <v>132</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0</v>
      </c>
      <c r="C64" s="77">
        <f t="shared" ref="C64:U64" si="17">(C59-C60)*C61</f>
        <v>3.6000000000000032</v>
      </c>
      <c r="D64" s="77">
        <f t="shared" si="17"/>
        <v>-0.59999999999999787</v>
      </c>
      <c r="E64" s="77">
        <f t="shared" si="17"/>
        <v>1.2000000000000011</v>
      </c>
      <c r="F64" s="77">
        <f t="shared" si="17"/>
        <v>2.4000000000000021</v>
      </c>
      <c r="G64" s="77">
        <f t="shared" si="17"/>
        <v>5.4000000000000021</v>
      </c>
      <c r="H64" s="77">
        <f t="shared" si="17"/>
        <v>1.2000000000000011</v>
      </c>
      <c r="I64" s="77">
        <f t="shared" si="17"/>
        <v>0.6000000000000032</v>
      </c>
      <c r="J64" s="77">
        <f t="shared" si="17"/>
        <v>4.2000000000000011</v>
      </c>
      <c r="K64" s="77">
        <f t="shared" si="17"/>
        <v>0.6000000000000032</v>
      </c>
      <c r="L64" s="77">
        <f t="shared" si="17"/>
        <v>4.2000000000000011</v>
      </c>
      <c r="M64" s="77">
        <f t="shared" si="17"/>
        <v>3.6000000000000032</v>
      </c>
      <c r="N64" s="77">
        <f t="shared" si="17"/>
        <v>1.7999999999999989</v>
      </c>
      <c r="O64" s="77">
        <f t="shared" si="17"/>
        <v>-1.7999999999999989</v>
      </c>
      <c r="P64" s="77">
        <f t="shared" si="17"/>
        <v>3</v>
      </c>
      <c r="Q64" s="77">
        <f t="shared" si="17"/>
        <v>-1.2000000000000011</v>
      </c>
      <c r="R64" s="77">
        <f t="shared" si="17"/>
        <v>-3</v>
      </c>
      <c r="S64" s="77">
        <f t="shared" si="17"/>
        <v>4.7999999999999989</v>
      </c>
      <c r="T64" s="77">
        <f t="shared" si="17"/>
        <v>4.2000000000000011</v>
      </c>
      <c r="U64" s="77">
        <f t="shared" si="17"/>
        <v>-1.2000000000000011</v>
      </c>
    </row>
    <row r="65" spans="1:21" s="19" customFormat="1" ht="51" x14ac:dyDescent="0.2">
      <c r="A65" s="112" t="s">
        <v>157</v>
      </c>
      <c r="B65" s="77">
        <f>B63-B64</f>
        <v>0</v>
      </c>
      <c r="C65" s="77">
        <f t="shared" ref="C65:U65" si="18">C63-C64</f>
        <v>-3.6000000000000032</v>
      </c>
      <c r="D65" s="77">
        <f t="shared" si="18"/>
        <v>0.59999999999999787</v>
      </c>
      <c r="E65" s="77">
        <f t="shared" si="18"/>
        <v>-1.2000000000000011</v>
      </c>
      <c r="F65" s="77">
        <f t="shared" si="18"/>
        <v>-2.4000000000000021</v>
      </c>
      <c r="G65" s="77">
        <f t="shared" si="18"/>
        <v>-5.4000000000000021</v>
      </c>
      <c r="H65" s="77">
        <f t="shared" si="18"/>
        <v>-1.2000000000000011</v>
      </c>
      <c r="I65" s="77">
        <f t="shared" si="18"/>
        <v>-0.6000000000000032</v>
      </c>
      <c r="J65" s="77">
        <f t="shared" si="18"/>
        <v>-4.2000000000000011</v>
      </c>
      <c r="K65" s="77">
        <f t="shared" si="18"/>
        <v>-0.6000000000000032</v>
      </c>
      <c r="L65" s="77">
        <f t="shared" si="18"/>
        <v>-4.2000000000000011</v>
      </c>
      <c r="M65" s="77">
        <f t="shared" si="18"/>
        <v>-3.6000000000000032</v>
      </c>
      <c r="N65" s="77">
        <f t="shared" si="18"/>
        <v>-1.7999999999999989</v>
      </c>
      <c r="O65" s="77">
        <f t="shared" si="18"/>
        <v>1.7999999999999989</v>
      </c>
      <c r="P65" s="77">
        <f t="shared" si="18"/>
        <v>-3</v>
      </c>
      <c r="Q65" s="77">
        <f t="shared" si="18"/>
        <v>1.2000000000000011</v>
      </c>
      <c r="R65" s="77">
        <f t="shared" si="18"/>
        <v>3</v>
      </c>
      <c r="S65" s="77">
        <f t="shared" si="18"/>
        <v>-4.7999999999999989</v>
      </c>
      <c r="T65" s="77">
        <f t="shared" si="18"/>
        <v>-4.2000000000000011</v>
      </c>
      <c r="U65" s="77">
        <f t="shared" si="18"/>
        <v>1.2000000000000011</v>
      </c>
    </row>
    <row r="66" spans="1:21" s="19" customFormat="1" ht="38.25" x14ac:dyDescent="0.2">
      <c r="A66" s="112" t="s">
        <v>148</v>
      </c>
      <c r="B66" s="78" t="str">
        <f>IF(B64&lt;=B63,"OVER","UNDER")</f>
        <v>OVER</v>
      </c>
      <c r="C66" s="78" t="str">
        <f t="shared" ref="C66:U66" si="19">IF(C64&lt;=C63,"OVER","UNDER")</f>
        <v>UNDER</v>
      </c>
      <c r="D66" s="78" t="str">
        <f t="shared" si="19"/>
        <v>OVER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str">
        <f t="shared" si="19"/>
        <v>UNDER</v>
      </c>
      <c r="N66" s="78" t="str">
        <f t="shared" si="19"/>
        <v>UNDER</v>
      </c>
      <c r="O66" s="78" t="str">
        <f t="shared" si="19"/>
        <v>OVER</v>
      </c>
      <c r="P66" s="78" t="str">
        <f t="shared" si="19"/>
        <v>UNDER</v>
      </c>
      <c r="Q66" s="78" t="str">
        <f t="shared" si="19"/>
        <v>OVER</v>
      </c>
      <c r="R66" s="78" t="str">
        <f t="shared" si="19"/>
        <v>OVER</v>
      </c>
      <c r="S66" s="78" t="str">
        <f t="shared" si="19"/>
        <v>UNDER</v>
      </c>
      <c r="T66" s="78" t="str">
        <f t="shared" si="19"/>
        <v>UNDER</v>
      </c>
      <c r="U66" s="78" t="str">
        <f t="shared" si="19"/>
        <v>OVER</v>
      </c>
    </row>
  </sheetData>
  <sheetProtection algorithmName="SHA-512" hashValue="B8OYqeFjvtfWWlLXmY7ErOcda7EEuhT6d09/iHWuTT95QY/OwAoVIXOygINGzb6Pmvvz4BzloOYQP6iI5nSHJw==" saltValue="HwKPoZj9JnVMXgQE+1TyS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377" priority="37" operator="equal">
      <formula>"DECREASE"</formula>
    </cfRule>
    <cfRule type="cellIs" dxfId="376" priority="38" operator="equal">
      <formula>"INCREASE"</formula>
    </cfRule>
  </conditionalFormatting>
  <conditionalFormatting sqref="B62:U66 B31:B50">
    <cfRule type="cellIs" dxfId="375" priority="36" operator="greaterThan">
      <formula>$B$51</formula>
    </cfRule>
  </conditionalFormatting>
  <conditionalFormatting sqref="C31:C50">
    <cfRule type="cellIs" dxfId="374" priority="35" operator="greaterThan">
      <formula>$C$51</formula>
    </cfRule>
  </conditionalFormatting>
  <conditionalFormatting sqref="C18:V18">
    <cfRule type="cellIs" dxfId="373" priority="34" operator="equal">
      <formula>0</formula>
    </cfRule>
  </conditionalFormatting>
  <conditionalFormatting sqref="C17:V17">
    <cfRule type="cellIs" dxfId="372" priority="33" operator="equal">
      <formula>0</formula>
    </cfRule>
  </conditionalFormatting>
  <conditionalFormatting sqref="C19:V19">
    <cfRule type="cellIs" dxfId="371" priority="32" operator="equal">
      <formula>0</formula>
    </cfRule>
  </conditionalFormatting>
  <conditionalFormatting sqref="G31:G50">
    <cfRule type="cellIs" dxfId="370" priority="31" operator="greaterThan">
      <formula>$G$51</formula>
    </cfRule>
  </conditionalFormatting>
  <conditionalFormatting sqref="H31:H50">
    <cfRule type="cellIs" dxfId="369" priority="30" operator="greaterThan">
      <formula>$H$51</formula>
    </cfRule>
  </conditionalFormatting>
  <conditionalFormatting sqref="I31:I50">
    <cfRule type="cellIs" dxfId="368" priority="29" operator="greaterThan">
      <formula>$I$51</formula>
    </cfRule>
  </conditionalFormatting>
  <conditionalFormatting sqref="K31:K50">
    <cfRule type="cellIs" dxfId="367" priority="28" operator="greaterThan">
      <formula>$K$51</formula>
    </cfRule>
  </conditionalFormatting>
  <conditionalFormatting sqref="L31:L50">
    <cfRule type="cellIs" dxfId="366" priority="27" operator="greaterThan">
      <formula>$L$51</formula>
    </cfRule>
  </conditionalFormatting>
  <conditionalFormatting sqref="M31:M50">
    <cfRule type="cellIs" dxfId="365" priority="26" operator="greaterThan">
      <formula>$M$51</formula>
    </cfRule>
  </conditionalFormatting>
  <conditionalFormatting sqref="P31:P50">
    <cfRule type="cellIs" dxfId="364" priority="25" operator="greaterThan">
      <formula>$P$51</formula>
    </cfRule>
  </conditionalFormatting>
  <conditionalFormatting sqref="R31:R50">
    <cfRule type="cellIs" dxfId="363" priority="24" operator="greaterThan">
      <formula>$R$51</formula>
    </cfRule>
  </conditionalFormatting>
  <conditionalFormatting sqref="S31:S50">
    <cfRule type="cellIs" dxfId="362" priority="23" operator="greaterThan">
      <formula>$S$51</formula>
    </cfRule>
  </conditionalFormatting>
  <conditionalFormatting sqref="T31:T50">
    <cfRule type="cellIs" dxfId="361" priority="22" operator="greaterThan">
      <formula>$T$51</formula>
    </cfRule>
  </conditionalFormatting>
  <conditionalFormatting sqref="U31:U50">
    <cfRule type="cellIs" dxfId="360" priority="21" operator="greaterThan">
      <formula>$U$51</formula>
    </cfRule>
  </conditionalFormatting>
  <conditionalFormatting sqref="C22:V22">
    <cfRule type="cellIs" dxfId="359" priority="20" operator="equal">
      <formula>0</formula>
    </cfRule>
  </conditionalFormatting>
  <conditionalFormatting sqref="C24:V24">
    <cfRule type="cellIs" dxfId="358" priority="18" operator="equal">
      <formula>"DECREASE"</formula>
    </cfRule>
    <cfRule type="cellIs" dxfId="357" priority="19" operator="equal">
      <formula>"INCREASE"</formula>
    </cfRule>
  </conditionalFormatting>
  <conditionalFormatting sqref="C23:V23">
    <cfRule type="cellIs" dxfId="356" priority="17" operator="equal">
      <formula>0</formula>
    </cfRule>
  </conditionalFormatting>
  <conditionalFormatting sqref="C21:V21">
    <cfRule type="cellIs" dxfId="355" priority="13" operator="equal">
      <formula>0</formula>
    </cfRule>
  </conditionalFormatting>
  <conditionalFormatting sqref="B66:U66">
    <cfRule type="cellIs" dxfId="354" priority="11" operator="equal">
      <formula>"UNDER"</formula>
    </cfRule>
    <cfRule type="cellIs" dxfId="353" priority="12" operator="equal">
      <formula>"OVER"</formula>
    </cfRule>
  </conditionalFormatting>
  <conditionalFormatting sqref="J31:J50">
    <cfRule type="cellIs" dxfId="352" priority="8" operator="greaterThan">
      <formula>$J$51</formula>
    </cfRule>
  </conditionalFormatting>
  <conditionalFormatting sqref="L3">
    <cfRule type="cellIs" dxfId="351" priority="4" operator="lessThan">
      <formula>30</formula>
    </cfRule>
    <cfRule type="cellIs" dxfId="350" priority="5" operator="greaterThanOrEqual">
      <formula>30</formula>
    </cfRule>
  </conditionalFormatting>
  <conditionalFormatting sqref="I1">
    <cfRule type="cellIs" dxfId="349" priority="3" operator="between">
      <formula>0.1</formula>
      <formula>5</formula>
    </cfRule>
  </conditionalFormatting>
  <conditionalFormatting sqref="I2">
    <cfRule type="cellIs" dxfId="348" priority="2" operator="greaterThan">
      <formula>5000.1</formula>
    </cfRule>
  </conditionalFormatting>
  <conditionalFormatting sqref="I3">
    <cfRule type="cellIs" dxfId="347"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C41" sqref="C41"/>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19" t="s">
        <v>41</v>
      </c>
      <c r="B1" s="119"/>
      <c r="C1" s="140" t="str">
        <f>Secanim!C1:D1</f>
        <v>PAN-021626</v>
      </c>
      <c r="D1" s="141"/>
      <c r="E1" s="93" t="s">
        <v>45</v>
      </c>
      <c r="F1" s="39">
        <f>Secanim!F1</f>
        <v>48.6</v>
      </c>
      <c r="G1" s="120" t="s">
        <v>43</v>
      </c>
      <c r="H1" s="121"/>
      <c r="I1" s="118">
        <v>6.8</v>
      </c>
      <c r="J1" s="119" t="s">
        <v>153</v>
      </c>
      <c r="K1" s="119"/>
      <c r="L1" s="97">
        <v>47</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19" t="s">
        <v>87</v>
      </c>
      <c r="B2" s="119"/>
      <c r="C2" s="142" t="str">
        <f>Secanim!C2:D2</f>
        <v>KP3594VE</v>
      </c>
      <c r="D2" s="143"/>
      <c r="E2" s="93" t="s">
        <v>109</v>
      </c>
      <c r="F2" s="96" t="s">
        <v>170</v>
      </c>
      <c r="G2" s="138" t="s">
        <v>110</v>
      </c>
      <c r="H2" s="139"/>
      <c r="I2" s="118">
        <v>351</v>
      </c>
      <c r="J2" s="119" t="s">
        <v>158</v>
      </c>
      <c r="K2" s="119"/>
      <c r="L2" s="97">
        <v>0.11</v>
      </c>
      <c r="AB2" s="30" t="s">
        <v>56</v>
      </c>
      <c r="AC2" s="17"/>
      <c r="AD2" s="30" t="s">
        <v>70</v>
      </c>
      <c r="AE2" s="17"/>
      <c r="AF2" s="17"/>
      <c r="AG2" s="44" t="s">
        <v>76</v>
      </c>
      <c r="AH2" s="18"/>
      <c r="AI2" s="45" t="s">
        <v>126</v>
      </c>
      <c r="AJ2" s="46">
        <v>0</v>
      </c>
      <c r="AK2" s="47">
        <v>0</v>
      </c>
      <c r="AL2" s="10">
        <v>0</v>
      </c>
      <c r="AM2" s="11">
        <v>0</v>
      </c>
      <c r="AN2" s="11">
        <v>0</v>
      </c>
    </row>
    <row r="3" spans="1:41" x14ac:dyDescent="0.2">
      <c r="A3" s="120" t="s">
        <v>42</v>
      </c>
      <c r="B3" s="121"/>
      <c r="C3" s="142" t="str">
        <f>Secanim!C3:D3</f>
        <v>Trade Effluent Services Limited</v>
      </c>
      <c r="D3" s="143"/>
      <c r="E3" s="93" t="s">
        <v>108</v>
      </c>
      <c r="F3" s="31"/>
      <c r="G3" s="119" t="s">
        <v>159</v>
      </c>
      <c r="H3" s="119"/>
      <c r="I3" s="118"/>
      <c r="J3" s="120" t="s">
        <v>154</v>
      </c>
      <c r="K3" s="121"/>
      <c r="L3" s="97">
        <f>(L1/(L2*10000))*100</f>
        <v>4.2727272727272725</v>
      </c>
      <c r="AB3" s="30" t="s">
        <v>57</v>
      </c>
      <c r="AC3" s="17"/>
      <c r="AD3" s="30" t="s">
        <v>71</v>
      </c>
      <c r="AE3" s="17"/>
      <c r="AF3" s="17"/>
      <c r="AG3" s="44" t="s">
        <v>77</v>
      </c>
      <c r="AH3" s="18"/>
      <c r="AI3" s="48" t="s">
        <v>113</v>
      </c>
      <c r="AJ3" s="49">
        <v>1.7</v>
      </c>
      <c r="AK3" s="50">
        <v>6</v>
      </c>
      <c r="AL3" s="51">
        <v>1</v>
      </c>
      <c r="AM3" s="11">
        <v>6.2</v>
      </c>
      <c r="AN3" s="11" t="s">
        <v>112</v>
      </c>
    </row>
    <row r="4" spans="1:41" x14ac:dyDescent="0.2">
      <c r="A4" s="119" t="s">
        <v>0</v>
      </c>
      <c r="B4" s="119"/>
      <c r="C4" s="140" t="str">
        <f>Secanim!C4:D4</f>
        <v>Gwaenynog Bach Farm, Pentrefoelas Road, Bryn Ynys, Denbigh, Y Groes, Denbighshire, LL16 5RP</v>
      </c>
      <c r="D4" s="141"/>
      <c r="E4" s="94" t="s">
        <v>1</v>
      </c>
      <c r="F4" s="96" t="s">
        <v>169</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x14ac:dyDescent="0.2">
      <c r="A5" s="119" t="s">
        <v>47</v>
      </c>
      <c r="B5" s="119"/>
      <c r="C5" s="140" t="str">
        <f>Secanim!C5:D5</f>
        <v>Louise Bailey</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19" t="s">
        <v>2</v>
      </c>
      <c r="B8" s="119"/>
      <c r="C8" s="60">
        <f>Secanim!C8</f>
        <v>5905</v>
      </c>
      <c r="D8" s="60">
        <f>Secanim!D8</f>
        <v>4279</v>
      </c>
      <c r="E8" s="60">
        <f>Secanim!E8</f>
        <v>7605</v>
      </c>
      <c r="F8" s="60">
        <f>Secanim!F8</f>
        <v>3851</v>
      </c>
      <c r="G8" s="60">
        <f>Secanim!G8</f>
        <v>6418</v>
      </c>
      <c r="H8" s="60">
        <f>Secanim!H8</f>
        <v>1843</v>
      </c>
      <c r="I8" s="60">
        <f>Secanim!I8</f>
        <v>5974</v>
      </c>
      <c r="J8" s="60">
        <f>Secanim!J8</f>
        <v>5490</v>
      </c>
      <c r="K8" s="60">
        <f>Secanim!K8</f>
        <v>2565</v>
      </c>
      <c r="L8" s="60">
        <f>Secanim!L8</f>
        <v>7887</v>
      </c>
      <c r="M8" s="60">
        <f>Secanim!M8</f>
        <v>2946</v>
      </c>
      <c r="N8" s="60">
        <f>Secanim!N8</f>
        <v>2881</v>
      </c>
      <c r="O8" s="60">
        <f>Secanim!O8</f>
        <v>3398</v>
      </c>
      <c r="P8" s="60">
        <f>Secanim!P8</f>
        <v>5694</v>
      </c>
      <c r="Q8" s="60">
        <f>Secanim!Q8</f>
        <v>2991</v>
      </c>
      <c r="R8" s="60">
        <f>Secanim!R8</f>
        <v>3799</v>
      </c>
      <c r="S8" s="60">
        <f>Secanim!S8</f>
        <v>5813</v>
      </c>
      <c r="T8" s="60">
        <f>Secanim!T8</f>
        <v>1390</v>
      </c>
      <c r="U8" s="60">
        <f>Secanim!U8</f>
        <v>9596</v>
      </c>
      <c r="V8" s="60">
        <f>Secanim!V8</f>
        <v>716</v>
      </c>
      <c r="AB8" s="61"/>
      <c r="AC8" s="61"/>
      <c r="AD8" s="18"/>
      <c r="AE8" s="17" t="s">
        <v>139</v>
      </c>
      <c r="AF8" s="17"/>
      <c r="AG8" s="18"/>
      <c r="AH8" s="18"/>
      <c r="AI8" s="53" t="s">
        <v>105</v>
      </c>
      <c r="AJ8" s="62">
        <v>1.4</v>
      </c>
      <c r="AK8" s="55">
        <v>4.4000000000000004</v>
      </c>
      <c r="AL8" s="11">
        <v>6</v>
      </c>
      <c r="AM8" s="11">
        <v>6.7</v>
      </c>
      <c r="AN8" s="11" t="s">
        <v>135</v>
      </c>
      <c r="AO8" s="79"/>
    </row>
    <row r="9" spans="1:41" x14ac:dyDescent="0.2">
      <c r="A9" s="119" t="s">
        <v>3</v>
      </c>
      <c r="B9" s="119"/>
      <c r="C9" s="60" t="str">
        <f>Secanim!C9</f>
        <v>Moderate</v>
      </c>
      <c r="D9" s="60" t="str">
        <f>Secanim!D9</f>
        <v>Moderate</v>
      </c>
      <c r="E9" s="60" t="str">
        <f>Secanim!E9</f>
        <v>Moderate</v>
      </c>
      <c r="F9" s="60" t="str">
        <f>Secanim!F9</f>
        <v>Moderate</v>
      </c>
      <c r="G9" s="60" t="str">
        <f>Secanim!G9</f>
        <v>Moderate</v>
      </c>
      <c r="H9" s="60" t="str">
        <f>Secanim!H9</f>
        <v>Moderate</v>
      </c>
      <c r="I9" s="60" t="str">
        <f>Secanim!I9</f>
        <v>Moderate</v>
      </c>
      <c r="J9" s="60" t="str">
        <f>Secanim!J9</f>
        <v>Moderate</v>
      </c>
      <c r="K9" s="60" t="str">
        <f>Secanim!K9</f>
        <v>Moderate</v>
      </c>
      <c r="L9" s="60" t="str">
        <f>Secanim!L9</f>
        <v>Moderate</v>
      </c>
      <c r="M9" s="60" t="str">
        <f>Secanim!M9</f>
        <v>Moderate</v>
      </c>
      <c r="N9" s="60" t="str">
        <f>Secanim!N9</f>
        <v>Moderate</v>
      </c>
      <c r="O9" s="60" t="str">
        <f>Secanim!O9</f>
        <v>Moderate</v>
      </c>
      <c r="P9" s="60" t="str">
        <f>Secanim!P9</f>
        <v>Moderate</v>
      </c>
      <c r="Q9" s="60" t="str">
        <f>Secanim!Q9</f>
        <v>Moderate</v>
      </c>
      <c r="R9" s="60" t="str">
        <f>Secanim!R9</f>
        <v>Moderate</v>
      </c>
      <c r="S9" s="60" t="str">
        <f>Secanim!S9</f>
        <v>Moderate</v>
      </c>
      <c r="T9" s="60" t="str">
        <f>Secanim!T9</f>
        <v>Moderate</v>
      </c>
      <c r="U9" s="60" t="str">
        <f>Secanim!U9</f>
        <v>Moderate</v>
      </c>
      <c r="V9" s="60" t="str">
        <f>Secanim!V9</f>
        <v>Moderate</v>
      </c>
      <c r="AB9" s="17"/>
      <c r="AC9" s="17"/>
      <c r="AD9" s="30" t="s">
        <v>137</v>
      </c>
      <c r="AE9" s="30">
        <v>4.5</v>
      </c>
      <c r="AF9" s="17"/>
      <c r="AG9" s="18"/>
      <c r="AH9" s="18"/>
      <c r="AI9" s="63" t="s">
        <v>103</v>
      </c>
      <c r="AJ9" s="64">
        <v>0.7</v>
      </c>
      <c r="AK9" s="65">
        <v>4</v>
      </c>
      <c r="AL9" s="29">
        <v>7</v>
      </c>
      <c r="AM9" s="11">
        <v>6.7</v>
      </c>
      <c r="AN9" s="11" t="s">
        <v>135</v>
      </c>
      <c r="AO9" s="99"/>
    </row>
    <row r="10" spans="1:41" x14ac:dyDescent="0.2">
      <c r="A10" s="119" t="s">
        <v>4</v>
      </c>
      <c r="B10" s="119"/>
      <c r="C10" s="60">
        <f>Secanim!C10</f>
        <v>6.2</v>
      </c>
      <c r="D10" s="60">
        <f>Secanim!D10</f>
        <v>5.6</v>
      </c>
      <c r="E10" s="60">
        <f>Secanim!E10</f>
        <v>6.3</v>
      </c>
      <c r="F10" s="60">
        <f>Secanim!F10</f>
        <v>6</v>
      </c>
      <c r="G10" s="60">
        <f>Secanim!G10</f>
        <v>5.8</v>
      </c>
      <c r="H10" s="60">
        <f>Secanim!H10</f>
        <v>5.3</v>
      </c>
      <c r="I10" s="60">
        <f>Secanim!I10</f>
        <v>6</v>
      </c>
      <c r="J10" s="60">
        <f>Secanim!J10</f>
        <v>6.1</v>
      </c>
      <c r="K10" s="60">
        <f>Secanim!K10</f>
        <v>5.5</v>
      </c>
      <c r="L10" s="60">
        <f>Secanim!L10</f>
        <v>6.1</v>
      </c>
      <c r="M10" s="60">
        <f>Secanim!M10</f>
        <v>5.5</v>
      </c>
      <c r="N10" s="60">
        <f>Secanim!N10</f>
        <v>5.6</v>
      </c>
      <c r="O10" s="60">
        <f>Secanim!O10</f>
        <v>5.9</v>
      </c>
      <c r="P10" s="60">
        <f>Secanim!P10</f>
        <v>6.5</v>
      </c>
      <c r="Q10" s="60">
        <f>Secanim!Q10</f>
        <v>5.7</v>
      </c>
      <c r="R10" s="60">
        <f>Secanim!R10</f>
        <v>6.4</v>
      </c>
      <c r="S10" s="60">
        <f>Secanim!S10</f>
        <v>6.7</v>
      </c>
      <c r="T10" s="60">
        <f>Secanim!T10</f>
        <v>5.4</v>
      </c>
      <c r="U10" s="60">
        <f>Secanim!U10</f>
        <v>5.5</v>
      </c>
      <c r="V10" s="60">
        <f>Secanim!V10</f>
        <v>6.4</v>
      </c>
      <c r="AB10" s="17"/>
      <c r="AC10" s="17"/>
      <c r="AD10" s="30" t="s">
        <v>140</v>
      </c>
      <c r="AE10" s="30">
        <v>5</v>
      </c>
      <c r="AF10" s="17"/>
      <c r="AG10" s="18"/>
      <c r="AH10" s="18"/>
      <c r="AI10" s="53" t="s">
        <v>97</v>
      </c>
      <c r="AJ10" s="54">
        <v>9</v>
      </c>
      <c r="AK10" s="55">
        <v>16.5</v>
      </c>
      <c r="AL10" s="11">
        <v>8</v>
      </c>
      <c r="AM10" s="11">
        <v>6.7</v>
      </c>
      <c r="AN10" s="11" t="s">
        <v>135</v>
      </c>
    </row>
    <row r="11" spans="1:41" x14ac:dyDescent="0.2">
      <c r="A11" s="119" t="s">
        <v>5</v>
      </c>
      <c r="B11" s="119"/>
      <c r="C11" s="60">
        <f>Secanim!C11</f>
        <v>2</v>
      </c>
      <c r="D11" s="60">
        <f>Secanim!D11</f>
        <v>3</v>
      </c>
      <c r="E11" s="60">
        <f>Secanim!E11</f>
        <v>2</v>
      </c>
      <c r="F11" s="60">
        <f>Secanim!F11</f>
        <v>3</v>
      </c>
      <c r="G11" s="60">
        <f>Secanim!G11</f>
        <v>2</v>
      </c>
      <c r="H11" s="60">
        <f>Secanim!H11</f>
        <v>3</v>
      </c>
      <c r="I11" s="60">
        <f>Secanim!I11</f>
        <v>3</v>
      </c>
      <c r="J11" s="60">
        <f>Secanim!J11</f>
        <v>2</v>
      </c>
      <c r="K11" s="60">
        <f>Secanim!K11</f>
        <v>3</v>
      </c>
      <c r="L11" s="60">
        <f>Secanim!L11</f>
        <v>1</v>
      </c>
      <c r="M11" s="60">
        <f>Secanim!M11</f>
        <v>3</v>
      </c>
      <c r="N11" s="60">
        <f>Secanim!N11</f>
        <v>2</v>
      </c>
      <c r="O11" s="60">
        <f>Secanim!O11</f>
        <v>2</v>
      </c>
      <c r="P11" s="60">
        <f>Secanim!P11</f>
        <v>2</v>
      </c>
      <c r="Q11" s="60">
        <f>Secanim!Q11</f>
        <v>2</v>
      </c>
      <c r="R11" s="60">
        <f>Secanim!R11</f>
        <v>2</v>
      </c>
      <c r="S11" s="60">
        <f>Secanim!S11</f>
        <v>2</v>
      </c>
      <c r="T11" s="60">
        <f>Secanim!T11</f>
        <v>3</v>
      </c>
      <c r="U11" s="60">
        <f>Secanim!U11</f>
        <v>2</v>
      </c>
      <c r="V11" s="60">
        <f>Secanim!V11</f>
        <v>2</v>
      </c>
      <c r="AB11" s="17"/>
      <c r="AC11" s="17"/>
      <c r="AD11" s="52" t="s">
        <v>141</v>
      </c>
      <c r="AE11" s="30">
        <v>6</v>
      </c>
      <c r="AF11" s="17"/>
      <c r="AG11" s="18"/>
      <c r="AH11" s="18"/>
      <c r="AI11" s="53" t="s">
        <v>122</v>
      </c>
      <c r="AJ11" s="54">
        <v>15</v>
      </c>
      <c r="AK11" s="55">
        <v>17.5</v>
      </c>
      <c r="AL11" s="11">
        <v>9</v>
      </c>
      <c r="AM11" s="11">
        <v>7</v>
      </c>
      <c r="AN11" s="11" t="s">
        <v>135</v>
      </c>
    </row>
    <row r="12" spans="1:41" x14ac:dyDescent="0.2">
      <c r="A12" s="119" t="s">
        <v>6</v>
      </c>
      <c r="B12" s="119"/>
      <c r="C12" s="60" t="str">
        <f>Secanim!C12</f>
        <v>2-</v>
      </c>
      <c r="D12" s="60">
        <f>Secanim!D12</f>
        <v>3</v>
      </c>
      <c r="E12" s="60" t="str">
        <f>Secanim!E12</f>
        <v>2-</v>
      </c>
      <c r="F12" s="60" t="str">
        <f>Secanim!F12</f>
        <v>2+</v>
      </c>
      <c r="G12" s="60">
        <f>Secanim!G12</f>
        <v>3</v>
      </c>
      <c r="H12" s="60" t="str">
        <f>Secanim!H12</f>
        <v>2+</v>
      </c>
      <c r="I12" s="60">
        <f>Secanim!I12</f>
        <v>4</v>
      </c>
      <c r="J12" s="60" t="str">
        <f>Secanim!J12</f>
        <v>2+</v>
      </c>
      <c r="K12" s="60">
        <f>Secanim!K12</f>
        <v>4</v>
      </c>
      <c r="L12" s="60" t="str">
        <f>Secanim!L12</f>
        <v>2-</v>
      </c>
      <c r="M12" s="60" t="str">
        <f>Secanim!M12</f>
        <v>2-</v>
      </c>
      <c r="N12" s="60">
        <f>Secanim!N12</f>
        <v>3</v>
      </c>
      <c r="O12" s="60">
        <f>Secanim!O12</f>
        <v>3</v>
      </c>
      <c r="P12" s="60" t="str">
        <f>Secanim!P12</f>
        <v>2-</v>
      </c>
      <c r="Q12" s="60">
        <f>Secanim!Q12</f>
        <v>1</v>
      </c>
      <c r="R12" s="60">
        <f>Secanim!R12</f>
        <v>1</v>
      </c>
      <c r="S12" s="60">
        <f>Secanim!S12</f>
        <v>1</v>
      </c>
      <c r="T12" s="60" t="str">
        <f>Secanim!T12</f>
        <v>2+</v>
      </c>
      <c r="U12" s="60">
        <f>Secanim!U12</f>
        <v>1</v>
      </c>
      <c r="V12" s="60" t="str">
        <f>Secanim!V12</f>
        <v>2-</v>
      </c>
      <c r="AB12" s="17"/>
      <c r="AC12" s="17"/>
      <c r="AD12" s="52" t="s">
        <v>142</v>
      </c>
      <c r="AE12" s="30">
        <v>7.5</v>
      </c>
      <c r="AF12" s="17"/>
      <c r="AG12" s="18"/>
      <c r="AH12" s="18"/>
      <c r="AI12" s="53" t="s">
        <v>121</v>
      </c>
      <c r="AJ12" s="54">
        <v>14</v>
      </c>
      <c r="AK12" s="55">
        <v>11</v>
      </c>
      <c r="AL12" s="11">
        <v>10</v>
      </c>
      <c r="AM12" s="11">
        <v>7</v>
      </c>
      <c r="AN12" s="11" t="s">
        <v>135</v>
      </c>
    </row>
    <row r="13" spans="1:41" x14ac:dyDescent="0.2">
      <c r="A13" s="119" t="s">
        <v>7</v>
      </c>
      <c r="B13" s="119"/>
      <c r="C13" s="60">
        <f>Secanim!C13</f>
        <v>3</v>
      </c>
      <c r="D13" s="60">
        <f>Secanim!D13</f>
        <v>3</v>
      </c>
      <c r="E13" s="60">
        <f>Secanim!E13</f>
        <v>3</v>
      </c>
      <c r="F13" s="60">
        <f>Secanim!F13</f>
        <v>3</v>
      </c>
      <c r="G13" s="60">
        <f>Secanim!G13</f>
        <v>3</v>
      </c>
      <c r="H13" s="60">
        <f>Secanim!H13</f>
        <v>2</v>
      </c>
      <c r="I13" s="60">
        <f>Secanim!I13</f>
        <v>4</v>
      </c>
      <c r="J13" s="60">
        <f>Secanim!J13</f>
        <v>3</v>
      </c>
      <c r="K13" s="60">
        <f>Secanim!K13</f>
        <v>3</v>
      </c>
      <c r="L13" s="60">
        <f>Secanim!L13</f>
        <v>3</v>
      </c>
      <c r="M13" s="60">
        <f>Secanim!M13</f>
        <v>2</v>
      </c>
      <c r="N13" s="60">
        <f>Secanim!N13</f>
        <v>2</v>
      </c>
      <c r="O13" s="60">
        <f>Secanim!O13</f>
        <v>3</v>
      </c>
      <c r="P13" s="60">
        <f>Secanim!P13</f>
        <v>2</v>
      </c>
      <c r="Q13" s="60">
        <f>Secanim!Q13</f>
        <v>3</v>
      </c>
      <c r="R13" s="60">
        <f>Secanim!R13</f>
        <v>2</v>
      </c>
      <c r="S13" s="60">
        <f>Secanim!S13</f>
        <v>1</v>
      </c>
      <c r="T13" s="60">
        <f>Secanim!T13</f>
        <v>3</v>
      </c>
      <c r="U13" s="60">
        <f>Secanim!U13</f>
        <v>1</v>
      </c>
      <c r="V13" s="60">
        <f>Secanim!V13</f>
        <v>2</v>
      </c>
      <c r="AB13" s="17"/>
      <c r="AC13" s="17"/>
      <c r="AD13" s="52" t="s">
        <v>143</v>
      </c>
      <c r="AE13" s="30">
        <v>12</v>
      </c>
      <c r="AF13" s="17"/>
      <c r="AG13" s="18"/>
      <c r="AH13" s="18"/>
      <c r="AI13" s="53" t="s">
        <v>120</v>
      </c>
      <c r="AJ13" s="54">
        <v>1.9</v>
      </c>
      <c r="AK13" s="55">
        <v>7.5</v>
      </c>
      <c r="AL13" s="11">
        <v>11</v>
      </c>
      <c r="AM13" s="11">
        <v>6.7</v>
      </c>
      <c r="AN13" s="11" t="s">
        <v>135</v>
      </c>
    </row>
    <row r="14" spans="1:41" x14ac:dyDescent="0.2">
      <c r="A14" s="131" t="s">
        <v>8</v>
      </c>
      <c r="B14" s="131"/>
      <c r="C14" s="102" t="str">
        <f>Secanim!C14</f>
        <v xml:space="preserve">Grass Silage (25% DM) </v>
      </c>
      <c r="D14" s="102" t="str">
        <f>Secanim!D14</f>
        <v xml:space="preserve">Grass Silage (25% DM) </v>
      </c>
      <c r="E14" s="102" t="str">
        <f>Secanim!E14</f>
        <v xml:space="preserve">Grass Silage (25% DM) </v>
      </c>
      <c r="F14" s="102" t="str">
        <f>Secanim!F14</f>
        <v xml:space="preserve">Grass Silage (25% DM) </v>
      </c>
      <c r="G14" s="102" t="str">
        <f>Secanim!G14</f>
        <v xml:space="preserve">Grass Silage (25% DM) </v>
      </c>
      <c r="H14" s="102" t="str">
        <f>Secanim!H14</f>
        <v xml:space="preserve">Grass Silage (25% DM) </v>
      </c>
      <c r="I14" s="102" t="str">
        <f>Secanim!I14</f>
        <v xml:space="preserve">Grass Silage (25% DM) </v>
      </c>
      <c r="J14" s="102" t="str">
        <f>Secanim!J14</f>
        <v xml:space="preserve">Grass Silage (25% DM) </v>
      </c>
      <c r="K14" s="102" t="str">
        <f>Secanim!K14</f>
        <v xml:space="preserve">Grass Silage (25% DM) </v>
      </c>
      <c r="L14" s="102" t="str">
        <f>Secanim!L14</f>
        <v xml:space="preserve">Grass Silage (25% DM) </v>
      </c>
      <c r="M14" s="102" t="str">
        <f>Secanim!M14</f>
        <v xml:space="preserve">Grass Silage (25% DM) </v>
      </c>
      <c r="N14" s="102" t="str">
        <f>Secanim!N14</f>
        <v xml:space="preserve">Grass Silage (25% DM) </v>
      </c>
      <c r="O14" s="102" t="str">
        <f>Secanim!O14</f>
        <v xml:space="preserve">Grass Silage (25% DM) </v>
      </c>
      <c r="P14" s="102" t="str">
        <f>Secanim!P14</f>
        <v xml:space="preserve">Grass Silage (25% DM) </v>
      </c>
      <c r="Q14" s="102" t="str">
        <f>Secanim!Q14</f>
        <v xml:space="preserve">Grass Silage (25% DM) </v>
      </c>
      <c r="R14" s="102" t="str">
        <f>Secanim!R14</f>
        <v xml:space="preserve">Grass Silage (25% DM) </v>
      </c>
      <c r="S14" s="102" t="str">
        <f>Secanim!S14</f>
        <v xml:space="preserve">Grass Silage (25% DM) </v>
      </c>
      <c r="T14" s="102" t="str">
        <f>Secanim!T14</f>
        <v xml:space="preserve">Grass Silage (25% DM) </v>
      </c>
      <c r="U14" s="102" t="str">
        <f>Secanim!U14</f>
        <v xml:space="preserve">Grass Silage (25% DM) </v>
      </c>
      <c r="V14" s="102" t="str">
        <f>Secanim!V14</f>
        <v xml:space="preserve">Grass Silage (25% DM) </v>
      </c>
      <c r="AD14" s="30" t="s">
        <v>138</v>
      </c>
      <c r="AE14" s="30">
        <v>6</v>
      </c>
      <c r="AI14" s="53" t="s">
        <v>119</v>
      </c>
      <c r="AJ14" s="54">
        <v>0.8</v>
      </c>
      <c r="AK14" s="55">
        <v>1.7</v>
      </c>
      <c r="AL14" s="11">
        <v>12</v>
      </c>
      <c r="AM14" s="11">
        <v>6.7</v>
      </c>
      <c r="AN14" s="11" t="s">
        <v>135</v>
      </c>
    </row>
    <row r="15" spans="1:41" x14ac:dyDescent="0.2">
      <c r="A15" s="130" t="s">
        <v>9</v>
      </c>
      <c r="B15" s="130"/>
      <c r="C15" s="60">
        <f>Secanim!C15</f>
        <v>38</v>
      </c>
      <c r="D15" s="60">
        <f>Secanim!D15</f>
        <v>38</v>
      </c>
      <c r="E15" s="60">
        <f>Secanim!E15</f>
        <v>38</v>
      </c>
      <c r="F15" s="60">
        <f>Secanim!F15</f>
        <v>38</v>
      </c>
      <c r="G15" s="60">
        <f>Secanim!G15</f>
        <v>38</v>
      </c>
      <c r="H15" s="60">
        <f>Secanim!H15</f>
        <v>38</v>
      </c>
      <c r="I15" s="60">
        <f>Secanim!I15</f>
        <v>38</v>
      </c>
      <c r="J15" s="60">
        <f>Secanim!J15</f>
        <v>38</v>
      </c>
      <c r="K15" s="60">
        <f>Secanim!K15</f>
        <v>38</v>
      </c>
      <c r="L15" s="60">
        <f>Secanim!L15</f>
        <v>38</v>
      </c>
      <c r="M15" s="60">
        <f>Secanim!M15</f>
        <v>38</v>
      </c>
      <c r="N15" s="60">
        <f>Secanim!N15</f>
        <v>38</v>
      </c>
      <c r="O15" s="60">
        <f>Secanim!O15</f>
        <v>38</v>
      </c>
      <c r="P15" s="60">
        <f>Secanim!P15</f>
        <v>38</v>
      </c>
      <c r="Q15" s="60">
        <f>Secanim!Q15</f>
        <v>38</v>
      </c>
      <c r="R15" s="60">
        <f>Secanim!R15</f>
        <v>38</v>
      </c>
      <c r="S15" s="60">
        <f>Secanim!S15</f>
        <v>38</v>
      </c>
      <c r="T15" s="60">
        <f>Secanim!T15</f>
        <v>38</v>
      </c>
      <c r="U15" s="60">
        <f>Secanim!U15</f>
        <v>38</v>
      </c>
      <c r="V15" s="60">
        <f>Secanim!V15</f>
        <v>38</v>
      </c>
      <c r="AD15" s="30" t="s">
        <v>144</v>
      </c>
      <c r="AE15" s="30">
        <v>7</v>
      </c>
      <c r="AI15" s="53" t="s">
        <v>101</v>
      </c>
      <c r="AJ15" s="62">
        <v>1.8</v>
      </c>
      <c r="AK15" s="55">
        <v>5.4</v>
      </c>
      <c r="AL15" s="11">
        <v>13</v>
      </c>
      <c r="AM15" s="11">
        <v>6.7</v>
      </c>
      <c r="AN15" s="11" t="s">
        <v>135</v>
      </c>
    </row>
    <row r="16" spans="1:41" ht="13.5" thickBot="1" x14ac:dyDescent="0.25">
      <c r="A16" s="132" t="s">
        <v>44</v>
      </c>
      <c r="B16" s="132"/>
      <c r="C16" s="103" t="str">
        <f>Secanim!C16</f>
        <v>Medium/Clay</v>
      </c>
      <c r="D16" s="103" t="str">
        <f>Secanim!D16</f>
        <v>Medium/Clay</v>
      </c>
      <c r="E16" s="103" t="str">
        <f>Secanim!E16</f>
        <v>Medium/Clay</v>
      </c>
      <c r="F16" s="103" t="str">
        <f>Secanim!F16</f>
        <v>Medium/Clay</v>
      </c>
      <c r="G16" s="103" t="str">
        <f>Secanim!G16</f>
        <v>Medium/Clay</v>
      </c>
      <c r="H16" s="103" t="str">
        <f>Secanim!H16</f>
        <v>Medium/Clay</v>
      </c>
      <c r="I16" s="103" t="str">
        <f>Secanim!I16</f>
        <v>Medium/Clay</v>
      </c>
      <c r="J16" s="103" t="str">
        <f>Secanim!J16</f>
        <v>Medium/Clay</v>
      </c>
      <c r="K16" s="103" t="str">
        <f>Secanim!K16</f>
        <v>Medium/Clay</v>
      </c>
      <c r="L16" s="103" t="str">
        <f>Secanim!L16</f>
        <v>Medium/Clay</v>
      </c>
      <c r="M16" s="103" t="str">
        <f>Secanim!M16</f>
        <v>Medium/Clay</v>
      </c>
      <c r="N16" s="103" t="str">
        <f>Secanim!N16</f>
        <v>Medium/Clay</v>
      </c>
      <c r="O16" s="103" t="str">
        <f>Secanim!O16</f>
        <v>Medium/Clay</v>
      </c>
      <c r="P16" s="103" t="str">
        <f>Secanim!P16</f>
        <v>Medium/Clay</v>
      </c>
      <c r="Q16" s="103" t="str">
        <f>Secanim!Q16</f>
        <v>Medium/Clay</v>
      </c>
      <c r="R16" s="103" t="str">
        <f>Secanim!R16</f>
        <v>Medium/Clay</v>
      </c>
      <c r="S16" s="103" t="str">
        <f>Secanim!S16</f>
        <v>Medium/Clay</v>
      </c>
      <c r="T16" s="103" t="str">
        <f>Secanim!T16</f>
        <v>Medium/Clay</v>
      </c>
      <c r="U16" s="103" t="str">
        <f>Secanim!U16</f>
        <v>Medium/Clay</v>
      </c>
      <c r="V16" s="103" t="str">
        <f>Secanim!V16</f>
        <v>Medium/Clay</v>
      </c>
      <c r="AD16" s="52" t="s">
        <v>145</v>
      </c>
      <c r="AE16" s="30">
        <v>8</v>
      </c>
      <c r="AI16" s="53" t="s">
        <v>118</v>
      </c>
      <c r="AJ16" s="54">
        <v>8</v>
      </c>
      <c r="AK16" s="55">
        <v>5.5</v>
      </c>
      <c r="AL16" s="12">
        <v>14</v>
      </c>
      <c r="AM16" s="11">
        <v>6.7</v>
      </c>
      <c r="AN16" s="11" t="s">
        <v>135</v>
      </c>
    </row>
    <row r="17" spans="1:40" x14ac:dyDescent="0.2">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64.599999999999994</v>
      </c>
      <c r="R17" s="28">
        <f t="shared" si="0"/>
        <v>64.599999999999994</v>
      </c>
      <c r="S17" s="28">
        <f t="shared" si="0"/>
        <v>64.599999999999994</v>
      </c>
      <c r="T17" s="28">
        <f t="shared" si="0"/>
        <v>64.599999999999994</v>
      </c>
      <c r="U17" s="28">
        <f t="shared" si="0"/>
        <v>64.599999999999994</v>
      </c>
      <c r="V17" s="28">
        <f t="shared" si="0"/>
        <v>64.599999999999994</v>
      </c>
      <c r="AD17" s="52" t="s">
        <v>146</v>
      </c>
      <c r="AE17" s="30">
        <v>10</v>
      </c>
      <c r="AI17" s="48" t="s">
        <v>115</v>
      </c>
      <c r="AJ17" s="49">
        <v>1.4</v>
      </c>
      <c r="AK17" s="50">
        <v>4.8</v>
      </c>
      <c r="AL17" s="51">
        <v>15</v>
      </c>
      <c r="AM17" s="11">
        <v>6.2</v>
      </c>
      <c r="AN17" s="11" t="s">
        <v>112</v>
      </c>
    </row>
    <row r="18" spans="1:40" x14ac:dyDescent="0.2">
      <c r="A18" s="124" t="s">
        <v>23</v>
      </c>
      <c r="B18" s="125"/>
      <c r="C18" s="16">
        <f>$D31</f>
        <v>49.141949999999994</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24" t="s">
        <v>90</v>
      </c>
      <c r="B19" s="125"/>
      <c r="C19" s="16">
        <f>C18-C17</f>
        <v>-15.45805</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-64.599999999999994</v>
      </c>
      <c r="K19" s="16">
        <f t="shared" si="1"/>
        <v>-64.599999999999994</v>
      </c>
      <c r="L19" s="16">
        <f t="shared" si="1"/>
        <v>-64.599999999999994</v>
      </c>
      <c r="M19" s="16">
        <f t="shared" si="1"/>
        <v>-64.599999999999994</v>
      </c>
      <c r="N19" s="16">
        <f t="shared" si="1"/>
        <v>-64.599999999999994</v>
      </c>
      <c r="O19" s="16">
        <f t="shared" si="1"/>
        <v>-64.599999999999994</v>
      </c>
      <c r="P19" s="16">
        <f t="shared" si="1"/>
        <v>-64.599999999999994</v>
      </c>
      <c r="Q19" s="16">
        <f t="shared" si="1"/>
        <v>-64.599999999999994</v>
      </c>
      <c r="R19" s="16">
        <f t="shared" si="1"/>
        <v>-64.599999999999994</v>
      </c>
      <c r="S19" s="16">
        <f t="shared" si="1"/>
        <v>-64.599999999999994</v>
      </c>
      <c r="T19" s="16">
        <f t="shared" si="1"/>
        <v>-64.599999999999994</v>
      </c>
      <c r="U19" s="16">
        <f t="shared" si="1"/>
        <v>-64.599999999999994</v>
      </c>
      <c r="V19" s="25">
        <f t="shared" si="1"/>
        <v>-64.599999999999994</v>
      </c>
      <c r="AI19" s="48" t="s">
        <v>107</v>
      </c>
      <c r="AJ19" s="49">
        <v>3.2</v>
      </c>
      <c r="AK19" s="50">
        <v>10.5</v>
      </c>
      <c r="AL19" s="51">
        <v>17</v>
      </c>
      <c r="AM19" s="11">
        <v>6.2</v>
      </c>
      <c r="AN19" s="11" t="s">
        <v>112</v>
      </c>
    </row>
    <row r="20" spans="1:40" ht="13.5" thickBot="1" x14ac:dyDescent="0.25">
      <c r="A20" s="126" t="s">
        <v>91</v>
      </c>
      <c r="B20" s="127"/>
      <c r="C20" s="26" t="str">
        <f>IF($B31="","",IF(C$19&gt;=0,"INCREASE","DECREASE"))</f>
        <v>DECREASE</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22" t="s">
        <v>88</v>
      </c>
      <c r="B21" s="123"/>
      <c r="C21" s="28">
        <f>(VLOOKUP(C$14,$AI2:$AK26,3,FALSE))*C$15</f>
        <v>228</v>
      </c>
      <c r="D21" s="28">
        <f t="shared" ref="D21:V21" si="2">(VLOOKUP(D$14,$AI2:$AK24,3,FALSE))*D$15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228</v>
      </c>
      <c r="Q21" s="28">
        <f t="shared" si="2"/>
        <v>228</v>
      </c>
      <c r="R21" s="28">
        <f t="shared" si="2"/>
        <v>228</v>
      </c>
      <c r="S21" s="28">
        <f t="shared" si="2"/>
        <v>228</v>
      </c>
      <c r="T21" s="28">
        <f t="shared" si="2"/>
        <v>228</v>
      </c>
      <c r="U21" s="28">
        <f t="shared" si="2"/>
        <v>228</v>
      </c>
      <c r="V21" s="28">
        <f t="shared" si="2"/>
        <v>228</v>
      </c>
      <c r="AI21" s="63" t="s">
        <v>100</v>
      </c>
      <c r="AJ21" s="66">
        <v>11</v>
      </c>
      <c r="AK21" s="65">
        <v>12</v>
      </c>
      <c r="AL21" s="29">
        <v>19</v>
      </c>
      <c r="AM21" s="11">
        <v>6.7</v>
      </c>
      <c r="AN21" s="11" t="s">
        <v>135</v>
      </c>
    </row>
    <row r="22" spans="1:40" x14ac:dyDescent="0.2">
      <c r="A22" s="124" t="s">
        <v>89</v>
      </c>
      <c r="B22" s="125"/>
      <c r="C22" s="16">
        <f>$E31</f>
        <v>14.615445000000001</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24" t="s">
        <v>92</v>
      </c>
      <c r="B23" s="125"/>
      <c r="C23" s="16">
        <f>C22-C21</f>
        <v>-213.38455500000001</v>
      </c>
      <c r="D23" s="16">
        <f t="shared" ref="D23:V23" si="3">D22-D21</f>
        <v>-228</v>
      </c>
      <c r="E23" s="16">
        <f t="shared" si="3"/>
        <v>-228</v>
      </c>
      <c r="F23" s="16">
        <f t="shared" si="3"/>
        <v>-228</v>
      </c>
      <c r="G23" s="16">
        <f t="shared" si="3"/>
        <v>-228</v>
      </c>
      <c r="H23" s="16">
        <f t="shared" si="3"/>
        <v>-228</v>
      </c>
      <c r="I23" s="16">
        <f t="shared" si="3"/>
        <v>-228</v>
      </c>
      <c r="J23" s="16">
        <f t="shared" si="3"/>
        <v>-228</v>
      </c>
      <c r="K23" s="16">
        <f t="shared" si="3"/>
        <v>-228</v>
      </c>
      <c r="L23" s="16">
        <f t="shared" si="3"/>
        <v>-228</v>
      </c>
      <c r="M23" s="16">
        <f t="shared" si="3"/>
        <v>-228</v>
      </c>
      <c r="N23" s="16">
        <f t="shared" si="3"/>
        <v>-228</v>
      </c>
      <c r="O23" s="16">
        <f t="shared" si="3"/>
        <v>-228</v>
      </c>
      <c r="P23" s="16">
        <f t="shared" si="3"/>
        <v>-228</v>
      </c>
      <c r="Q23" s="16">
        <f t="shared" si="3"/>
        <v>-228</v>
      </c>
      <c r="R23" s="16">
        <f t="shared" si="3"/>
        <v>-228</v>
      </c>
      <c r="S23" s="16">
        <f t="shared" si="3"/>
        <v>-228</v>
      </c>
      <c r="T23" s="16">
        <f t="shared" si="3"/>
        <v>-228</v>
      </c>
      <c r="U23" s="16">
        <f t="shared" si="3"/>
        <v>-228</v>
      </c>
      <c r="V23" s="16">
        <f t="shared" si="3"/>
        <v>-228</v>
      </c>
      <c r="AI23" s="63" t="s">
        <v>98</v>
      </c>
      <c r="AJ23" s="66">
        <v>9</v>
      </c>
      <c r="AK23" s="65">
        <v>10</v>
      </c>
      <c r="AL23" s="29">
        <v>21</v>
      </c>
      <c r="AM23" s="11">
        <v>6.7</v>
      </c>
      <c r="AN23" s="11" t="s">
        <v>135</v>
      </c>
    </row>
    <row r="24" spans="1:40" ht="13.5" thickBot="1" x14ac:dyDescent="0.25">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str">
        <f t="shared" si="4"/>
        <v>DECREASE</v>
      </c>
      <c r="T24" s="26" t="str">
        <f t="shared" si="4"/>
        <v>DECREASE</v>
      </c>
      <c r="U24" s="26" t="str">
        <f t="shared" si="4"/>
        <v>DECREASE</v>
      </c>
      <c r="V24" s="26" t="str">
        <f t="shared" si="4"/>
        <v>DECREASE</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25">
      <c r="A28" s="108"/>
      <c r="B28" s="24">
        <v>1.51</v>
      </c>
      <c r="C28" s="15">
        <v>0.11</v>
      </c>
      <c r="D28" s="15">
        <v>165</v>
      </c>
      <c r="E28" s="15">
        <v>93.3</v>
      </c>
      <c r="F28" s="15">
        <v>79.900000000000006</v>
      </c>
      <c r="G28" s="15">
        <v>0.68400000000000005</v>
      </c>
      <c r="H28" s="15">
        <v>3.79</v>
      </c>
      <c r="I28" s="15">
        <v>0.5</v>
      </c>
      <c r="J28" s="15">
        <v>0.01</v>
      </c>
      <c r="K28" s="23">
        <v>0.05</v>
      </c>
      <c r="L28" s="15">
        <v>0.2</v>
      </c>
      <c r="M28" s="15">
        <v>0.22600000000000001</v>
      </c>
      <c r="N28" s="15"/>
      <c r="O28" s="15"/>
      <c r="P28" s="15">
        <v>336</v>
      </c>
      <c r="Q28" s="15">
        <v>195</v>
      </c>
      <c r="R28" s="15"/>
      <c r="S28" s="15"/>
      <c r="T28" s="15"/>
      <c r="U28" s="15"/>
    </row>
    <row r="29" spans="1:40" s="7" customFormat="1" ht="27" x14ac:dyDescent="0.2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5905</v>
      </c>
      <c r="B31" s="15">
        <v>130</v>
      </c>
      <c r="C31" s="77">
        <f>IF(C$27="%w/w SAR",((C$28*10)*$B31),IF(C$27="%w/w DM",(((C$28*10)*($B$28/100))*$B31),IF(C$27="kg/t SAR",(C$28*$B31),IF(C$27="kg/t DM",((C$28*($B$28/100))*$B31),IF(C$27="mg/kg SAR",((C$28*0.001)*$B31),IF(C$27="mg/kg DM",(((C$28*0.001)*($B$28/100))*$B31),0))))))</f>
        <v>143</v>
      </c>
      <c r="D31" s="77">
        <f>(IF(D$27="%w/w SAR",((D$28*10)*$B31),IF(D$27="%w/w DM",(((D$28*10)*($B$28/100))*$B31),IF(D$27="kg/t SAR",(D$28*$B31),IF(D$27="kg/t DM",((D$28*($B$28/100))*$B31),IF(D$27="mg/kg SAR",((D$28*0.001)*$B31),IF(D$27="mg/kg DM",(((D$28*0.001)*($B$28/100))*$B31),"0")))))))*2.291</f>
        <v>49.141949999999994</v>
      </c>
      <c r="E31" s="77">
        <f>(IF(E$27="%w/w SAR",((E$28*10)*$B31),IF(E$27="%w/w DM",(((E$28*10)*($B$28/100))*$B31),IF(E$27="kg/t SAR",(E$28*$B31),IF(E$27="kg/t DM",((E$28*($B$28/100))*$B31),IF(E$27="mg/kg SAR",((E$28*0.001)*$B31),IF(E$27="mg/kg DM",(((E$28*0.001)*($B$28/100))*$B31),"0")))))))*1.205</f>
        <v>14.615445000000001</v>
      </c>
      <c r="F31" s="77">
        <f>(IF(F$27="%w/w SAR",((F$28*10)*$B31),IF(F$27="%w/w DM",(((F$28*10)*($B$28/100))*$B31),IF(F$27="kg/t SAR",(F$28*$B31),IF(F$27="kg/t DM",((F$28*($B$28/100))*$B31),IF(F$27="mg/kg SAR",((F$28*0.001)*$B31),IF(F$27="mg/kg DM",(((F$28*0.001)*($B$28/100))*$B31),"0")))))))*1.658</f>
        <v>17.221646000000003</v>
      </c>
      <c r="G31" s="77">
        <f t="shared" ref="G31:P46" si="5">IF(G$27="%w/w SAR",((G$28*10)*$B31),IF(G$27="%w/w DM",(((G$28*10)*($B$28/100))*$B31),IF(G$27="kg/t SAR",(G$28*$B31),IF(G$27="kg/t DM",((G$28*($B$28/100))*$B31),IF(G$27="mg/kg SAR",((G$28*0.001)*$B31),IF(G$27="mg/kg DM",(((G$28*0.001)*($B$28/100))*$B31),0))))))</f>
        <v>8.8919999999999999E-2</v>
      </c>
      <c r="H31" s="77">
        <f t="shared" si="5"/>
        <v>0.49269999999999997</v>
      </c>
      <c r="I31" s="77">
        <f t="shared" si="5"/>
        <v>6.5000000000000002E-2</v>
      </c>
      <c r="J31" s="77">
        <f t="shared" si="5"/>
        <v>1.3000000000000002E-3</v>
      </c>
      <c r="K31" s="77">
        <f t="shared" si="5"/>
        <v>6.5000000000000006E-3</v>
      </c>
      <c r="L31" s="77">
        <f t="shared" si="5"/>
        <v>2.6000000000000002E-2</v>
      </c>
      <c r="M31" s="77">
        <f t="shared" si="5"/>
        <v>2.9380000000000003E-2</v>
      </c>
      <c r="N31" s="77">
        <f t="shared" si="5"/>
        <v>0</v>
      </c>
      <c r="O31" s="77">
        <f t="shared" si="5"/>
        <v>0</v>
      </c>
      <c r="P31" s="77">
        <f t="shared" si="5"/>
        <v>43.68</v>
      </c>
      <c r="Q31" s="77">
        <f>(IF(Q$27="%w/w SAR",((Q$28*10)*$B31),IF(Q$27="%w/w DM",(((Q$28*10)*($B$28/100))*$B31),IF(Q$27="kg/t SAR",(Q$28*$B31),IF(Q$27="kg/t DM",((Q$28*($B$28/100))*$B31),IF(Q$27="mg/kg SAR",((Q$28*0.001)*$B31),IF(Q$27="mg/kg DM",(((Q$28*0.001)*($B$28/100))*$B31),0)))))))*2.5</f>
        <v>63.375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4279</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7605</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3851</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6418</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1843</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5974</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5490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2565</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7887</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2946</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2881</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3398</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5694</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2991</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3799</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5813</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1390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9596</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716</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5905</v>
      </c>
      <c r="C57" s="8">
        <f t="shared" ref="C57:U57" si="13">D8</f>
        <v>4279</v>
      </c>
      <c r="D57" s="8">
        <f t="shared" si="13"/>
        <v>7605</v>
      </c>
      <c r="E57" s="8">
        <f t="shared" si="13"/>
        <v>3851</v>
      </c>
      <c r="F57" s="8">
        <f t="shared" si="13"/>
        <v>6418</v>
      </c>
      <c r="G57" s="8">
        <f t="shared" si="13"/>
        <v>1843</v>
      </c>
      <c r="H57" s="8">
        <f t="shared" si="13"/>
        <v>5974</v>
      </c>
      <c r="I57" s="8">
        <f t="shared" si="13"/>
        <v>5490</v>
      </c>
      <c r="J57" s="8">
        <f t="shared" si="13"/>
        <v>2565</v>
      </c>
      <c r="K57" s="8">
        <f t="shared" si="13"/>
        <v>7887</v>
      </c>
      <c r="L57" s="8">
        <f t="shared" si="13"/>
        <v>2946</v>
      </c>
      <c r="M57" s="8">
        <f t="shared" si="13"/>
        <v>2881</v>
      </c>
      <c r="N57" s="8">
        <f t="shared" si="13"/>
        <v>3398</v>
      </c>
      <c r="O57" s="8">
        <f t="shared" si="13"/>
        <v>5694</v>
      </c>
      <c r="P57" s="8">
        <f t="shared" si="13"/>
        <v>2991</v>
      </c>
      <c r="Q57" s="8">
        <f t="shared" si="13"/>
        <v>3799</v>
      </c>
      <c r="R57" s="8">
        <f t="shared" si="13"/>
        <v>5813</v>
      </c>
      <c r="S57" s="8">
        <f t="shared" si="13"/>
        <v>1390</v>
      </c>
      <c r="T57" s="8">
        <f t="shared" si="13"/>
        <v>9596</v>
      </c>
      <c r="U57" s="8">
        <f t="shared" si="13"/>
        <v>716</v>
      </c>
    </row>
    <row r="58" spans="1:35" s="19" customFormat="1" x14ac:dyDescent="0.25">
      <c r="A58" s="92" t="s">
        <v>136</v>
      </c>
      <c r="B58" s="13" t="str">
        <f>C16&amp;" I "&amp;(VLOOKUP(C14,Table245811[],6,FALSE))</f>
        <v>Medium/Clay I Grass</v>
      </c>
      <c r="C58" s="13" t="str">
        <f>D16&amp;" I "&amp;(VLOOKUP(D14,Table245811[],6,FALSE))</f>
        <v>Medium/Clay I Grass</v>
      </c>
      <c r="D58" s="13" t="str">
        <f>E16&amp;" I "&amp;(VLOOKUP(E14,Table245811[],6,FALSE))</f>
        <v>Medium/Clay I Grass</v>
      </c>
      <c r="E58" s="13" t="str">
        <f>F16&amp;" I "&amp;(VLOOKUP(F14,Table245811[],6,FALSE))</f>
        <v>Medium/Clay I Grass</v>
      </c>
      <c r="F58" s="13" t="str">
        <f>G16&amp;" I "&amp;(VLOOKUP(G14,Table245811[],6,FALSE))</f>
        <v>Medium/Clay I Grass</v>
      </c>
      <c r="G58" s="13" t="str">
        <f>H16&amp;" I "&amp;(VLOOKUP(H14,Table245811[],6,FALSE))</f>
        <v>Medium/Clay I Grass</v>
      </c>
      <c r="H58" s="13" t="str">
        <f>I16&amp;" I "&amp;(VLOOKUP(I14,Table245811[],6,FALSE))</f>
        <v>Medium/Clay I Grass</v>
      </c>
      <c r="I58" s="13" t="str">
        <f>J16&amp;" I "&amp;(VLOOKUP(J14,Table245811[],6,FALSE))</f>
        <v>Medium/Clay I Grass</v>
      </c>
      <c r="J58" s="13" t="str">
        <f>K16&amp;" I "&amp;(VLOOKUP(K14,Table245811[],6,FALSE))</f>
        <v>Medium/Clay I Grass</v>
      </c>
      <c r="K58" s="13" t="str">
        <f>L16&amp;" I "&amp;(VLOOKUP(L14,Table245811[],6,FALSE))</f>
        <v>Medium/Clay I Grass</v>
      </c>
      <c r="L58" s="13" t="str">
        <f>M16&amp;" I "&amp;(VLOOKUP(M14,Table245811[],6,FALSE))</f>
        <v>Medium/Clay I Grass</v>
      </c>
      <c r="M58" s="13" t="str">
        <f>N16&amp;" I "&amp;(VLOOKUP(N14,Table245811[],6,FALSE))</f>
        <v>Medium/Clay I Grass</v>
      </c>
      <c r="N58" s="13" t="str">
        <f>O16&amp;" I "&amp;(VLOOKUP(O14,Table245811[],6,FALSE))</f>
        <v>Medium/Clay I Grass</v>
      </c>
      <c r="O58" s="13" t="str">
        <f>P16&amp;" I "&amp;(VLOOKUP(P14,Table245811[],6,FALSE))</f>
        <v>Medium/Clay I Grass</v>
      </c>
      <c r="P58" s="13" t="str">
        <f>Q16&amp;" I "&amp;(VLOOKUP(Q14,Table245811[],6,FALSE))</f>
        <v>Medium/Clay I Grass</v>
      </c>
      <c r="Q58" s="13" t="str">
        <f>R16&amp;" I "&amp;(VLOOKUP(R14,Table245811[],6,FALSE))</f>
        <v>Medium/Clay I Grass</v>
      </c>
      <c r="R58" s="13" t="str">
        <f>S16&amp;" I "&amp;(VLOOKUP(S14,Table245811[],6,FALSE))</f>
        <v>Medium/Clay I Grass</v>
      </c>
      <c r="S58" s="13" t="str">
        <f>T16&amp;" I "&amp;(VLOOKUP(T14,Table245811[],6,FALSE))</f>
        <v>Medium/Clay I Grass</v>
      </c>
      <c r="T58" s="13" t="str">
        <f>U16&amp;" I "&amp;(VLOOKUP(U14,Table245811[],6,FALSE))</f>
        <v>Medium/Clay I Grass</v>
      </c>
      <c r="U58" s="13" t="str">
        <f>V16&amp;" I "&amp;(VLOOKUP(V14,Table245811[],6,FALSE))</f>
        <v>Medium/Clay I Grass</v>
      </c>
    </row>
    <row r="59" spans="1:35" s="19" customFormat="1" x14ac:dyDescent="0.2">
      <c r="A59" s="111" t="s">
        <v>132</v>
      </c>
      <c r="B59" s="76">
        <f>VLOOKUP(C$14,Table245811[],5,FALSE)</f>
        <v>6.2</v>
      </c>
      <c r="C59" s="76">
        <f>VLOOKUP(D$14,Table245811[],5,FALSE)</f>
        <v>6.2</v>
      </c>
      <c r="D59" s="76">
        <f>VLOOKUP(E$14,Table245811[],5,FALSE)</f>
        <v>6.2</v>
      </c>
      <c r="E59" s="76">
        <f>VLOOKUP(F$14,Table245811[],5,FALSE)</f>
        <v>6.2</v>
      </c>
      <c r="F59" s="76">
        <f>VLOOKUP(G$14,Table245811[],5,FALSE)</f>
        <v>6.2</v>
      </c>
      <c r="G59" s="76">
        <f>VLOOKUP(H$14,Table245811[],5,FALSE)</f>
        <v>6.2</v>
      </c>
      <c r="H59" s="76">
        <f>VLOOKUP(I$14,Table245811[],5,FALSE)</f>
        <v>6.2</v>
      </c>
      <c r="I59" s="76">
        <f>VLOOKUP(J$14,Table245811[],5,FALSE)</f>
        <v>6.2</v>
      </c>
      <c r="J59" s="76">
        <f>VLOOKUP(K$14,Table245811[],5,FALSE)</f>
        <v>6.2</v>
      </c>
      <c r="K59" s="76">
        <f>VLOOKUP(L$14,Table245811[],5,FALSE)</f>
        <v>6.2</v>
      </c>
      <c r="L59" s="76">
        <f>VLOOKUP(M$14,Table245811[],5,FALSE)</f>
        <v>6.2</v>
      </c>
      <c r="M59" s="76">
        <f>VLOOKUP(N$14,Table245811[],5,FALSE)</f>
        <v>6.2</v>
      </c>
      <c r="N59" s="76">
        <f>VLOOKUP(O$14,Table245811[],5,FALSE)</f>
        <v>6.2</v>
      </c>
      <c r="O59" s="76">
        <f>VLOOKUP(P$14,Table245811[],5,FALSE)</f>
        <v>6.2</v>
      </c>
      <c r="P59" s="76">
        <f>VLOOKUP(Q$14,Table245811[],5,FALSE)</f>
        <v>6.2</v>
      </c>
      <c r="Q59" s="76">
        <f>VLOOKUP(R$14,Table245811[],5,FALSE)</f>
        <v>6.2</v>
      </c>
      <c r="R59" s="76">
        <f>VLOOKUP(S$14,Table245811[],5,FALSE)</f>
        <v>6.2</v>
      </c>
      <c r="S59" s="76">
        <f>VLOOKUP(T$14,Table245811[],5,FALSE)</f>
        <v>6.2</v>
      </c>
      <c r="T59" s="76">
        <f>VLOOKUP(U$14,Table245811[],5,FALSE)</f>
        <v>6.2</v>
      </c>
      <c r="U59" s="76">
        <f>VLOOKUP(V$14,Table245811[],5,FALSE)</f>
        <v>6.2</v>
      </c>
    </row>
    <row r="60" spans="1:35" s="19" customFormat="1" x14ac:dyDescent="0.2">
      <c r="A60" s="111" t="s">
        <v>4</v>
      </c>
      <c r="B60" s="76">
        <f>C10</f>
        <v>6.2</v>
      </c>
      <c r="C60" s="76">
        <f t="shared" ref="C60:U60" si="14">D10</f>
        <v>5.6</v>
      </c>
      <c r="D60" s="76">
        <f t="shared" si="14"/>
        <v>6.3</v>
      </c>
      <c r="E60" s="76">
        <f t="shared" si="14"/>
        <v>6</v>
      </c>
      <c r="F60" s="76">
        <f t="shared" si="14"/>
        <v>5.8</v>
      </c>
      <c r="G60" s="76">
        <f t="shared" si="14"/>
        <v>5.3</v>
      </c>
      <c r="H60" s="76">
        <f t="shared" si="14"/>
        <v>6</v>
      </c>
      <c r="I60" s="76">
        <f t="shared" si="14"/>
        <v>6.1</v>
      </c>
      <c r="J60" s="76">
        <f t="shared" si="14"/>
        <v>5.5</v>
      </c>
      <c r="K60" s="76">
        <f t="shared" si="14"/>
        <v>6.1</v>
      </c>
      <c r="L60" s="76">
        <f t="shared" si="14"/>
        <v>5.5</v>
      </c>
      <c r="M60" s="76">
        <f t="shared" si="14"/>
        <v>5.6</v>
      </c>
      <c r="N60" s="76">
        <f t="shared" si="14"/>
        <v>5.9</v>
      </c>
      <c r="O60" s="76">
        <f t="shared" si="14"/>
        <v>6.5</v>
      </c>
      <c r="P60" s="76">
        <f t="shared" si="14"/>
        <v>5.7</v>
      </c>
      <c r="Q60" s="76">
        <f t="shared" si="14"/>
        <v>6.4</v>
      </c>
      <c r="R60" s="76">
        <f t="shared" si="14"/>
        <v>6.7</v>
      </c>
      <c r="S60" s="76">
        <f t="shared" si="14"/>
        <v>5.4</v>
      </c>
      <c r="T60" s="76">
        <f t="shared" si="14"/>
        <v>5.5</v>
      </c>
      <c r="U60" s="76">
        <f t="shared" si="14"/>
        <v>6.4</v>
      </c>
    </row>
    <row r="61" spans="1:35" s="19" customFormat="1" x14ac:dyDescent="0.2">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f t="shared" si="15"/>
        <v>6</v>
      </c>
      <c r="R61" s="76">
        <f t="shared" si="15"/>
        <v>6</v>
      </c>
      <c r="S61" s="76">
        <f t="shared" si="15"/>
        <v>6</v>
      </c>
      <c r="T61" s="76">
        <f t="shared" si="15"/>
        <v>6</v>
      </c>
      <c r="U61" s="76">
        <f t="shared" si="15"/>
        <v>6</v>
      </c>
    </row>
    <row r="62" spans="1:35" s="19" customFormat="1" x14ac:dyDescent="0.2">
      <c r="A62" s="111" t="s">
        <v>134</v>
      </c>
      <c r="B62" s="77">
        <f>B31</f>
        <v>130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0</v>
      </c>
      <c r="C64" s="77">
        <f t="shared" ref="C64:U64" si="17">(C59-C60)*C61</f>
        <v>3.6000000000000032</v>
      </c>
      <c r="D64" s="77">
        <f t="shared" si="17"/>
        <v>-0.59999999999999787</v>
      </c>
      <c r="E64" s="77">
        <f t="shared" si="17"/>
        <v>1.2000000000000011</v>
      </c>
      <c r="F64" s="77">
        <f t="shared" si="17"/>
        <v>2.4000000000000021</v>
      </c>
      <c r="G64" s="77">
        <f t="shared" si="17"/>
        <v>5.4000000000000021</v>
      </c>
      <c r="H64" s="77">
        <f t="shared" si="17"/>
        <v>1.2000000000000011</v>
      </c>
      <c r="I64" s="77">
        <f t="shared" si="17"/>
        <v>0.6000000000000032</v>
      </c>
      <c r="J64" s="77">
        <f t="shared" si="17"/>
        <v>4.2000000000000011</v>
      </c>
      <c r="K64" s="77">
        <f t="shared" si="17"/>
        <v>0.6000000000000032</v>
      </c>
      <c r="L64" s="77">
        <f t="shared" si="17"/>
        <v>4.2000000000000011</v>
      </c>
      <c r="M64" s="77">
        <f t="shared" si="17"/>
        <v>3.6000000000000032</v>
      </c>
      <c r="N64" s="77">
        <f t="shared" si="17"/>
        <v>1.7999999999999989</v>
      </c>
      <c r="O64" s="77">
        <f t="shared" si="17"/>
        <v>-1.7999999999999989</v>
      </c>
      <c r="P64" s="77">
        <f t="shared" si="17"/>
        <v>3</v>
      </c>
      <c r="Q64" s="77">
        <f t="shared" si="17"/>
        <v>-1.2000000000000011</v>
      </c>
      <c r="R64" s="77">
        <f t="shared" si="17"/>
        <v>-3</v>
      </c>
      <c r="S64" s="77">
        <f t="shared" si="17"/>
        <v>4.7999999999999989</v>
      </c>
      <c r="T64" s="77">
        <f t="shared" si="17"/>
        <v>4.2000000000000011</v>
      </c>
      <c r="U64" s="77">
        <f t="shared" si="17"/>
        <v>-1.2000000000000011</v>
      </c>
    </row>
    <row r="65" spans="1:21" s="19" customFormat="1" ht="51" x14ac:dyDescent="0.2">
      <c r="A65" s="112" t="s">
        <v>157</v>
      </c>
      <c r="B65" s="77">
        <f>B63-B64</f>
        <v>0</v>
      </c>
      <c r="C65" s="77">
        <f t="shared" ref="C65:U65" si="18">C63-C64</f>
        <v>-3.6000000000000032</v>
      </c>
      <c r="D65" s="77">
        <f t="shared" si="18"/>
        <v>0.59999999999999787</v>
      </c>
      <c r="E65" s="77">
        <f t="shared" si="18"/>
        <v>-1.2000000000000011</v>
      </c>
      <c r="F65" s="77">
        <f t="shared" si="18"/>
        <v>-2.4000000000000021</v>
      </c>
      <c r="G65" s="77">
        <f t="shared" si="18"/>
        <v>-5.4000000000000021</v>
      </c>
      <c r="H65" s="77">
        <f t="shared" si="18"/>
        <v>-1.2000000000000011</v>
      </c>
      <c r="I65" s="77">
        <f t="shared" si="18"/>
        <v>-0.6000000000000032</v>
      </c>
      <c r="J65" s="77">
        <f t="shared" si="18"/>
        <v>-4.2000000000000011</v>
      </c>
      <c r="K65" s="77">
        <f t="shared" si="18"/>
        <v>-0.6000000000000032</v>
      </c>
      <c r="L65" s="77">
        <f t="shared" si="18"/>
        <v>-4.2000000000000011</v>
      </c>
      <c r="M65" s="77">
        <f t="shared" si="18"/>
        <v>-3.6000000000000032</v>
      </c>
      <c r="N65" s="77">
        <f t="shared" si="18"/>
        <v>-1.7999999999999989</v>
      </c>
      <c r="O65" s="77">
        <f t="shared" si="18"/>
        <v>1.7999999999999989</v>
      </c>
      <c r="P65" s="77">
        <f t="shared" si="18"/>
        <v>-3</v>
      </c>
      <c r="Q65" s="77">
        <f t="shared" si="18"/>
        <v>1.2000000000000011</v>
      </c>
      <c r="R65" s="77">
        <f t="shared" si="18"/>
        <v>3</v>
      </c>
      <c r="S65" s="77">
        <f t="shared" si="18"/>
        <v>-4.7999999999999989</v>
      </c>
      <c r="T65" s="77">
        <f t="shared" si="18"/>
        <v>-4.2000000000000011</v>
      </c>
      <c r="U65" s="77">
        <f t="shared" si="18"/>
        <v>1.2000000000000011</v>
      </c>
    </row>
    <row r="66" spans="1:21" s="19" customFormat="1" ht="38.25" x14ac:dyDescent="0.2">
      <c r="A66" s="112" t="s">
        <v>148</v>
      </c>
      <c r="B66" s="78" t="str">
        <f>IF(B64&lt;=B63,"OVER","UNDER")</f>
        <v>OVER</v>
      </c>
      <c r="C66" s="78" t="str">
        <f t="shared" ref="C66:U66" si="19">IF(C64&lt;=C63,"OVER","UNDER")</f>
        <v>UNDER</v>
      </c>
      <c r="D66" s="78" t="str">
        <f t="shared" si="19"/>
        <v>OVER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str">
        <f t="shared" si="19"/>
        <v>UNDER</v>
      </c>
      <c r="N66" s="78" t="str">
        <f t="shared" si="19"/>
        <v>UNDER</v>
      </c>
      <c r="O66" s="78" t="str">
        <f t="shared" si="19"/>
        <v>OVER</v>
      </c>
      <c r="P66" s="78" t="str">
        <f t="shared" si="19"/>
        <v>UNDER</v>
      </c>
      <c r="Q66" s="78" t="str">
        <f t="shared" si="19"/>
        <v>OVER</v>
      </c>
      <c r="R66" s="78" t="str">
        <f t="shared" si="19"/>
        <v>OVER</v>
      </c>
      <c r="S66" s="78" t="str">
        <f t="shared" si="19"/>
        <v>UNDER</v>
      </c>
      <c r="T66" s="78" t="str">
        <f t="shared" si="19"/>
        <v>UNDER</v>
      </c>
      <c r="U66" s="78" t="str">
        <f t="shared" si="19"/>
        <v>OVER</v>
      </c>
    </row>
  </sheetData>
  <sheetProtection algorithmName="SHA-512" hashValue="e2/TABILz+LZ8hVlwX2lb7cZutUD32cjgQjLCjwmlXaP+AeKA6PHQnVx9RkuiXWRPw3wQ/K3Z/wqi0Zq10gNLw==" saltValue="zAaig4d4JJLgj7QPMTR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335" priority="37" operator="equal">
      <formula>"DECREASE"</formula>
    </cfRule>
    <cfRule type="cellIs" dxfId="334" priority="38" operator="equal">
      <formula>"INCREASE"</formula>
    </cfRule>
  </conditionalFormatting>
  <conditionalFormatting sqref="B31:B50 B62:U66">
    <cfRule type="cellIs" dxfId="333" priority="36" operator="greaterThan">
      <formula>$B$51</formula>
    </cfRule>
  </conditionalFormatting>
  <conditionalFormatting sqref="C31:C50">
    <cfRule type="cellIs" dxfId="332" priority="35" operator="greaterThan">
      <formula>$C$51</formula>
    </cfRule>
  </conditionalFormatting>
  <conditionalFormatting sqref="C18:V18">
    <cfRule type="cellIs" dxfId="331" priority="34" operator="equal">
      <formula>0</formula>
    </cfRule>
  </conditionalFormatting>
  <conditionalFormatting sqref="C17:V17">
    <cfRule type="cellIs" dxfId="330" priority="33" operator="equal">
      <formula>0</formula>
    </cfRule>
  </conditionalFormatting>
  <conditionalFormatting sqref="C19:V19">
    <cfRule type="cellIs" dxfId="329" priority="32" operator="equal">
      <formula>0</formula>
    </cfRule>
  </conditionalFormatting>
  <conditionalFormatting sqref="G31:G50">
    <cfRule type="cellIs" dxfId="328" priority="31" operator="greaterThan">
      <formula>$G$51</formula>
    </cfRule>
  </conditionalFormatting>
  <conditionalFormatting sqref="H31:H50">
    <cfRule type="cellIs" dxfId="327" priority="30" operator="greaterThan">
      <formula>$H$51</formula>
    </cfRule>
  </conditionalFormatting>
  <conditionalFormatting sqref="I31:I50">
    <cfRule type="cellIs" dxfId="326" priority="29" operator="greaterThan">
      <formula>$I$51</formula>
    </cfRule>
  </conditionalFormatting>
  <conditionalFormatting sqref="K31:K50">
    <cfRule type="cellIs" dxfId="325" priority="28" operator="greaterThan">
      <formula>$K$51</formula>
    </cfRule>
  </conditionalFormatting>
  <conditionalFormatting sqref="L31:L50">
    <cfRule type="cellIs" dxfId="324" priority="27" operator="greaterThan">
      <formula>$L$51</formula>
    </cfRule>
  </conditionalFormatting>
  <conditionalFormatting sqref="M31:M50">
    <cfRule type="cellIs" dxfId="323" priority="26" operator="greaterThan">
      <formula>$M$51</formula>
    </cfRule>
  </conditionalFormatting>
  <conditionalFormatting sqref="P31:P50">
    <cfRule type="cellIs" dxfId="322" priority="25" operator="greaterThan">
      <formula>$P$51</formula>
    </cfRule>
  </conditionalFormatting>
  <conditionalFormatting sqref="R31:R50">
    <cfRule type="cellIs" dxfId="321" priority="24" operator="greaterThan">
      <formula>$R$51</formula>
    </cfRule>
  </conditionalFormatting>
  <conditionalFormatting sqref="S31:S50">
    <cfRule type="cellIs" dxfId="320" priority="23" operator="greaterThan">
      <formula>$S$51</formula>
    </cfRule>
  </conditionalFormatting>
  <conditionalFormatting sqref="T31:T50">
    <cfRule type="cellIs" dxfId="319" priority="22" operator="greaterThan">
      <formula>$T$51</formula>
    </cfRule>
  </conditionalFormatting>
  <conditionalFormatting sqref="U31:U50">
    <cfRule type="cellIs" dxfId="318" priority="21" operator="greaterThan">
      <formula>$U$51</formula>
    </cfRule>
  </conditionalFormatting>
  <conditionalFormatting sqref="C22:V22">
    <cfRule type="cellIs" dxfId="317" priority="20" operator="equal">
      <formula>0</formula>
    </cfRule>
  </conditionalFormatting>
  <conditionalFormatting sqref="C24:V24">
    <cfRule type="cellIs" dxfId="316" priority="18" operator="equal">
      <formula>"DECREASE"</formula>
    </cfRule>
    <cfRule type="cellIs" dxfId="315" priority="19" operator="equal">
      <formula>"INCREASE"</formula>
    </cfRule>
  </conditionalFormatting>
  <conditionalFormatting sqref="C23:V23">
    <cfRule type="cellIs" dxfId="314" priority="17" operator="equal">
      <formula>0</formula>
    </cfRule>
  </conditionalFormatting>
  <conditionalFormatting sqref="C21:V21">
    <cfRule type="cellIs" dxfId="313" priority="13" operator="equal">
      <formula>0</formula>
    </cfRule>
  </conditionalFormatting>
  <conditionalFormatting sqref="B66:U66">
    <cfRule type="cellIs" dxfId="312" priority="11" operator="equal">
      <formula>"UNDER"</formula>
    </cfRule>
    <cfRule type="cellIs" dxfId="311" priority="12" operator="equal">
      <formula>"OVER"</formula>
    </cfRule>
  </conditionalFormatting>
  <conditionalFormatting sqref="J31:J50">
    <cfRule type="cellIs" dxfId="310" priority="8" operator="greaterThan">
      <formula>$J$51</formula>
    </cfRule>
  </conditionalFormatting>
  <conditionalFormatting sqref="L3">
    <cfRule type="cellIs" dxfId="309" priority="4" operator="lessThan">
      <formula>30</formula>
    </cfRule>
    <cfRule type="cellIs" dxfId="308" priority="5" operator="greaterThanOrEqual">
      <formula>30</formula>
    </cfRule>
  </conditionalFormatting>
  <conditionalFormatting sqref="I1">
    <cfRule type="cellIs" dxfId="307" priority="3" operator="between">
      <formula>0.1</formula>
      <formula>5</formula>
    </cfRule>
  </conditionalFormatting>
  <conditionalFormatting sqref="I2">
    <cfRule type="cellIs" dxfId="306" priority="2" operator="greaterThan">
      <formula>5000.1</formula>
    </cfRule>
  </conditionalFormatting>
  <conditionalFormatting sqref="I3">
    <cfRule type="cellIs" dxfId="305"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D48" sqref="D48"/>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19" t="s">
        <v>41</v>
      </c>
      <c r="B1" s="119"/>
      <c r="C1" s="140" t="str">
        <f>Secanim!C1:D1</f>
        <v>PAN-021626</v>
      </c>
      <c r="D1" s="141"/>
      <c r="E1" s="93" t="s">
        <v>45</v>
      </c>
      <c r="F1" s="39">
        <f>Secanim!F1</f>
        <v>48.6</v>
      </c>
      <c r="G1" s="120" t="s">
        <v>43</v>
      </c>
      <c r="H1" s="121"/>
      <c r="I1" s="118">
        <v>7.06</v>
      </c>
      <c r="J1" s="119" t="s">
        <v>153</v>
      </c>
      <c r="K1" s="119"/>
      <c r="L1" s="97">
        <v>1008</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19" t="s">
        <v>87</v>
      </c>
      <c r="B2" s="119"/>
      <c r="C2" s="142" t="str">
        <f>Secanim!C2:D2</f>
        <v>KP3594VE</v>
      </c>
      <c r="D2" s="143"/>
      <c r="E2" s="93" t="s">
        <v>109</v>
      </c>
      <c r="F2" s="96" t="s">
        <v>166</v>
      </c>
      <c r="G2" s="138" t="s">
        <v>110</v>
      </c>
      <c r="H2" s="139"/>
      <c r="I2" s="118">
        <v>1902</v>
      </c>
      <c r="J2" s="119" t="s">
        <v>158</v>
      </c>
      <c r="K2" s="119"/>
      <c r="L2" s="97">
        <v>0.34</v>
      </c>
      <c r="AB2" s="30" t="s">
        <v>56</v>
      </c>
      <c r="AC2" s="17"/>
      <c r="AD2" s="30" t="s">
        <v>70</v>
      </c>
      <c r="AE2" s="17"/>
      <c r="AF2" s="17"/>
      <c r="AG2" s="44" t="s">
        <v>76</v>
      </c>
      <c r="AH2" s="18"/>
      <c r="AI2" s="45" t="s">
        <v>126</v>
      </c>
      <c r="AJ2" s="46">
        <v>0</v>
      </c>
      <c r="AK2" s="47">
        <v>0</v>
      </c>
      <c r="AL2" s="10">
        <v>0</v>
      </c>
      <c r="AM2" s="11">
        <v>0</v>
      </c>
      <c r="AN2" s="11">
        <v>0</v>
      </c>
    </row>
    <row r="3" spans="1:41" x14ac:dyDescent="0.2">
      <c r="A3" s="120" t="s">
        <v>42</v>
      </c>
      <c r="B3" s="121"/>
      <c r="C3" s="142" t="str">
        <f>Secanim!C3:D3</f>
        <v>Trade Effluent Services Limited</v>
      </c>
      <c r="D3" s="143"/>
      <c r="E3" s="93" t="s">
        <v>108</v>
      </c>
      <c r="F3" s="31"/>
      <c r="G3" s="119" t="s">
        <v>159</v>
      </c>
      <c r="H3" s="119"/>
      <c r="I3" s="118">
        <v>580</v>
      </c>
      <c r="J3" s="120" t="s">
        <v>154</v>
      </c>
      <c r="K3" s="121"/>
      <c r="L3" s="97">
        <f>(L1/(L2*10000))*100</f>
        <v>29.647058823529409</v>
      </c>
      <c r="AB3" s="30" t="s">
        <v>57</v>
      </c>
      <c r="AC3" s="17"/>
      <c r="AD3" s="30" t="s">
        <v>71</v>
      </c>
      <c r="AE3" s="17"/>
      <c r="AF3" s="17"/>
      <c r="AG3" s="44" t="s">
        <v>77</v>
      </c>
      <c r="AH3" s="18"/>
      <c r="AI3" s="48" t="s">
        <v>113</v>
      </c>
      <c r="AJ3" s="49">
        <v>1.7</v>
      </c>
      <c r="AK3" s="50">
        <v>6</v>
      </c>
      <c r="AL3" s="51">
        <v>1</v>
      </c>
      <c r="AM3" s="11">
        <v>6.2</v>
      </c>
      <c r="AN3" s="11" t="s">
        <v>112</v>
      </c>
    </row>
    <row r="4" spans="1:41" x14ac:dyDescent="0.2">
      <c r="A4" s="119" t="s">
        <v>0</v>
      </c>
      <c r="B4" s="119"/>
      <c r="C4" s="140" t="str">
        <f>Secanim!C4:D4</f>
        <v>Gwaenynog Bach Farm, Pentrefoelas Road, Bryn Ynys, Denbigh, Y Groes, Denbighshire, LL16 5RP</v>
      </c>
      <c r="D4" s="141"/>
      <c r="E4" s="94" t="s">
        <v>1</v>
      </c>
      <c r="F4" s="96" t="s">
        <v>171</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x14ac:dyDescent="0.2">
      <c r="A5" s="119" t="s">
        <v>47</v>
      </c>
      <c r="B5" s="119"/>
      <c r="C5" s="140" t="str">
        <f>Secanim!C5:D5</f>
        <v>Louise Bailey</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19" t="s">
        <v>2</v>
      </c>
      <c r="B8" s="119"/>
      <c r="C8" s="60">
        <f>Secanim!C8</f>
        <v>5905</v>
      </c>
      <c r="D8" s="60">
        <f>Secanim!D8</f>
        <v>4279</v>
      </c>
      <c r="E8" s="60">
        <f>Secanim!E8</f>
        <v>7605</v>
      </c>
      <c r="F8" s="60">
        <f>Secanim!F8</f>
        <v>3851</v>
      </c>
      <c r="G8" s="60">
        <f>Secanim!G8</f>
        <v>6418</v>
      </c>
      <c r="H8" s="60">
        <f>Secanim!H8</f>
        <v>1843</v>
      </c>
      <c r="I8" s="60">
        <f>Secanim!I8</f>
        <v>5974</v>
      </c>
      <c r="J8" s="60">
        <f>Secanim!J8</f>
        <v>5490</v>
      </c>
      <c r="K8" s="60">
        <f>Secanim!K8</f>
        <v>2565</v>
      </c>
      <c r="L8" s="60">
        <f>Secanim!L8</f>
        <v>7887</v>
      </c>
      <c r="M8" s="60">
        <f>Secanim!M8</f>
        <v>2946</v>
      </c>
      <c r="N8" s="60">
        <f>Secanim!N8</f>
        <v>2881</v>
      </c>
      <c r="O8" s="60">
        <f>Secanim!O8</f>
        <v>3398</v>
      </c>
      <c r="P8" s="60">
        <f>Secanim!P8</f>
        <v>5694</v>
      </c>
      <c r="Q8" s="60">
        <f>Secanim!Q8</f>
        <v>2991</v>
      </c>
      <c r="R8" s="60">
        <f>Secanim!R8</f>
        <v>3799</v>
      </c>
      <c r="S8" s="60">
        <f>Secanim!S8</f>
        <v>5813</v>
      </c>
      <c r="T8" s="60">
        <f>Secanim!T8</f>
        <v>1390</v>
      </c>
      <c r="U8" s="60">
        <f>Secanim!U8</f>
        <v>9596</v>
      </c>
      <c r="V8" s="60">
        <f>Secanim!V8</f>
        <v>716</v>
      </c>
      <c r="AB8" s="61"/>
      <c r="AC8" s="61"/>
      <c r="AD8" s="18"/>
      <c r="AE8" s="17" t="s">
        <v>139</v>
      </c>
      <c r="AF8" s="17"/>
      <c r="AG8" s="18"/>
      <c r="AH8" s="18"/>
      <c r="AI8" s="53" t="s">
        <v>105</v>
      </c>
      <c r="AJ8" s="62">
        <v>1.4</v>
      </c>
      <c r="AK8" s="55">
        <v>4.4000000000000004</v>
      </c>
      <c r="AL8" s="11">
        <v>6</v>
      </c>
      <c r="AM8" s="11">
        <v>6.7</v>
      </c>
      <c r="AN8" s="11" t="s">
        <v>135</v>
      </c>
      <c r="AO8" s="79"/>
    </row>
    <row r="9" spans="1:41" x14ac:dyDescent="0.2">
      <c r="A9" s="119" t="s">
        <v>3</v>
      </c>
      <c r="B9" s="119"/>
      <c r="C9" s="60" t="str">
        <f>Secanim!C9</f>
        <v>Moderate</v>
      </c>
      <c r="D9" s="60" t="str">
        <f>Secanim!D9</f>
        <v>Moderate</v>
      </c>
      <c r="E9" s="60" t="str">
        <f>Secanim!E9</f>
        <v>Moderate</v>
      </c>
      <c r="F9" s="60" t="str">
        <f>Secanim!F9</f>
        <v>Moderate</v>
      </c>
      <c r="G9" s="60" t="str">
        <f>Secanim!G9</f>
        <v>Moderate</v>
      </c>
      <c r="H9" s="60" t="str">
        <f>Secanim!H9</f>
        <v>Moderate</v>
      </c>
      <c r="I9" s="60" t="str">
        <f>Secanim!I9</f>
        <v>Moderate</v>
      </c>
      <c r="J9" s="60" t="str">
        <f>Secanim!J9</f>
        <v>Moderate</v>
      </c>
      <c r="K9" s="60" t="str">
        <f>Secanim!K9</f>
        <v>Moderate</v>
      </c>
      <c r="L9" s="60" t="str">
        <f>Secanim!L9</f>
        <v>Moderate</v>
      </c>
      <c r="M9" s="60" t="str">
        <f>Secanim!M9</f>
        <v>Moderate</v>
      </c>
      <c r="N9" s="60" t="str">
        <f>Secanim!N9</f>
        <v>Moderate</v>
      </c>
      <c r="O9" s="60" t="str">
        <f>Secanim!O9</f>
        <v>Moderate</v>
      </c>
      <c r="P9" s="60" t="str">
        <f>Secanim!P9</f>
        <v>Moderate</v>
      </c>
      <c r="Q9" s="60" t="str">
        <f>Secanim!Q9</f>
        <v>Moderate</v>
      </c>
      <c r="R9" s="60" t="str">
        <f>Secanim!R9</f>
        <v>Moderate</v>
      </c>
      <c r="S9" s="60" t="str">
        <f>Secanim!S9</f>
        <v>Moderate</v>
      </c>
      <c r="T9" s="60" t="str">
        <f>Secanim!T9</f>
        <v>Moderate</v>
      </c>
      <c r="U9" s="60" t="str">
        <f>Secanim!U9</f>
        <v>Moderate</v>
      </c>
      <c r="V9" s="60" t="str">
        <f>Secanim!V9</f>
        <v>Moderate</v>
      </c>
      <c r="AB9" s="17"/>
      <c r="AC9" s="17"/>
      <c r="AD9" s="30" t="s">
        <v>137</v>
      </c>
      <c r="AE9" s="30">
        <v>4.5</v>
      </c>
      <c r="AF9" s="17"/>
      <c r="AG9" s="18"/>
      <c r="AH9" s="18"/>
      <c r="AI9" s="63" t="s">
        <v>103</v>
      </c>
      <c r="AJ9" s="64">
        <v>0.7</v>
      </c>
      <c r="AK9" s="65">
        <v>4</v>
      </c>
      <c r="AL9" s="29">
        <v>7</v>
      </c>
      <c r="AM9" s="11">
        <v>6.7</v>
      </c>
      <c r="AN9" s="11" t="s">
        <v>135</v>
      </c>
      <c r="AO9" s="99"/>
    </row>
    <row r="10" spans="1:41" x14ac:dyDescent="0.2">
      <c r="A10" s="119" t="s">
        <v>4</v>
      </c>
      <c r="B10" s="119"/>
      <c r="C10" s="60">
        <f>Secanim!C10</f>
        <v>6.2</v>
      </c>
      <c r="D10" s="60">
        <f>Secanim!D10</f>
        <v>5.6</v>
      </c>
      <c r="E10" s="60">
        <f>Secanim!E10</f>
        <v>6.3</v>
      </c>
      <c r="F10" s="60">
        <f>Secanim!F10</f>
        <v>6</v>
      </c>
      <c r="G10" s="60">
        <f>Secanim!G10</f>
        <v>5.8</v>
      </c>
      <c r="H10" s="60">
        <f>Secanim!H10</f>
        <v>5.3</v>
      </c>
      <c r="I10" s="60">
        <f>Secanim!I10</f>
        <v>6</v>
      </c>
      <c r="J10" s="60">
        <f>Secanim!J10</f>
        <v>6.1</v>
      </c>
      <c r="K10" s="60">
        <f>Secanim!K10</f>
        <v>5.5</v>
      </c>
      <c r="L10" s="60">
        <f>Secanim!L10</f>
        <v>6.1</v>
      </c>
      <c r="M10" s="60">
        <f>Secanim!M10</f>
        <v>5.5</v>
      </c>
      <c r="N10" s="60">
        <f>Secanim!N10</f>
        <v>5.6</v>
      </c>
      <c r="O10" s="60">
        <f>Secanim!O10</f>
        <v>5.9</v>
      </c>
      <c r="P10" s="60">
        <f>Secanim!P10</f>
        <v>6.5</v>
      </c>
      <c r="Q10" s="60">
        <f>Secanim!Q10</f>
        <v>5.7</v>
      </c>
      <c r="R10" s="60">
        <f>Secanim!R10</f>
        <v>6.4</v>
      </c>
      <c r="S10" s="60">
        <f>Secanim!S10</f>
        <v>6.7</v>
      </c>
      <c r="T10" s="60">
        <f>Secanim!T10</f>
        <v>5.4</v>
      </c>
      <c r="U10" s="60">
        <f>Secanim!U10</f>
        <v>5.5</v>
      </c>
      <c r="V10" s="60">
        <f>Secanim!V10</f>
        <v>6.4</v>
      </c>
      <c r="AB10" s="17"/>
      <c r="AC10" s="17"/>
      <c r="AD10" s="30" t="s">
        <v>140</v>
      </c>
      <c r="AE10" s="30">
        <v>5</v>
      </c>
      <c r="AF10" s="17"/>
      <c r="AG10" s="18"/>
      <c r="AH10" s="18"/>
      <c r="AI10" s="53" t="s">
        <v>97</v>
      </c>
      <c r="AJ10" s="54">
        <v>9</v>
      </c>
      <c r="AK10" s="55">
        <v>16.5</v>
      </c>
      <c r="AL10" s="11">
        <v>8</v>
      </c>
      <c r="AM10" s="11">
        <v>6.7</v>
      </c>
      <c r="AN10" s="11" t="s">
        <v>135</v>
      </c>
    </row>
    <row r="11" spans="1:41" x14ac:dyDescent="0.2">
      <c r="A11" s="119" t="s">
        <v>5</v>
      </c>
      <c r="B11" s="119"/>
      <c r="C11" s="60">
        <f>Secanim!C11</f>
        <v>2</v>
      </c>
      <c r="D11" s="60">
        <f>Secanim!D11</f>
        <v>3</v>
      </c>
      <c r="E11" s="60">
        <f>Secanim!E11</f>
        <v>2</v>
      </c>
      <c r="F11" s="60">
        <f>Secanim!F11</f>
        <v>3</v>
      </c>
      <c r="G11" s="60">
        <f>Secanim!G11</f>
        <v>2</v>
      </c>
      <c r="H11" s="60">
        <f>Secanim!H11</f>
        <v>3</v>
      </c>
      <c r="I11" s="60">
        <f>Secanim!I11</f>
        <v>3</v>
      </c>
      <c r="J11" s="60">
        <f>Secanim!J11</f>
        <v>2</v>
      </c>
      <c r="K11" s="60">
        <f>Secanim!K11</f>
        <v>3</v>
      </c>
      <c r="L11" s="60">
        <f>Secanim!L11</f>
        <v>1</v>
      </c>
      <c r="M11" s="60">
        <f>Secanim!M11</f>
        <v>3</v>
      </c>
      <c r="N11" s="60">
        <f>Secanim!N11</f>
        <v>2</v>
      </c>
      <c r="O11" s="60">
        <f>Secanim!O11</f>
        <v>2</v>
      </c>
      <c r="P11" s="60">
        <f>Secanim!P11</f>
        <v>2</v>
      </c>
      <c r="Q11" s="60">
        <f>Secanim!Q11</f>
        <v>2</v>
      </c>
      <c r="R11" s="60">
        <f>Secanim!R11</f>
        <v>2</v>
      </c>
      <c r="S11" s="60">
        <f>Secanim!S11</f>
        <v>2</v>
      </c>
      <c r="T11" s="60">
        <f>Secanim!T11</f>
        <v>3</v>
      </c>
      <c r="U11" s="60">
        <f>Secanim!U11</f>
        <v>2</v>
      </c>
      <c r="V11" s="60">
        <f>Secanim!V11</f>
        <v>2</v>
      </c>
      <c r="AB11" s="17"/>
      <c r="AC11" s="17"/>
      <c r="AD11" s="52" t="s">
        <v>141</v>
      </c>
      <c r="AE11" s="30">
        <v>6</v>
      </c>
      <c r="AF11" s="17"/>
      <c r="AG11" s="18"/>
      <c r="AH11" s="18"/>
      <c r="AI11" s="53" t="s">
        <v>122</v>
      </c>
      <c r="AJ11" s="54">
        <v>15</v>
      </c>
      <c r="AK11" s="55">
        <v>17.5</v>
      </c>
      <c r="AL11" s="11">
        <v>9</v>
      </c>
      <c r="AM11" s="11">
        <v>7</v>
      </c>
      <c r="AN11" s="11" t="s">
        <v>135</v>
      </c>
    </row>
    <row r="12" spans="1:41" x14ac:dyDescent="0.2">
      <c r="A12" s="119" t="s">
        <v>6</v>
      </c>
      <c r="B12" s="119"/>
      <c r="C12" s="60" t="str">
        <f>Secanim!C12</f>
        <v>2-</v>
      </c>
      <c r="D12" s="60">
        <f>Secanim!D12</f>
        <v>3</v>
      </c>
      <c r="E12" s="60" t="str">
        <f>Secanim!E12</f>
        <v>2-</v>
      </c>
      <c r="F12" s="60" t="str">
        <f>Secanim!F12</f>
        <v>2+</v>
      </c>
      <c r="G12" s="60">
        <f>Secanim!G12</f>
        <v>3</v>
      </c>
      <c r="H12" s="60" t="str">
        <f>Secanim!H12</f>
        <v>2+</v>
      </c>
      <c r="I12" s="60">
        <f>Secanim!I12</f>
        <v>4</v>
      </c>
      <c r="J12" s="60" t="str">
        <f>Secanim!J12</f>
        <v>2+</v>
      </c>
      <c r="K12" s="60">
        <f>Secanim!K12</f>
        <v>4</v>
      </c>
      <c r="L12" s="60" t="str">
        <f>Secanim!L12</f>
        <v>2-</v>
      </c>
      <c r="M12" s="60" t="str">
        <f>Secanim!M12</f>
        <v>2-</v>
      </c>
      <c r="N12" s="60">
        <f>Secanim!N12</f>
        <v>3</v>
      </c>
      <c r="O12" s="60">
        <f>Secanim!O12</f>
        <v>3</v>
      </c>
      <c r="P12" s="60" t="str">
        <f>Secanim!P12</f>
        <v>2-</v>
      </c>
      <c r="Q12" s="60">
        <f>Secanim!Q12</f>
        <v>1</v>
      </c>
      <c r="R12" s="60">
        <f>Secanim!R12</f>
        <v>1</v>
      </c>
      <c r="S12" s="60">
        <f>Secanim!S12</f>
        <v>1</v>
      </c>
      <c r="T12" s="60" t="str">
        <f>Secanim!T12</f>
        <v>2+</v>
      </c>
      <c r="U12" s="60">
        <f>Secanim!U12</f>
        <v>1</v>
      </c>
      <c r="V12" s="60" t="str">
        <f>Secanim!V12</f>
        <v>2-</v>
      </c>
      <c r="AB12" s="17"/>
      <c r="AC12" s="17"/>
      <c r="AD12" s="52" t="s">
        <v>142</v>
      </c>
      <c r="AE12" s="30">
        <v>7.5</v>
      </c>
      <c r="AF12" s="17"/>
      <c r="AG12" s="18"/>
      <c r="AH12" s="18"/>
      <c r="AI12" s="53" t="s">
        <v>121</v>
      </c>
      <c r="AJ12" s="54">
        <v>14</v>
      </c>
      <c r="AK12" s="55">
        <v>11</v>
      </c>
      <c r="AL12" s="11">
        <v>10</v>
      </c>
      <c r="AM12" s="11">
        <v>7</v>
      </c>
      <c r="AN12" s="11" t="s">
        <v>135</v>
      </c>
    </row>
    <row r="13" spans="1:41" x14ac:dyDescent="0.2">
      <c r="A13" s="119" t="s">
        <v>7</v>
      </c>
      <c r="B13" s="119"/>
      <c r="C13" s="60">
        <f>Secanim!C13</f>
        <v>3</v>
      </c>
      <c r="D13" s="60">
        <f>Secanim!D13</f>
        <v>3</v>
      </c>
      <c r="E13" s="60">
        <f>Secanim!E13</f>
        <v>3</v>
      </c>
      <c r="F13" s="60">
        <f>Secanim!F13</f>
        <v>3</v>
      </c>
      <c r="G13" s="60">
        <f>Secanim!G13</f>
        <v>3</v>
      </c>
      <c r="H13" s="60">
        <f>Secanim!H13</f>
        <v>2</v>
      </c>
      <c r="I13" s="60">
        <f>Secanim!I13</f>
        <v>4</v>
      </c>
      <c r="J13" s="60">
        <f>Secanim!J13</f>
        <v>3</v>
      </c>
      <c r="K13" s="60">
        <f>Secanim!K13</f>
        <v>3</v>
      </c>
      <c r="L13" s="60">
        <f>Secanim!L13</f>
        <v>3</v>
      </c>
      <c r="M13" s="60">
        <f>Secanim!M13</f>
        <v>2</v>
      </c>
      <c r="N13" s="60">
        <f>Secanim!N13</f>
        <v>2</v>
      </c>
      <c r="O13" s="60">
        <f>Secanim!O13</f>
        <v>3</v>
      </c>
      <c r="P13" s="60">
        <f>Secanim!P13</f>
        <v>2</v>
      </c>
      <c r="Q13" s="60">
        <f>Secanim!Q13</f>
        <v>3</v>
      </c>
      <c r="R13" s="60">
        <f>Secanim!R13</f>
        <v>2</v>
      </c>
      <c r="S13" s="60">
        <f>Secanim!S13</f>
        <v>1</v>
      </c>
      <c r="T13" s="60">
        <f>Secanim!T13</f>
        <v>3</v>
      </c>
      <c r="U13" s="60">
        <f>Secanim!U13</f>
        <v>1</v>
      </c>
      <c r="V13" s="60">
        <f>Secanim!V13</f>
        <v>2</v>
      </c>
      <c r="AB13" s="17"/>
      <c r="AC13" s="17"/>
      <c r="AD13" s="52" t="s">
        <v>143</v>
      </c>
      <c r="AE13" s="30">
        <v>12</v>
      </c>
      <c r="AF13" s="17"/>
      <c r="AG13" s="18"/>
      <c r="AH13" s="18"/>
      <c r="AI13" s="53" t="s">
        <v>120</v>
      </c>
      <c r="AJ13" s="54">
        <v>1.9</v>
      </c>
      <c r="AK13" s="55">
        <v>7.5</v>
      </c>
      <c r="AL13" s="11">
        <v>11</v>
      </c>
      <c r="AM13" s="11">
        <v>6.7</v>
      </c>
      <c r="AN13" s="11" t="s">
        <v>135</v>
      </c>
    </row>
    <row r="14" spans="1:41" x14ac:dyDescent="0.2">
      <c r="A14" s="131" t="s">
        <v>8</v>
      </c>
      <c r="B14" s="131"/>
      <c r="C14" s="102" t="str">
        <f>Secanim!C14</f>
        <v xml:space="preserve">Grass Silage (25% DM) </v>
      </c>
      <c r="D14" s="102" t="str">
        <f>Secanim!D14</f>
        <v xml:space="preserve">Grass Silage (25% DM) </v>
      </c>
      <c r="E14" s="102" t="str">
        <f>Secanim!E14</f>
        <v xml:space="preserve">Grass Silage (25% DM) </v>
      </c>
      <c r="F14" s="102" t="str">
        <f>Secanim!F14</f>
        <v xml:space="preserve">Grass Silage (25% DM) </v>
      </c>
      <c r="G14" s="102" t="str">
        <f>Secanim!G14</f>
        <v xml:space="preserve">Grass Silage (25% DM) </v>
      </c>
      <c r="H14" s="102" t="str">
        <f>Secanim!H14</f>
        <v xml:space="preserve">Grass Silage (25% DM) </v>
      </c>
      <c r="I14" s="102" t="str">
        <f>Secanim!I14</f>
        <v xml:space="preserve">Grass Silage (25% DM) </v>
      </c>
      <c r="J14" s="102" t="str">
        <f>Secanim!J14</f>
        <v xml:space="preserve">Grass Silage (25% DM) </v>
      </c>
      <c r="K14" s="102" t="str">
        <f>Secanim!K14</f>
        <v xml:space="preserve">Grass Silage (25% DM) </v>
      </c>
      <c r="L14" s="102" t="str">
        <f>Secanim!L14</f>
        <v xml:space="preserve">Grass Silage (25% DM) </v>
      </c>
      <c r="M14" s="102" t="str">
        <f>Secanim!M14</f>
        <v xml:space="preserve">Grass Silage (25% DM) </v>
      </c>
      <c r="N14" s="102" t="str">
        <f>Secanim!N14</f>
        <v xml:space="preserve">Grass Silage (25% DM) </v>
      </c>
      <c r="O14" s="102" t="str">
        <f>Secanim!O14</f>
        <v xml:space="preserve">Grass Silage (25% DM) </v>
      </c>
      <c r="P14" s="102" t="str">
        <f>Secanim!P14</f>
        <v xml:space="preserve">Grass Silage (25% DM) </v>
      </c>
      <c r="Q14" s="102" t="str">
        <f>Secanim!Q14</f>
        <v xml:space="preserve">Grass Silage (25% DM) </v>
      </c>
      <c r="R14" s="102" t="str">
        <f>Secanim!R14</f>
        <v xml:space="preserve">Grass Silage (25% DM) </v>
      </c>
      <c r="S14" s="102" t="str">
        <f>Secanim!S14</f>
        <v xml:space="preserve">Grass Silage (25% DM) </v>
      </c>
      <c r="T14" s="102" t="str">
        <f>Secanim!T14</f>
        <v xml:space="preserve">Grass Silage (25% DM) </v>
      </c>
      <c r="U14" s="102" t="str">
        <f>Secanim!U14</f>
        <v xml:space="preserve">Grass Silage (25% DM) </v>
      </c>
      <c r="V14" s="102" t="str">
        <f>Secanim!V14</f>
        <v xml:space="preserve">Grass Silage (25% DM) </v>
      </c>
      <c r="AD14" s="30" t="s">
        <v>138</v>
      </c>
      <c r="AE14" s="30">
        <v>6</v>
      </c>
      <c r="AI14" s="53" t="s">
        <v>119</v>
      </c>
      <c r="AJ14" s="54">
        <v>0.8</v>
      </c>
      <c r="AK14" s="55">
        <v>1.7</v>
      </c>
      <c r="AL14" s="11">
        <v>12</v>
      </c>
      <c r="AM14" s="11">
        <v>6.7</v>
      </c>
      <c r="AN14" s="11" t="s">
        <v>135</v>
      </c>
    </row>
    <row r="15" spans="1:41" x14ac:dyDescent="0.2">
      <c r="A15" s="130" t="s">
        <v>9</v>
      </c>
      <c r="B15" s="130"/>
      <c r="C15" s="60">
        <f>Secanim!C15</f>
        <v>38</v>
      </c>
      <c r="D15" s="60">
        <f>Secanim!D15</f>
        <v>38</v>
      </c>
      <c r="E15" s="60">
        <f>Secanim!E15</f>
        <v>38</v>
      </c>
      <c r="F15" s="60">
        <f>Secanim!F15</f>
        <v>38</v>
      </c>
      <c r="G15" s="60">
        <f>Secanim!G15</f>
        <v>38</v>
      </c>
      <c r="H15" s="60">
        <f>Secanim!H15</f>
        <v>38</v>
      </c>
      <c r="I15" s="60">
        <f>Secanim!I15</f>
        <v>38</v>
      </c>
      <c r="J15" s="60">
        <f>Secanim!J15</f>
        <v>38</v>
      </c>
      <c r="K15" s="60">
        <f>Secanim!K15</f>
        <v>38</v>
      </c>
      <c r="L15" s="60">
        <f>Secanim!L15</f>
        <v>38</v>
      </c>
      <c r="M15" s="60">
        <f>Secanim!M15</f>
        <v>38</v>
      </c>
      <c r="N15" s="60">
        <f>Secanim!N15</f>
        <v>38</v>
      </c>
      <c r="O15" s="60">
        <f>Secanim!O15</f>
        <v>38</v>
      </c>
      <c r="P15" s="60">
        <f>Secanim!P15</f>
        <v>38</v>
      </c>
      <c r="Q15" s="60">
        <f>Secanim!Q15</f>
        <v>38</v>
      </c>
      <c r="R15" s="60">
        <f>Secanim!R15</f>
        <v>38</v>
      </c>
      <c r="S15" s="60">
        <f>Secanim!S15</f>
        <v>38</v>
      </c>
      <c r="T15" s="60">
        <f>Secanim!T15</f>
        <v>38</v>
      </c>
      <c r="U15" s="60">
        <f>Secanim!U15</f>
        <v>38</v>
      </c>
      <c r="V15" s="60">
        <f>Secanim!V15</f>
        <v>38</v>
      </c>
      <c r="AD15" s="30" t="s">
        <v>144</v>
      </c>
      <c r="AE15" s="30">
        <v>7</v>
      </c>
      <c r="AI15" s="53" t="s">
        <v>101</v>
      </c>
      <c r="AJ15" s="62">
        <v>1.8</v>
      </c>
      <c r="AK15" s="55">
        <v>5.4</v>
      </c>
      <c r="AL15" s="11">
        <v>13</v>
      </c>
      <c r="AM15" s="11">
        <v>6.7</v>
      </c>
      <c r="AN15" s="11" t="s">
        <v>135</v>
      </c>
    </row>
    <row r="16" spans="1:41" ht="13.5" thickBot="1" x14ac:dyDescent="0.25">
      <c r="A16" s="132" t="s">
        <v>44</v>
      </c>
      <c r="B16" s="132"/>
      <c r="C16" s="103" t="str">
        <f>Secanim!C16</f>
        <v>Medium/Clay</v>
      </c>
      <c r="D16" s="103" t="str">
        <f>Secanim!D16</f>
        <v>Medium/Clay</v>
      </c>
      <c r="E16" s="103" t="str">
        <f>Secanim!E16</f>
        <v>Medium/Clay</v>
      </c>
      <c r="F16" s="103" t="str">
        <f>Secanim!F16</f>
        <v>Medium/Clay</v>
      </c>
      <c r="G16" s="103" t="str">
        <f>Secanim!G16</f>
        <v>Medium/Clay</v>
      </c>
      <c r="H16" s="103" t="str">
        <f>Secanim!H16</f>
        <v>Medium/Clay</v>
      </c>
      <c r="I16" s="103" t="str">
        <f>Secanim!I16</f>
        <v>Medium/Clay</v>
      </c>
      <c r="J16" s="103" t="str">
        <f>Secanim!J16</f>
        <v>Medium/Clay</v>
      </c>
      <c r="K16" s="103" t="str">
        <f>Secanim!K16</f>
        <v>Medium/Clay</v>
      </c>
      <c r="L16" s="103" t="str">
        <f>Secanim!L16</f>
        <v>Medium/Clay</v>
      </c>
      <c r="M16" s="103" t="str">
        <f>Secanim!M16</f>
        <v>Medium/Clay</v>
      </c>
      <c r="N16" s="103" t="str">
        <f>Secanim!N16</f>
        <v>Medium/Clay</v>
      </c>
      <c r="O16" s="103" t="str">
        <f>Secanim!O16</f>
        <v>Medium/Clay</v>
      </c>
      <c r="P16" s="103" t="str">
        <f>Secanim!P16</f>
        <v>Medium/Clay</v>
      </c>
      <c r="Q16" s="103" t="str">
        <f>Secanim!Q16</f>
        <v>Medium/Clay</v>
      </c>
      <c r="R16" s="103" t="str">
        <f>Secanim!R16</f>
        <v>Medium/Clay</v>
      </c>
      <c r="S16" s="103" t="str">
        <f>Secanim!S16</f>
        <v>Medium/Clay</v>
      </c>
      <c r="T16" s="103" t="str">
        <f>Secanim!T16</f>
        <v>Medium/Clay</v>
      </c>
      <c r="U16" s="103" t="str">
        <f>Secanim!U16</f>
        <v>Medium/Clay</v>
      </c>
      <c r="V16" s="103" t="str">
        <f>Secanim!V16</f>
        <v>Medium/Clay</v>
      </c>
      <c r="AD16" s="52" t="s">
        <v>145</v>
      </c>
      <c r="AE16" s="30">
        <v>8</v>
      </c>
      <c r="AI16" s="53" t="s">
        <v>118</v>
      </c>
      <c r="AJ16" s="54">
        <v>8</v>
      </c>
      <c r="AK16" s="55">
        <v>5.5</v>
      </c>
      <c r="AL16" s="12">
        <v>14</v>
      </c>
      <c r="AM16" s="11">
        <v>6.7</v>
      </c>
      <c r="AN16" s="11" t="s">
        <v>135</v>
      </c>
    </row>
    <row r="17" spans="1:40" x14ac:dyDescent="0.2">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64.599999999999994</v>
      </c>
      <c r="R17" s="28">
        <f t="shared" si="0"/>
        <v>64.599999999999994</v>
      </c>
      <c r="S17" s="28">
        <f t="shared" si="0"/>
        <v>64.599999999999994</v>
      </c>
      <c r="T17" s="28">
        <f t="shared" si="0"/>
        <v>64.599999999999994</v>
      </c>
      <c r="U17" s="28">
        <f t="shared" si="0"/>
        <v>64.599999999999994</v>
      </c>
      <c r="V17" s="28">
        <f t="shared" si="0"/>
        <v>64.599999999999994</v>
      </c>
      <c r="AD17" s="52" t="s">
        <v>146</v>
      </c>
      <c r="AE17" s="30">
        <v>10</v>
      </c>
      <c r="AI17" s="48" t="s">
        <v>115</v>
      </c>
      <c r="AJ17" s="49">
        <v>1.4</v>
      </c>
      <c r="AK17" s="50">
        <v>4.8</v>
      </c>
      <c r="AL17" s="51">
        <v>15</v>
      </c>
      <c r="AM17" s="11">
        <v>6.2</v>
      </c>
      <c r="AN17" s="11" t="s">
        <v>112</v>
      </c>
    </row>
    <row r="18" spans="1:40" x14ac:dyDescent="0.2">
      <c r="A18" s="124" t="s">
        <v>23</v>
      </c>
      <c r="B18" s="125"/>
      <c r="C18" s="16">
        <f>$D31</f>
        <v>63.705836999999995</v>
      </c>
      <c r="D18" s="16">
        <f>$D32</f>
        <v>63.705836999999995</v>
      </c>
      <c r="E18" s="16">
        <f>$D33</f>
        <v>63.705836999999995</v>
      </c>
      <c r="F18" s="16">
        <f>$D34</f>
        <v>63.705836999999995</v>
      </c>
      <c r="G18" s="16">
        <f>$D35</f>
        <v>63.705836999999995</v>
      </c>
      <c r="H18" s="16">
        <f>$D36</f>
        <v>63.705836999999995</v>
      </c>
      <c r="I18" s="16">
        <f>$D37</f>
        <v>63.705836999999995</v>
      </c>
      <c r="J18" s="16">
        <f>$D38</f>
        <v>63.705836999999995</v>
      </c>
      <c r="K18" s="16">
        <f>$D39</f>
        <v>63.705836999999995</v>
      </c>
      <c r="L18" s="16">
        <f>$D40</f>
        <v>63.705836999999995</v>
      </c>
      <c r="M18" s="16">
        <f>$D41</f>
        <v>63.705836999999995</v>
      </c>
      <c r="N18" s="16">
        <f>$D42</f>
        <v>63.705836999999995</v>
      </c>
      <c r="O18" s="16">
        <f>$D43</f>
        <v>63.705836999999995</v>
      </c>
      <c r="P18" s="16">
        <f>$D44</f>
        <v>63.705836999999995</v>
      </c>
      <c r="Q18" s="16">
        <f>$D45</f>
        <v>63.705836999999995</v>
      </c>
      <c r="R18" s="16">
        <f>$D46</f>
        <v>63.705836999999995</v>
      </c>
      <c r="S18" s="16">
        <f>$D47</f>
        <v>63.705836999999995</v>
      </c>
      <c r="T18" s="16">
        <f>$D48</f>
        <v>63.705836999999995</v>
      </c>
      <c r="U18" s="16">
        <f>$D49</f>
        <v>63.705836999999995</v>
      </c>
      <c r="V18" s="25">
        <f>$D50</f>
        <v>63.705836999999995</v>
      </c>
      <c r="AD18" s="52" t="s">
        <v>147</v>
      </c>
      <c r="AE18" s="30">
        <v>16</v>
      </c>
      <c r="AI18" s="48" t="s">
        <v>106</v>
      </c>
      <c r="AJ18" s="49">
        <v>5.9</v>
      </c>
      <c r="AK18" s="50">
        <v>18</v>
      </c>
      <c r="AL18" s="51">
        <v>16</v>
      </c>
      <c r="AM18" s="11">
        <v>6.2</v>
      </c>
      <c r="AN18" s="11" t="s">
        <v>112</v>
      </c>
    </row>
    <row r="19" spans="1:40" x14ac:dyDescent="0.2">
      <c r="A19" s="124" t="s">
        <v>90</v>
      </c>
      <c r="B19" s="125"/>
      <c r="C19" s="16">
        <f>C18-C17</f>
        <v>-0.89416299999999893</v>
      </c>
      <c r="D19" s="16">
        <f t="shared" ref="D19:V19" si="1">D18-D17</f>
        <v>-0.89416299999999893</v>
      </c>
      <c r="E19" s="16">
        <f t="shared" si="1"/>
        <v>-0.89416299999999893</v>
      </c>
      <c r="F19" s="16">
        <f t="shared" si="1"/>
        <v>-0.89416299999999893</v>
      </c>
      <c r="G19" s="16">
        <f t="shared" si="1"/>
        <v>-0.89416299999999893</v>
      </c>
      <c r="H19" s="16">
        <f t="shared" si="1"/>
        <v>-0.89416299999999893</v>
      </c>
      <c r="I19" s="16">
        <f t="shared" si="1"/>
        <v>-0.89416299999999893</v>
      </c>
      <c r="J19" s="16">
        <f t="shared" si="1"/>
        <v>-0.89416299999999893</v>
      </c>
      <c r="K19" s="16">
        <f t="shared" si="1"/>
        <v>-0.89416299999999893</v>
      </c>
      <c r="L19" s="16">
        <f t="shared" si="1"/>
        <v>-0.89416299999999893</v>
      </c>
      <c r="M19" s="16">
        <f t="shared" si="1"/>
        <v>-0.89416299999999893</v>
      </c>
      <c r="N19" s="16">
        <f t="shared" si="1"/>
        <v>-0.89416299999999893</v>
      </c>
      <c r="O19" s="16">
        <f t="shared" si="1"/>
        <v>-0.89416299999999893</v>
      </c>
      <c r="P19" s="16">
        <f t="shared" si="1"/>
        <v>-0.89416299999999893</v>
      </c>
      <c r="Q19" s="16">
        <f t="shared" si="1"/>
        <v>-0.89416299999999893</v>
      </c>
      <c r="R19" s="16">
        <f t="shared" si="1"/>
        <v>-0.89416299999999893</v>
      </c>
      <c r="S19" s="16">
        <f t="shared" si="1"/>
        <v>-0.89416299999999893</v>
      </c>
      <c r="T19" s="16">
        <f t="shared" si="1"/>
        <v>-0.89416299999999893</v>
      </c>
      <c r="U19" s="16">
        <f t="shared" si="1"/>
        <v>-0.89416299999999893</v>
      </c>
      <c r="V19" s="25">
        <f t="shared" si="1"/>
        <v>-0.89416299999999893</v>
      </c>
      <c r="AI19" s="48" t="s">
        <v>107</v>
      </c>
      <c r="AJ19" s="49">
        <v>3.2</v>
      </c>
      <c r="AK19" s="50">
        <v>10.5</v>
      </c>
      <c r="AL19" s="51">
        <v>17</v>
      </c>
      <c r="AM19" s="11">
        <v>6.2</v>
      </c>
      <c r="AN19" s="11" t="s">
        <v>112</v>
      </c>
    </row>
    <row r="20" spans="1:40" ht="13.5" thickBot="1" x14ac:dyDescent="0.25">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DECREASE</v>
      </c>
      <c r="S20" s="26" t="str">
        <f>IF($B47="","",IF(S$19&gt;=0,"INCREASE","DECREASE"))</f>
        <v>DECREASE</v>
      </c>
      <c r="T20" s="26" t="str">
        <f>IF($B48="","",IF(T$19&gt;=0,"INCREASE","DECREASE"))</f>
        <v>DECREASE</v>
      </c>
      <c r="U20" s="26" t="str">
        <f>IF($B49="","",IF(U$19&gt;=0,"INCREASE","DECREASE"))</f>
        <v>DECREASE</v>
      </c>
      <c r="V20" s="27" t="str">
        <f>IF($B50="","",IF(V$19&gt;=0,"INCREASE","DECREASE"))</f>
        <v>DECREASE</v>
      </c>
      <c r="AI20" s="48" t="s">
        <v>114</v>
      </c>
      <c r="AJ20" s="49">
        <v>2.1</v>
      </c>
      <c r="AK20" s="50">
        <v>7.2</v>
      </c>
      <c r="AL20" s="51">
        <v>18</v>
      </c>
      <c r="AM20" s="11">
        <v>6.2</v>
      </c>
      <c r="AN20" s="11" t="s">
        <v>112</v>
      </c>
    </row>
    <row r="21" spans="1:40" x14ac:dyDescent="0.2">
      <c r="A21" s="122" t="s">
        <v>88</v>
      </c>
      <c r="B21" s="123"/>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228</v>
      </c>
      <c r="Q21" s="28">
        <f t="shared" si="2"/>
        <v>228</v>
      </c>
      <c r="R21" s="28">
        <f t="shared" si="2"/>
        <v>228</v>
      </c>
      <c r="S21" s="28">
        <f t="shared" si="2"/>
        <v>228</v>
      </c>
      <c r="T21" s="28">
        <f t="shared" si="2"/>
        <v>228</v>
      </c>
      <c r="U21" s="28">
        <f t="shared" si="2"/>
        <v>228</v>
      </c>
      <c r="V21" s="28">
        <f t="shared" si="2"/>
        <v>228</v>
      </c>
      <c r="AI21" s="63" t="s">
        <v>100</v>
      </c>
      <c r="AJ21" s="66">
        <v>11</v>
      </c>
      <c r="AK21" s="65">
        <v>12</v>
      </c>
      <c r="AL21" s="29">
        <v>19</v>
      </c>
      <c r="AM21" s="11">
        <v>6.7</v>
      </c>
      <c r="AN21" s="11" t="s">
        <v>135</v>
      </c>
    </row>
    <row r="22" spans="1:40" x14ac:dyDescent="0.2">
      <c r="A22" s="124" t="s">
        <v>89</v>
      </c>
      <c r="B22" s="125"/>
      <c r="C22" s="16">
        <f>$E31</f>
        <v>8.0361450000000012</v>
      </c>
      <c r="D22" s="16">
        <f>$E32</f>
        <v>8.0361450000000012</v>
      </c>
      <c r="E22" s="16">
        <f>$E33</f>
        <v>8.0361450000000012</v>
      </c>
      <c r="F22" s="16">
        <f>$E34</f>
        <v>8.0361450000000012</v>
      </c>
      <c r="G22" s="16">
        <f>$E35</f>
        <v>8.0361450000000012</v>
      </c>
      <c r="H22" s="16">
        <f>$E36</f>
        <v>8.0361450000000012</v>
      </c>
      <c r="I22" s="16">
        <f>$E37</f>
        <v>8.0361450000000012</v>
      </c>
      <c r="J22" s="16">
        <f>$E38</f>
        <v>8.0361450000000012</v>
      </c>
      <c r="K22" s="16">
        <f>$E39</f>
        <v>8.0361450000000012</v>
      </c>
      <c r="L22" s="16">
        <f>$E40</f>
        <v>8.0361450000000012</v>
      </c>
      <c r="M22" s="16">
        <f>$E41</f>
        <v>8.0361450000000012</v>
      </c>
      <c r="N22" s="16">
        <f>$E42</f>
        <v>8.0361450000000012</v>
      </c>
      <c r="O22" s="16">
        <f>$E43</f>
        <v>8.0361450000000012</v>
      </c>
      <c r="P22" s="16">
        <f>$E44</f>
        <v>8.0361450000000012</v>
      </c>
      <c r="Q22" s="16">
        <f>$E45</f>
        <v>8.0361450000000012</v>
      </c>
      <c r="R22" s="16">
        <f>$E46</f>
        <v>8.0361450000000012</v>
      </c>
      <c r="S22" s="16">
        <f>$E47</f>
        <v>8.0361450000000012</v>
      </c>
      <c r="T22" s="16">
        <f>$E48</f>
        <v>8.0361450000000012</v>
      </c>
      <c r="U22" s="16">
        <f>$E49</f>
        <v>8.0361450000000012</v>
      </c>
      <c r="V22" s="16">
        <f>$E50</f>
        <v>8.0361450000000012</v>
      </c>
      <c r="AI22" s="63" t="s">
        <v>102</v>
      </c>
      <c r="AJ22" s="64">
        <v>1.2</v>
      </c>
      <c r="AK22" s="65">
        <v>5</v>
      </c>
      <c r="AL22" s="29">
        <v>20</v>
      </c>
      <c r="AM22" s="11">
        <v>6.7</v>
      </c>
      <c r="AN22" s="11" t="s">
        <v>135</v>
      </c>
    </row>
    <row r="23" spans="1:40" x14ac:dyDescent="0.2">
      <c r="A23" s="124" t="s">
        <v>92</v>
      </c>
      <c r="B23" s="125"/>
      <c r="C23" s="16">
        <f>C22-C21</f>
        <v>-219.963855</v>
      </c>
      <c r="D23" s="16">
        <f t="shared" ref="D23:V23" si="3">D22-D21</f>
        <v>-219.963855</v>
      </c>
      <c r="E23" s="16">
        <f t="shared" si="3"/>
        <v>-219.963855</v>
      </c>
      <c r="F23" s="16">
        <f t="shared" si="3"/>
        <v>-219.963855</v>
      </c>
      <c r="G23" s="16">
        <f t="shared" si="3"/>
        <v>-219.963855</v>
      </c>
      <c r="H23" s="16">
        <f t="shared" si="3"/>
        <v>-219.963855</v>
      </c>
      <c r="I23" s="16">
        <f t="shared" si="3"/>
        <v>-219.963855</v>
      </c>
      <c r="J23" s="16">
        <f t="shared" si="3"/>
        <v>-219.963855</v>
      </c>
      <c r="K23" s="16">
        <f t="shared" si="3"/>
        <v>-219.963855</v>
      </c>
      <c r="L23" s="16">
        <f t="shared" si="3"/>
        <v>-219.963855</v>
      </c>
      <c r="M23" s="16">
        <f t="shared" si="3"/>
        <v>-219.963855</v>
      </c>
      <c r="N23" s="16">
        <f t="shared" si="3"/>
        <v>-219.963855</v>
      </c>
      <c r="O23" s="16">
        <f t="shared" si="3"/>
        <v>-219.963855</v>
      </c>
      <c r="P23" s="16">
        <f t="shared" si="3"/>
        <v>-219.963855</v>
      </c>
      <c r="Q23" s="16">
        <f t="shared" si="3"/>
        <v>-219.963855</v>
      </c>
      <c r="R23" s="16">
        <f t="shared" si="3"/>
        <v>-219.963855</v>
      </c>
      <c r="S23" s="16">
        <f t="shared" si="3"/>
        <v>-219.963855</v>
      </c>
      <c r="T23" s="16">
        <f t="shared" si="3"/>
        <v>-219.963855</v>
      </c>
      <c r="U23" s="16">
        <f t="shared" si="3"/>
        <v>-219.963855</v>
      </c>
      <c r="V23" s="16">
        <f t="shared" si="3"/>
        <v>-219.963855</v>
      </c>
      <c r="AI23" s="63" t="s">
        <v>98</v>
      </c>
      <c r="AJ23" s="66">
        <v>9</v>
      </c>
      <c r="AK23" s="65">
        <v>10</v>
      </c>
      <c r="AL23" s="29">
        <v>21</v>
      </c>
      <c r="AM23" s="11">
        <v>6.7</v>
      </c>
      <c r="AN23" s="11" t="s">
        <v>135</v>
      </c>
    </row>
    <row r="24" spans="1:40" ht="13.5" thickBot="1" x14ac:dyDescent="0.25">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str">
        <f t="shared" si="4"/>
        <v>DECREASE</v>
      </c>
      <c r="T24" s="26" t="str">
        <f t="shared" si="4"/>
        <v>DECREASE</v>
      </c>
      <c r="U24" s="26" t="str">
        <f t="shared" si="4"/>
        <v>DECREASE</v>
      </c>
      <c r="V24" s="26" t="str">
        <f t="shared" si="4"/>
        <v>DECREASE</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25">
      <c r="A28" s="108"/>
      <c r="B28" s="24">
        <v>5.19</v>
      </c>
      <c r="C28" s="15">
        <v>0.34</v>
      </c>
      <c r="D28" s="15">
        <v>713</v>
      </c>
      <c r="E28" s="15">
        <v>171</v>
      </c>
      <c r="F28" s="15">
        <v>172</v>
      </c>
      <c r="G28" s="15">
        <v>3.31</v>
      </c>
      <c r="H28" s="15">
        <v>18.399999999999999</v>
      </c>
      <c r="I28" s="15">
        <v>0.5</v>
      </c>
      <c r="J28" s="15">
        <v>0.01</v>
      </c>
      <c r="K28" s="23">
        <v>0.05</v>
      </c>
      <c r="L28" s="15">
        <v>1.37</v>
      </c>
      <c r="M28" s="15">
        <v>0.9</v>
      </c>
      <c r="N28" s="15"/>
      <c r="O28" s="15"/>
      <c r="P28" s="15">
        <v>856</v>
      </c>
      <c r="Q28" s="15">
        <v>527</v>
      </c>
      <c r="R28" s="15"/>
      <c r="S28" s="15"/>
      <c r="T28" s="15"/>
      <c r="U28" s="15"/>
    </row>
    <row r="29" spans="1:40" s="7" customFormat="1" ht="27" x14ac:dyDescent="0.2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5905</v>
      </c>
      <c r="B31" s="15">
        <v>39</v>
      </c>
      <c r="C31" s="77">
        <f>IF(C$27="%w/w SAR",((C$28*10)*$B31),IF(C$27="%w/w DM",(((C$28*10)*($B$28/100))*$B31),IF(C$27="kg/t SAR",(C$28*$B31),IF(C$27="kg/t DM",((C$28*($B$28/100))*$B31),IF(C$27="mg/kg SAR",((C$28*0.001)*$B31),IF(C$27="mg/kg DM",(((C$28*0.001)*($B$28/100))*$B31),0))))))</f>
        <v>132.60000000000002</v>
      </c>
      <c r="D31" s="77">
        <f>(IF(D$27="%w/w SAR",((D$28*10)*$B31),IF(D$27="%w/w DM",(((D$28*10)*($B$28/100))*$B31),IF(D$27="kg/t SAR",(D$28*$B31),IF(D$27="kg/t DM",((D$28*($B$28/100))*$B31),IF(D$27="mg/kg SAR",((D$28*0.001)*$B31),IF(D$27="mg/kg DM",(((D$28*0.001)*($B$28/100))*$B31),"0")))))))*2.291</f>
        <v>63.705836999999995</v>
      </c>
      <c r="E31" s="77">
        <f>(IF(E$27="%w/w SAR",((E$28*10)*$B31),IF(E$27="%w/w DM",(((E$28*10)*($B$28/100))*$B31),IF(E$27="kg/t SAR",(E$28*$B31),IF(E$27="kg/t DM",((E$28*($B$28/100))*$B31),IF(E$27="mg/kg SAR",((E$28*0.001)*$B31),IF(E$27="mg/kg DM",(((E$28*0.001)*($B$28/100))*$B31),"0")))))))*1.205</f>
        <v>8.0361450000000012</v>
      </c>
      <c r="F31" s="77">
        <f>(IF(F$27="%w/w SAR",((F$28*10)*$B31),IF(F$27="%w/w DM",(((F$28*10)*($B$28/100))*$B31),IF(F$27="kg/t SAR",(F$28*$B31),IF(F$27="kg/t DM",((F$28*($B$28/100))*$B31),IF(F$27="mg/kg SAR",((F$28*0.001)*$B31),IF(F$27="mg/kg DM",(((F$28*0.001)*($B$28/100))*$B31),"0")))))))*1.658</f>
        <v>11.121864</v>
      </c>
      <c r="G31" s="77">
        <f t="shared" ref="G31:P46" si="5">IF(G$27="%w/w SAR",((G$28*10)*$B31),IF(G$27="%w/w DM",(((G$28*10)*($B$28/100))*$B31),IF(G$27="kg/t SAR",(G$28*$B31),IF(G$27="kg/t DM",((G$28*($B$28/100))*$B31),IF(G$27="mg/kg SAR",((G$28*0.001)*$B31),IF(G$27="mg/kg DM",(((G$28*0.001)*($B$28/100))*$B31),0))))))</f>
        <v>0.12909000000000001</v>
      </c>
      <c r="H31" s="77">
        <f t="shared" si="5"/>
        <v>0.71760000000000002</v>
      </c>
      <c r="I31" s="77">
        <f t="shared" si="5"/>
        <v>1.95E-2</v>
      </c>
      <c r="J31" s="77">
        <f t="shared" si="5"/>
        <v>3.9000000000000005E-4</v>
      </c>
      <c r="K31" s="77">
        <f t="shared" si="5"/>
        <v>1.9500000000000001E-3</v>
      </c>
      <c r="L31" s="77">
        <f t="shared" si="5"/>
        <v>5.3430000000000005E-2</v>
      </c>
      <c r="M31" s="77">
        <f t="shared" si="5"/>
        <v>3.5100000000000006E-2</v>
      </c>
      <c r="N31" s="77">
        <f t="shared" si="5"/>
        <v>0</v>
      </c>
      <c r="O31" s="77">
        <f t="shared" si="5"/>
        <v>0</v>
      </c>
      <c r="P31" s="77">
        <f t="shared" si="5"/>
        <v>33.384</v>
      </c>
      <c r="Q31" s="77">
        <f>(IF(Q$27="%w/w SAR",((Q$28*10)*$B31),IF(Q$27="%w/w DM",(((Q$28*10)*($B$28/100))*$B31),IF(Q$27="kg/t SAR",(Q$28*$B31),IF(Q$27="kg/t DM",((Q$28*($B$28/100))*$B31),IF(Q$27="mg/kg SAR",((Q$28*0.001)*$B31),IF(Q$27="mg/kg DM",(((Q$28*0.001)*($B$28/100))*$B31),0)))))))*2.5</f>
        <v>51.3825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4279</v>
      </c>
      <c r="B32" s="15">
        <v>39</v>
      </c>
      <c r="C32" s="77">
        <f t="shared" ref="C32:C50" si="6">IF(C$27="%w/w SAR",((C$28*10)*$B32),IF(C$27="%w/w DM",(((C$28*10)*($B$28/100))*$B32),IF(C$27="kg/t SAR",(C$28*$B32),IF(C$27="kg/t DM",((C$28*($B$28/100))*$B32),IF(C$27="mg/kg SAR",((C$28*0.001)*$B32),IF(C$27="mg/kg DM",(((C$28*0.001)*($B$28/100))*$B32),0))))))</f>
        <v>132.60000000000002</v>
      </c>
      <c r="D32" s="77">
        <f t="shared" ref="D32:D50" si="7">(IF(D$27="%w/w SAR",((D$28*10)*$B32),IF(D$27="%w/w DM",(((D$28*10)*($B$28/100))*$B32),IF(D$27="kg/t SAR",(D$28*$B32),IF(D$27="kg/t DM",((D$28*($B$28/100))*$B32),IF(D$27="mg/kg SAR",((D$28*0.001)*$B32),IF(D$27="mg/kg DM",(((D$28*0.001)*($B$28/100))*$B32),"0")))))))*2.291</f>
        <v>63.705836999999995</v>
      </c>
      <c r="E32" s="77">
        <f t="shared" ref="E32:E50" si="8">(IF(E$27="%w/w SAR",((E$28*10)*$B32),IF(E$27="%w/w DM",(((E$28*10)*($B$28/100))*$B32),IF(E$27="kg/t SAR",(E$28*$B32),IF(E$27="kg/t DM",((E$28*($B$28/100))*$B32),IF(E$27="mg/kg SAR",((E$28*0.001)*$B32),IF(E$27="mg/kg DM",(((E$28*0.001)*($B$28/100))*$B32),"0")))))))*1.205</f>
        <v>8.0361450000000012</v>
      </c>
      <c r="F32" s="77">
        <f t="shared" ref="F32:F50" si="9">(IF(F$27="%w/w SAR",((F$28*10)*$B32),IF(F$27="%w/w DM",(((F$28*10)*($B$28/100))*$B32),IF(F$27="kg/t SAR",(F$28*$B32),IF(F$27="kg/t DM",((F$28*($B$28/100))*$B32),IF(F$27="mg/kg SAR",((F$28*0.001)*$B32),IF(F$27="mg/kg DM",(((F$28*0.001)*($B$28/100))*$B32),"0")))))))*1.658</f>
        <v>11.121864</v>
      </c>
      <c r="G32" s="77">
        <f t="shared" si="5"/>
        <v>0.12909000000000001</v>
      </c>
      <c r="H32" s="77">
        <f t="shared" si="5"/>
        <v>0.71760000000000002</v>
      </c>
      <c r="I32" s="77">
        <f t="shared" si="5"/>
        <v>1.95E-2</v>
      </c>
      <c r="J32" s="77">
        <f t="shared" si="5"/>
        <v>3.9000000000000005E-4</v>
      </c>
      <c r="K32" s="77">
        <f t="shared" si="5"/>
        <v>1.9500000000000001E-3</v>
      </c>
      <c r="L32" s="77">
        <f t="shared" si="5"/>
        <v>5.3430000000000005E-2</v>
      </c>
      <c r="M32" s="77">
        <f t="shared" si="5"/>
        <v>3.5100000000000006E-2</v>
      </c>
      <c r="N32" s="77">
        <f t="shared" si="5"/>
        <v>0</v>
      </c>
      <c r="O32" s="77">
        <f t="shared" si="5"/>
        <v>0</v>
      </c>
      <c r="P32" s="77">
        <f t="shared" si="5"/>
        <v>33.384</v>
      </c>
      <c r="Q32" s="77">
        <f t="shared" ref="Q32:Q50" si="10">(IF(Q$27="%w/w SAR",((Q$28*10)*$B32),IF(Q$27="%w/w DM",(((Q$28*10)*($B$28/100))*$B32),IF(Q$27="kg/t SAR",(Q$28*$B32),IF(Q$27="kg/t DM",((Q$28*($B$28/100))*$B32),IF(Q$27="mg/kg SAR",((Q$28*0.001)*$B32),IF(Q$27="mg/kg DM",(((Q$28*0.001)*($B$28/100))*$B32),0)))))))*2.5</f>
        <v>51.3825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7605</v>
      </c>
      <c r="B33" s="15">
        <v>39</v>
      </c>
      <c r="C33" s="77">
        <f t="shared" si="6"/>
        <v>132.60000000000002</v>
      </c>
      <c r="D33" s="77">
        <f t="shared" si="7"/>
        <v>63.705836999999995</v>
      </c>
      <c r="E33" s="77">
        <f t="shared" si="8"/>
        <v>8.0361450000000012</v>
      </c>
      <c r="F33" s="77">
        <f t="shared" si="9"/>
        <v>11.121864</v>
      </c>
      <c r="G33" s="77">
        <f t="shared" si="5"/>
        <v>0.12909000000000001</v>
      </c>
      <c r="H33" s="77">
        <f t="shared" si="5"/>
        <v>0.71760000000000002</v>
      </c>
      <c r="I33" s="77">
        <f t="shared" si="5"/>
        <v>1.95E-2</v>
      </c>
      <c r="J33" s="77">
        <f t="shared" si="5"/>
        <v>3.9000000000000005E-4</v>
      </c>
      <c r="K33" s="77">
        <f t="shared" si="5"/>
        <v>1.9500000000000001E-3</v>
      </c>
      <c r="L33" s="77">
        <f t="shared" si="5"/>
        <v>5.3430000000000005E-2</v>
      </c>
      <c r="M33" s="77">
        <f t="shared" si="5"/>
        <v>3.5100000000000006E-2</v>
      </c>
      <c r="N33" s="77">
        <f t="shared" si="5"/>
        <v>0</v>
      </c>
      <c r="O33" s="77">
        <f t="shared" si="5"/>
        <v>0</v>
      </c>
      <c r="P33" s="77">
        <f t="shared" si="5"/>
        <v>33.384</v>
      </c>
      <c r="Q33" s="77">
        <f t="shared" si="10"/>
        <v>51.3825</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3851</v>
      </c>
      <c r="B34" s="15">
        <v>39</v>
      </c>
      <c r="C34" s="77">
        <f t="shared" si="6"/>
        <v>132.60000000000002</v>
      </c>
      <c r="D34" s="77">
        <f t="shared" si="7"/>
        <v>63.705836999999995</v>
      </c>
      <c r="E34" s="77">
        <f t="shared" si="8"/>
        <v>8.0361450000000012</v>
      </c>
      <c r="F34" s="77">
        <f t="shared" si="9"/>
        <v>11.121864</v>
      </c>
      <c r="G34" s="77">
        <f t="shared" si="5"/>
        <v>0.12909000000000001</v>
      </c>
      <c r="H34" s="77">
        <f t="shared" si="5"/>
        <v>0.71760000000000002</v>
      </c>
      <c r="I34" s="77">
        <f t="shared" si="5"/>
        <v>1.95E-2</v>
      </c>
      <c r="J34" s="77">
        <f t="shared" si="5"/>
        <v>3.9000000000000005E-4</v>
      </c>
      <c r="K34" s="77">
        <f t="shared" si="5"/>
        <v>1.9500000000000001E-3</v>
      </c>
      <c r="L34" s="77">
        <f t="shared" si="5"/>
        <v>5.3430000000000005E-2</v>
      </c>
      <c r="M34" s="77">
        <f t="shared" si="5"/>
        <v>3.5100000000000006E-2</v>
      </c>
      <c r="N34" s="77">
        <f t="shared" si="5"/>
        <v>0</v>
      </c>
      <c r="O34" s="77">
        <f t="shared" si="5"/>
        <v>0</v>
      </c>
      <c r="P34" s="77">
        <f t="shared" si="5"/>
        <v>33.384</v>
      </c>
      <c r="Q34" s="77">
        <f t="shared" si="10"/>
        <v>51.3825</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6418</v>
      </c>
      <c r="B35" s="15">
        <v>39</v>
      </c>
      <c r="C35" s="77">
        <f t="shared" si="6"/>
        <v>132.60000000000002</v>
      </c>
      <c r="D35" s="77">
        <f t="shared" si="7"/>
        <v>63.705836999999995</v>
      </c>
      <c r="E35" s="77">
        <f t="shared" si="8"/>
        <v>8.0361450000000012</v>
      </c>
      <c r="F35" s="77">
        <f t="shared" si="9"/>
        <v>11.121864</v>
      </c>
      <c r="G35" s="77">
        <f t="shared" si="5"/>
        <v>0.12909000000000001</v>
      </c>
      <c r="H35" s="77">
        <f t="shared" si="5"/>
        <v>0.71760000000000002</v>
      </c>
      <c r="I35" s="77">
        <f t="shared" si="5"/>
        <v>1.95E-2</v>
      </c>
      <c r="J35" s="77">
        <f t="shared" si="5"/>
        <v>3.9000000000000005E-4</v>
      </c>
      <c r="K35" s="77">
        <f t="shared" si="5"/>
        <v>1.9500000000000001E-3</v>
      </c>
      <c r="L35" s="77">
        <f t="shared" si="5"/>
        <v>5.3430000000000005E-2</v>
      </c>
      <c r="M35" s="77">
        <f t="shared" si="5"/>
        <v>3.5100000000000006E-2</v>
      </c>
      <c r="N35" s="77">
        <f t="shared" si="5"/>
        <v>0</v>
      </c>
      <c r="O35" s="77">
        <f t="shared" si="5"/>
        <v>0</v>
      </c>
      <c r="P35" s="77">
        <f t="shared" si="5"/>
        <v>33.384</v>
      </c>
      <c r="Q35" s="77">
        <f t="shared" si="10"/>
        <v>51.3825</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1843</v>
      </c>
      <c r="B36" s="15">
        <v>39</v>
      </c>
      <c r="C36" s="77">
        <f t="shared" si="6"/>
        <v>132.60000000000002</v>
      </c>
      <c r="D36" s="77">
        <f t="shared" si="7"/>
        <v>63.705836999999995</v>
      </c>
      <c r="E36" s="77">
        <f t="shared" si="8"/>
        <v>8.0361450000000012</v>
      </c>
      <c r="F36" s="77">
        <f t="shared" si="9"/>
        <v>11.121864</v>
      </c>
      <c r="G36" s="77">
        <f t="shared" si="5"/>
        <v>0.12909000000000001</v>
      </c>
      <c r="H36" s="77">
        <f t="shared" si="5"/>
        <v>0.71760000000000002</v>
      </c>
      <c r="I36" s="77">
        <f t="shared" si="5"/>
        <v>1.95E-2</v>
      </c>
      <c r="J36" s="77">
        <f t="shared" si="5"/>
        <v>3.9000000000000005E-4</v>
      </c>
      <c r="K36" s="77">
        <f t="shared" si="5"/>
        <v>1.9500000000000001E-3</v>
      </c>
      <c r="L36" s="77">
        <f t="shared" si="5"/>
        <v>5.3430000000000005E-2</v>
      </c>
      <c r="M36" s="77">
        <f t="shared" si="5"/>
        <v>3.5100000000000006E-2</v>
      </c>
      <c r="N36" s="77">
        <f t="shared" si="5"/>
        <v>0</v>
      </c>
      <c r="O36" s="77">
        <f t="shared" si="5"/>
        <v>0</v>
      </c>
      <c r="P36" s="77">
        <f t="shared" si="5"/>
        <v>33.384</v>
      </c>
      <c r="Q36" s="77">
        <f t="shared" si="10"/>
        <v>51.3825</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5974</v>
      </c>
      <c r="B37" s="15">
        <v>39</v>
      </c>
      <c r="C37" s="77">
        <f t="shared" si="6"/>
        <v>132.60000000000002</v>
      </c>
      <c r="D37" s="77">
        <f t="shared" si="7"/>
        <v>63.705836999999995</v>
      </c>
      <c r="E37" s="77">
        <f t="shared" si="8"/>
        <v>8.0361450000000012</v>
      </c>
      <c r="F37" s="77">
        <f t="shared" si="9"/>
        <v>11.121864</v>
      </c>
      <c r="G37" s="77">
        <f t="shared" si="5"/>
        <v>0.12909000000000001</v>
      </c>
      <c r="H37" s="77">
        <f t="shared" si="5"/>
        <v>0.71760000000000002</v>
      </c>
      <c r="I37" s="77">
        <f t="shared" si="5"/>
        <v>1.95E-2</v>
      </c>
      <c r="J37" s="77">
        <f t="shared" si="5"/>
        <v>3.9000000000000005E-4</v>
      </c>
      <c r="K37" s="77">
        <f t="shared" si="5"/>
        <v>1.9500000000000001E-3</v>
      </c>
      <c r="L37" s="77">
        <f t="shared" si="5"/>
        <v>5.3430000000000005E-2</v>
      </c>
      <c r="M37" s="77">
        <f t="shared" si="5"/>
        <v>3.5100000000000006E-2</v>
      </c>
      <c r="N37" s="77">
        <f t="shared" si="5"/>
        <v>0</v>
      </c>
      <c r="O37" s="77">
        <f t="shared" si="5"/>
        <v>0</v>
      </c>
      <c r="P37" s="77">
        <f t="shared" si="5"/>
        <v>33.384</v>
      </c>
      <c r="Q37" s="77">
        <f t="shared" si="10"/>
        <v>51.3825</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5490</v>
      </c>
      <c r="B38" s="15">
        <v>39</v>
      </c>
      <c r="C38" s="77">
        <f t="shared" si="6"/>
        <v>132.60000000000002</v>
      </c>
      <c r="D38" s="77">
        <f t="shared" si="7"/>
        <v>63.705836999999995</v>
      </c>
      <c r="E38" s="77">
        <f t="shared" si="8"/>
        <v>8.0361450000000012</v>
      </c>
      <c r="F38" s="77">
        <f t="shared" si="9"/>
        <v>11.121864</v>
      </c>
      <c r="G38" s="77">
        <f t="shared" si="5"/>
        <v>0.12909000000000001</v>
      </c>
      <c r="H38" s="77">
        <f t="shared" si="5"/>
        <v>0.71760000000000002</v>
      </c>
      <c r="I38" s="77">
        <f t="shared" si="5"/>
        <v>1.95E-2</v>
      </c>
      <c r="J38" s="77">
        <f t="shared" si="5"/>
        <v>3.9000000000000005E-4</v>
      </c>
      <c r="K38" s="77">
        <f t="shared" si="5"/>
        <v>1.9500000000000001E-3</v>
      </c>
      <c r="L38" s="77">
        <f t="shared" si="5"/>
        <v>5.3430000000000005E-2</v>
      </c>
      <c r="M38" s="77">
        <f t="shared" si="5"/>
        <v>3.5100000000000006E-2</v>
      </c>
      <c r="N38" s="77">
        <f t="shared" si="5"/>
        <v>0</v>
      </c>
      <c r="O38" s="77">
        <f t="shared" si="5"/>
        <v>0</v>
      </c>
      <c r="P38" s="77">
        <f t="shared" si="5"/>
        <v>33.384</v>
      </c>
      <c r="Q38" s="77">
        <f t="shared" si="10"/>
        <v>51.3825</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2565</v>
      </c>
      <c r="B39" s="15">
        <v>39</v>
      </c>
      <c r="C39" s="77">
        <f t="shared" si="6"/>
        <v>132.60000000000002</v>
      </c>
      <c r="D39" s="77">
        <f t="shared" si="7"/>
        <v>63.705836999999995</v>
      </c>
      <c r="E39" s="77">
        <f t="shared" si="8"/>
        <v>8.0361450000000012</v>
      </c>
      <c r="F39" s="77">
        <f t="shared" si="9"/>
        <v>11.121864</v>
      </c>
      <c r="G39" s="77">
        <f t="shared" si="5"/>
        <v>0.12909000000000001</v>
      </c>
      <c r="H39" s="77">
        <f t="shared" si="5"/>
        <v>0.71760000000000002</v>
      </c>
      <c r="I39" s="77">
        <f t="shared" si="5"/>
        <v>1.95E-2</v>
      </c>
      <c r="J39" s="77">
        <f t="shared" si="5"/>
        <v>3.9000000000000005E-4</v>
      </c>
      <c r="K39" s="77">
        <f t="shared" si="5"/>
        <v>1.9500000000000001E-3</v>
      </c>
      <c r="L39" s="77">
        <f t="shared" si="5"/>
        <v>5.3430000000000005E-2</v>
      </c>
      <c r="M39" s="77">
        <f t="shared" si="5"/>
        <v>3.5100000000000006E-2</v>
      </c>
      <c r="N39" s="77">
        <f t="shared" si="5"/>
        <v>0</v>
      </c>
      <c r="O39" s="77">
        <f t="shared" si="5"/>
        <v>0</v>
      </c>
      <c r="P39" s="77">
        <f t="shared" si="5"/>
        <v>33.384</v>
      </c>
      <c r="Q39" s="77">
        <f t="shared" si="10"/>
        <v>51.3825</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7887</v>
      </c>
      <c r="B40" s="15">
        <v>39</v>
      </c>
      <c r="C40" s="77">
        <f t="shared" si="6"/>
        <v>132.60000000000002</v>
      </c>
      <c r="D40" s="77">
        <f t="shared" si="7"/>
        <v>63.705836999999995</v>
      </c>
      <c r="E40" s="77">
        <f t="shared" si="8"/>
        <v>8.0361450000000012</v>
      </c>
      <c r="F40" s="77">
        <f t="shared" si="9"/>
        <v>11.121864</v>
      </c>
      <c r="G40" s="77">
        <f t="shared" si="5"/>
        <v>0.12909000000000001</v>
      </c>
      <c r="H40" s="77">
        <f t="shared" si="5"/>
        <v>0.71760000000000002</v>
      </c>
      <c r="I40" s="77">
        <f t="shared" si="5"/>
        <v>1.95E-2</v>
      </c>
      <c r="J40" s="77">
        <f t="shared" si="5"/>
        <v>3.9000000000000005E-4</v>
      </c>
      <c r="K40" s="77">
        <f t="shared" si="5"/>
        <v>1.9500000000000001E-3</v>
      </c>
      <c r="L40" s="77">
        <f t="shared" si="5"/>
        <v>5.3430000000000005E-2</v>
      </c>
      <c r="M40" s="77">
        <f t="shared" si="5"/>
        <v>3.5100000000000006E-2</v>
      </c>
      <c r="N40" s="77">
        <f t="shared" si="5"/>
        <v>0</v>
      </c>
      <c r="O40" s="77">
        <f t="shared" si="5"/>
        <v>0</v>
      </c>
      <c r="P40" s="77">
        <f t="shared" si="5"/>
        <v>33.384</v>
      </c>
      <c r="Q40" s="77">
        <f t="shared" si="10"/>
        <v>51.3825</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2946</v>
      </c>
      <c r="B41" s="15">
        <v>39</v>
      </c>
      <c r="C41" s="77">
        <f t="shared" si="6"/>
        <v>132.60000000000002</v>
      </c>
      <c r="D41" s="77">
        <f t="shared" si="7"/>
        <v>63.705836999999995</v>
      </c>
      <c r="E41" s="77">
        <f t="shared" si="8"/>
        <v>8.0361450000000012</v>
      </c>
      <c r="F41" s="77">
        <f t="shared" si="9"/>
        <v>11.121864</v>
      </c>
      <c r="G41" s="77">
        <f t="shared" si="5"/>
        <v>0.12909000000000001</v>
      </c>
      <c r="H41" s="77">
        <f t="shared" si="5"/>
        <v>0.71760000000000002</v>
      </c>
      <c r="I41" s="77">
        <f t="shared" si="5"/>
        <v>1.95E-2</v>
      </c>
      <c r="J41" s="77">
        <f t="shared" si="5"/>
        <v>3.9000000000000005E-4</v>
      </c>
      <c r="K41" s="77">
        <f t="shared" si="5"/>
        <v>1.9500000000000001E-3</v>
      </c>
      <c r="L41" s="77">
        <f t="shared" si="5"/>
        <v>5.3430000000000005E-2</v>
      </c>
      <c r="M41" s="77">
        <f t="shared" si="5"/>
        <v>3.5100000000000006E-2</v>
      </c>
      <c r="N41" s="77">
        <f t="shared" si="5"/>
        <v>0</v>
      </c>
      <c r="O41" s="77">
        <f t="shared" si="5"/>
        <v>0</v>
      </c>
      <c r="P41" s="77">
        <f t="shared" si="5"/>
        <v>33.384</v>
      </c>
      <c r="Q41" s="77">
        <f t="shared" si="10"/>
        <v>51.3825</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2881</v>
      </c>
      <c r="B42" s="15">
        <v>39</v>
      </c>
      <c r="C42" s="77">
        <f t="shared" si="6"/>
        <v>132.60000000000002</v>
      </c>
      <c r="D42" s="77">
        <f t="shared" si="7"/>
        <v>63.705836999999995</v>
      </c>
      <c r="E42" s="77">
        <f t="shared" si="8"/>
        <v>8.0361450000000012</v>
      </c>
      <c r="F42" s="77">
        <f t="shared" si="9"/>
        <v>11.121864</v>
      </c>
      <c r="G42" s="77">
        <f t="shared" si="5"/>
        <v>0.12909000000000001</v>
      </c>
      <c r="H42" s="77">
        <f t="shared" si="5"/>
        <v>0.71760000000000002</v>
      </c>
      <c r="I42" s="77">
        <f t="shared" si="5"/>
        <v>1.95E-2</v>
      </c>
      <c r="J42" s="77">
        <f t="shared" si="5"/>
        <v>3.9000000000000005E-4</v>
      </c>
      <c r="K42" s="77">
        <f t="shared" si="5"/>
        <v>1.9500000000000001E-3</v>
      </c>
      <c r="L42" s="77">
        <f t="shared" si="5"/>
        <v>5.3430000000000005E-2</v>
      </c>
      <c r="M42" s="77">
        <f t="shared" si="5"/>
        <v>3.5100000000000006E-2</v>
      </c>
      <c r="N42" s="77">
        <f t="shared" si="5"/>
        <v>0</v>
      </c>
      <c r="O42" s="77">
        <f t="shared" si="5"/>
        <v>0</v>
      </c>
      <c r="P42" s="77">
        <f t="shared" si="5"/>
        <v>33.384</v>
      </c>
      <c r="Q42" s="77">
        <f t="shared" si="10"/>
        <v>51.3825</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3398</v>
      </c>
      <c r="B43" s="15">
        <v>39</v>
      </c>
      <c r="C43" s="77">
        <f t="shared" si="6"/>
        <v>132.60000000000002</v>
      </c>
      <c r="D43" s="77">
        <f t="shared" si="7"/>
        <v>63.705836999999995</v>
      </c>
      <c r="E43" s="77">
        <f t="shared" si="8"/>
        <v>8.0361450000000012</v>
      </c>
      <c r="F43" s="77">
        <f t="shared" si="9"/>
        <v>11.121864</v>
      </c>
      <c r="G43" s="77">
        <f t="shared" si="5"/>
        <v>0.12909000000000001</v>
      </c>
      <c r="H43" s="77">
        <f t="shared" si="5"/>
        <v>0.71760000000000002</v>
      </c>
      <c r="I43" s="77">
        <f t="shared" si="5"/>
        <v>1.95E-2</v>
      </c>
      <c r="J43" s="77">
        <f t="shared" si="5"/>
        <v>3.9000000000000005E-4</v>
      </c>
      <c r="K43" s="77">
        <f t="shared" si="5"/>
        <v>1.9500000000000001E-3</v>
      </c>
      <c r="L43" s="77">
        <f t="shared" si="5"/>
        <v>5.3430000000000005E-2</v>
      </c>
      <c r="M43" s="77">
        <f t="shared" si="5"/>
        <v>3.5100000000000006E-2</v>
      </c>
      <c r="N43" s="77">
        <f t="shared" si="5"/>
        <v>0</v>
      </c>
      <c r="O43" s="77">
        <f t="shared" si="5"/>
        <v>0</v>
      </c>
      <c r="P43" s="77">
        <f t="shared" si="5"/>
        <v>33.384</v>
      </c>
      <c r="Q43" s="77">
        <f t="shared" si="10"/>
        <v>51.3825</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5694</v>
      </c>
      <c r="B44" s="15">
        <v>39</v>
      </c>
      <c r="C44" s="77">
        <f t="shared" si="6"/>
        <v>132.60000000000002</v>
      </c>
      <c r="D44" s="77">
        <f t="shared" si="7"/>
        <v>63.705836999999995</v>
      </c>
      <c r="E44" s="77">
        <f t="shared" si="8"/>
        <v>8.0361450000000012</v>
      </c>
      <c r="F44" s="77">
        <f t="shared" si="9"/>
        <v>11.121864</v>
      </c>
      <c r="G44" s="77">
        <f t="shared" si="5"/>
        <v>0.12909000000000001</v>
      </c>
      <c r="H44" s="77">
        <f t="shared" si="5"/>
        <v>0.71760000000000002</v>
      </c>
      <c r="I44" s="77">
        <f t="shared" si="5"/>
        <v>1.95E-2</v>
      </c>
      <c r="J44" s="77">
        <f t="shared" si="5"/>
        <v>3.9000000000000005E-4</v>
      </c>
      <c r="K44" s="77">
        <f t="shared" si="5"/>
        <v>1.9500000000000001E-3</v>
      </c>
      <c r="L44" s="77">
        <f t="shared" si="5"/>
        <v>5.3430000000000005E-2</v>
      </c>
      <c r="M44" s="77">
        <f t="shared" si="5"/>
        <v>3.5100000000000006E-2</v>
      </c>
      <c r="N44" s="77">
        <f t="shared" si="5"/>
        <v>0</v>
      </c>
      <c r="O44" s="77">
        <f t="shared" si="5"/>
        <v>0</v>
      </c>
      <c r="P44" s="77">
        <f t="shared" si="5"/>
        <v>33.384</v>
      </c>
      <c r="Q44" s="77">
        <f t="shared" si="10"/>
        <v>51.3825</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2991</v>
      </c>
      <c r="B45" s="15">
        <v>39</v>
      </c>
      <c r="C45" s="77">
        <f t="shared" si="6"/>
        <v>132.60000000000002</v>
      </c>
      <c r="D45" s="77">
        <f t="shared" si="7"/>
        <v>63.705836999999995</v>
      </c>
      <c r="E45" s="77">
        <f t="shared" si="8"/>
        <v>8.0361450000000012</v>
      </c>
      <c r="F45" s="77">
        <f t="shared" si="9"/>
        <v>11.121864</v>
      </c>
      <c r="G45" s="77">
        <f t="shared" si="5"/>
        <v>0.12909000000000001</v>
      </c>
      <c r="H45" s="77">
        <f t="shared" si="5"/>
        <v>0.71760000000000002</v>
      </c>
      <c r="I45" s="77">
        <f t="shared" si="5"/>
        <v>1.95E-2</v>
      </c>
      <c r="J45" s="77">
        <f t="shared" si="5"/>
        <v>3.9000000000000005E-4</v>
      </c>
      <c r="K45" s="77">
        <f t="shared" si="5"/>
        <v>1.9500000000000001E-3</v>
      </c>
      <c r="L45" s="77">
        <f t="shared" si="5"/>
        <v>5.3430000000000005E-2</v>
      </c>
      <c r="M45" s="77">
        <f t="shared" si="5"/>
        <v>3.5100000000000006E-2</v>
      </c>
      <c r="N45" s="77">
        <f t="shared" si="5"/>
        <v>0</v>
      </c>
      <c r="O45" s="77">
        <f t="shared" si="5"/>
        <v>0</v>
      </c>
      <c r="P45" s="77">
        <f t="shared" si="5"/>
        <v>33.384</v>
      </c>
      <c r="Q45" s="77">
        <f t="shared" si="10"/>
        <v>51.3825</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3799</v>
      </c>
      <c r="B46" s="15">
        <v>39</v>
      </c>
      <c r="C46" s="77">
        <f t="shared" si="6"/>
        <v>132.60000000000002</v>
      </c>
      <c r="D46" s="77">
        <f t="shared" si="7"/>
        <v>63.705836999999995</v>
      </c>
      <c r="E46" s="77">
        <f t="shared" si="8"/>
        <v>8.0361450000000012</v>
      </c>
      <c r="F46" s="77">
        <f t="shared" si="9"/>
        <v>11.121864</v>
      </c>
      <c r="G46" s="77">
        <f t="shared" si="5"/>
        <v>0.12909000000000001</v>
      </c>
      <c r="H46" s="77">
        <f t="shared" si="5"/>
        <v>0.71760000000000002</v>
      </c>
      <c r="I46" s="77">
        <f t="shared" si="5"/>
        <v>1.95E-2</v>
      </c>
      <c r="J46" s="77">
        <f t="shared" si="5"/>
        <v>3.9000000000000005E-4</v>
      </c>
      <c r="K46" s="77">
        <f t="shared" si="5"/>
        <v>1.9500000000000001E-3</v>
      </c>
      <c r="L46" s="77">
        <f t="shared" si="5"/>
        <v>5.3430000000000005E-2</v>
      </c>
      <c r="M46" s="77">
        <f t="shared" si="5"/>
        <v>3.5100000000000006E-2</v>
      </c>
      <c r="N46" s="77">
        <f t="shared" si="5"/>
        <v>0</v>
      </c>
      <c r="O46" s="77">
        <f t="shared" si="5"/>
        <v>0</v>
      </c>
      <c r="P46" s="77">
        <f t="shared" si="5"/>
        <v>33.384</v>
      </c>
      <c r="Q46" s="77">
        <f t="shared" si="10"/>
        <v>51.3825</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5813</v>
      </c>
      <c r="B47" s="15">
        <v>39</v>
      </c>
      <c r="C47" s="77">
        <f t="shared" si="6"/>
        <v>132.60000000000002</v>
      </c>
      <c r="D47" s="77">
        <f t="shared" si="7"/>
        <v>63.705836999999995</v>
      </c>
      <c r="E47" s="77">
        <f t="shared" si="8"/>
        <v>8.0361450000000012</v>
      </c>
      <c r="F47" s="77">
        <f t="shared" si="9"/>
        <v>11.121864</v>
      </c>
      <c r="G47" s="77">
        <f t="shared" ref="G47:P50" si="12">IF(G$27="%w/w SAR",((G$28*10)*$B47),IF(G$27="%w/w DM",(((G$28*10)*($B$28/100))*$B47),IF(G$27="kg/t SAR",(G$28*$B47),IF(G$27="kg/t DM",((G$28*($B$28/100))*$B47),IF(G$27="mg/kg SAR",((G$28*0.001)*$B47),IF(G$27="mg/kg DM",(((G$28*0.001)*($B$28/100))*$B47),0))))))</f>
        <v>0.12909000000000001</v>
      </c>
      <c r="H47" s="77">
        <f t="shared" si="12"/>
        <v>0.71760000000000002</v>
      </c>
      <c r="I47" s="77">
        <f t="shared" si="12"/>
        <v>1.95E-2</v>
      </c>
      <c r="J47" s="77">
        <f t="shared" si="12"/>
        <v>3.9000000000000005E-4</v>
      </c>
      <c r="K47" s="77">
        <f t="shared" si="12"/>
        <v>1.9500000000000001E-3</v>
      </c>
      <c r="L47" s="77">
        <f t="shared" si="12"/>
        <v>5.3430000000000005E-2</v>
      </c>
      <c r="M47" s="77">
        <f t="shared" si="12"/>
        <v>3.5100000000000006E-2</v>
      </c>
      <c r="N47" s="77">
        <f t="shared" si="12"/>
        <v>0</v>
      </c>
      <c r="O47" s="77">
        <f t="shared" si="12"/>
        <v>0</v>
      </c>
      <c r="P47" s="77">
        <f t="shared" si="12"/>
        <v>33.384</v>
      </c>
      <c r="Q47" s="77">
        <f t="shared" si="10"/>
        <v>51.3825</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1390</v>
      </c>
      <c r="B48" s="15">
        <v>39</v>
      </c>
      <c r="C48" s="77">
        <f t="shared" si="6"/>
        <v>132.60000000000002</v>
      </c>
      <c r="D48" s="77">
        <f t="shared" si="7"/>
        <v>63.705836999999995</v>
      </c>
      <c r="E48" s="77">
        <f t="shared" si="8"/>
        <v>8.0361450000000012</v>
      </c>
      <c r="F48" s="77">
        <f t="shared" si="9"/>
        <v>11.121864</v>
      </c>
      <c r="G48" s="77">
        <f t="shared" si="12"/>
        <v>0.12909000000000001</v>
      </c>
      <c r="H48" s="77">
        <f t="shared" si="12"/>
        <v>0.71760000000000002</v>
      </c>
      <c r="I48" s="77">
        <f t="shared" si="12"/>
        <v>1.95E-2</v>
      </c>
      <c r="J48" s="77">
        <f t="shared" si="12"/>
        <v>3.9000000000000005E-4</v>
      </c>
      <c r="K48" s="77">
        <f t="shared" si="12"/>
        <v>1.9500000000000001E-3</v>
      </c>
      <c r="L48" s="77">
        <f t="shared" si="12"/>
        <v>5.3430000000000005E-2</v>
      </c>
      <c r="M48" s="77">
        <f t="shared" si="12"/>
        <v>3.5100000000000006E-2</v>
      </c>
      <c r="N48" s="77">
        <f t="shared" si="12"/>
        <v>0</v>
      </c>
      <c r="O48" s="77">
        <f t="shared" si="12"/>
        <v>0</v>
      </c>
      <c r="P48" s="77">
        <f t="shared" si="12"/>
        <v>33.384</v>
      </c>
      <c r="Q48" s="77">
        <f t="shared" si="10"/>
        <v>51.3825</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9596</v>
      </c>
      <c r="B49" s="15">
        <v>39</v>
      </c>
      <c r="C49" s="77">
        <f t="shared" si="6"/>
        <v>132.60000000000002</v>
      </c>
      <c r="D49" s="77">
        <f t="shared" si="7"/>
        <v>63.705836999999995</v>
      </c>
      <c r="E49" s="77">
        <f t="shared" si="8"/>
        <v>8.0361450000000012</v>
      </c>
      <c r="F49" s="77">
        <f t="shared" si="9"/>
        <v>11.121864</v>
      </c>
      <c r="G49" s="77">
        <f t="shared" si="12"/>
        <v>0.12909000000000001</v>
      </c>
      <c r="H49" s="77">
        <f t="shared" si="12"/>
        <v>0.71760000000000002</v>
      </c>
      <c r="I49" s="77">
        <f t="shared" si="12"/>
        <v>1.95E-2</v>
      </c>
      <c r="J49" s="77">
        <f t="shared" si="12"/>
        <v>3.9000000000000005E-4</v>
      </c>
      <c r="K49" s="77">
        <f t="shared" si="12"/>
        <v>1.9500000000000001E-3</v>
      </c>
      <c r="L49" s="77">
        <f t="shared" si="12"/>
        <v>5.3430000000000005E-2</v>
      </c>
      <c r="M49" s="77">
        <f t="shared" si="12"/>
        <v>3.5100000000000006E-2</v>
      </c>
      <c r="N49" s="77">
        <f t="shared" si="12"/>
        <v>0</v>
      </c>
      <c r="O49" s="77">
        <f t="shared" si="12"/>
        <v>0</v>
      </c>
      <c r="P49" s="77">
        <f t="shared" si="12"/>
        <v>33.384</v>
      </c>
      <c r="Q49" s="77">
        <f t="shared" si="10"/>
        <v>51.3825</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716</v>
      </c>
      <c r="B50" s="15">
        <v>39</v>
      </c>
      <c r="C50" s="98">
        <f t="shared" si="6"/>
        <v>132.60000000000002</v>
      </c>
      <c r="D50" s="98">
        <f t="shared" si="7"/>
        <v>63.705836999999995</v>
      </c>
      <c r="E50" s="98">
        <f t="shared" si="8"/>
        <v>8.0361450000000012</v>
      </c>
      <c r="F50" s="98">
        <f t="shared" si="9"/>
        <v>11.121864</v>
      </c>
      <c r="G50" s="98">
        <f t="shared" si="12"/>
        <v>0.12909000000000001</v>
      </c>
      <c r="H50" s="98">
        <f t="shared" si="12"/>
        <v>0.71760000000000002</v>
      </c>
      <c r="I50" s="98">
        <f t="shared" si="12"/>
        <v>1.95E-2</v>
      </c>
      <c r="J50" s="98">
        <f t="shared" si="12"/>
        <v>3.9000000000000005E-4</v>
      </c>
      <c r="K50" s="98">
        <f t="shared" si="12"/>
        <v>1.9500000000000001E-3</v>
      </c>
      <c r="L50" s="98">
        <f t="shared" si="12"/>
        <v>5.3430000000000005E-2</v>
      </c>
      <c r="M50" s="98">
        <f t="shared" si="12"/>
        <v>3.5100000000000006E-2</v>
      </c>
      <c r="N50" s="98">
        <f t="shared" si="12"/>
        <v>0</v>
      </c>
      <c r="O50" s="98">
        <f t="shared" si="12"/>
        <v>0</v>
      </c>
      <c r="P50" s="98">
        <f t="shared" si="12"/>
        <v>33.384</v>
      </c>
      <c r="Q50" s="98">
        <f t="shared" si="10"/>
        <v>51.3825</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5905</v>
      </c>
      <c r="C57" s="8">
        <f t="shared" ref="C57:U57" si="13">D8</f>
        <v>4279</v>
      </c>
      <c r="D57" s="8">
        <f t="shared" si="13"/>
        <v>7605</v>
      </c>
      <c r="E57" s="8">
        <f t="shared" si="13"/>
        <v>3851</v>
      </c>
      <c r="F57" s="8">
        <f t="shared" si="13"/>
        <v>6418</v>
      </c>
      <c r="G57" s="8">
        <f t="shared" si="13"/>
        <v>1843</v>
      </c>
      <c r="H57" s="8">
        <f t="shared" si="13"/>
        <v>5974</v>
      </c>
      <c r="I57" s="8">
        <f t="shared" si="13"/>
        <v>5490</v>
      </c>
      <c r="J57" s="8">
        <f t="shared" si="13"/>
        <v>2565</v>
      </c>
      <c r="K57" s="8">
        <f t="shared" si="13"/>
        <v>7887</v>
      </c>
      <c r="L57" s="8">
        <f t="shared" si="13"/>
        <v>2946</v>
      </c>
      <c r="M57" s="8">
        <f t="shared" si="13"/>
        <v>2881</v>
      </c>
      <c r="N57" s="8">
        <f t="shared" si="13"/>
        <v>3398</v>
      </c>
      <c r="O57" s="8">
        <f t="shared" si="13"/>
        <v>5694</v>
      </c>
      <c r="P57" s="8">
        <f t="shared" si="13"/>
        <v>2991</v>
      </c>
      <c r="Q57" s="8">
        <f t="shared" si="13"/>
        <v>3799</v>
      </c>
      <c r="R57" s="8">
        <f t="shared" si="13"/>
        <v>5813</v>
      </c>
      <c r="S57" s="8">
        <f t="shared" si="13"/>
        <v>1390</v>
      </c>
      <c r="T57" s="8">
        <f t="shared" si="13"/>
        <v>9596</v>
      </c>
      <c r="U57" s="8">
        <f t="shared" si="13"/>
        <v>716</v>
      </c>
    </row>
    <row r="58" spans="1:35" s="19" customFormat="1" x14ac:dyDescent="0.25">
      <c r="A58" s="92" t="s">
        <v>136</v>
      </c>
      <c r="B58" s="13" t="str">
        <f>C16&amp;" I "&amp;(VLOOKUP(C14,Table24581112[],6,FALSE))</f>
        <v>Medium/Clay I Grass</v>
      </c>
      <c r="C58" s="13" t="str">
        <f>D16&amp;" I "&amp;(VLOOKUP(D14,Table24581112[],6,FALSE))</f>
        <v>Medium/Clay I Grass</v>
      </c>
      <c r="D58" s="13" t="str">
        <f>E16&amp;" I "&amp;(VLOOKUP(E14,Table24581112[],6,FALSE))</f>
        <v>Medium/Clay I Grass</v>
      </c>
      <c r="E58" s="13" t="str">
        <f>F16&amp;" I "&amp;(VLOOKUP(F14,Table24581112[],6,FALSE))</f>
        <v>Medium/Clay I Grass</v>
      </c>
      <c r="F58" s="13" t="str">
        <f>G16&amp;" I "&amp;(VLOOKUP(G14,Table24581112[],6,FALSE))</f>
        <v>Medium/Clay I Grass</v>
      </c>
      <c r="G58" s="13" t="str">
        <f>H16&amp;" I "&amp;(VLOOKUP(H14,Table24581112[],6,FALSE))</f>
        <v>Medium/Clay I Grass</v>
      </c>
      <c r="H58" s="13" t="str">
        <f>I16&amp;" I "&amp;(VLOOKUP(I14,Table24581112[],6,FALSE))</f>
        <v>Medium/Clay I Grass</v>
      </c>
      <c r="I58" s="13" t="str">
        <f>J16&amp;" I "&amp;(VLOOKUP(J14,Table24581112[],6,FALSE))</f>
        <v>Medium/Clay I Grass</v>
      </c>
      <c r="J58" s="13" t="str">
        <f>K16&amp;" I "&amp;(VLOOKUP(K14,Table24581112[],6,FALSE))</f>
        <v>Medium/Clay I Grass</v>
      </c>
      <c r="K58" s="13" t="str">
        <f>L16&amp;" I "&amp;(VLOOKUP(L14,Table24581112[],6,FALSE))</f>
        <v>Medium/Clay I Grass</v>
      </c>
      <c r="L58" s="13" t="str">
        <f>M16&amp;" I "&amp;(VLOOKUP(M14,Table24581112[],6,FALSE))</f>
        <v>Medium/Clay I Grass</v>
      </c>
      <c r="M58" s="13" t="str">
        <f>N16&amp;" I "&amp;(VLOOKUP(N14,Table24581112[],6,FALSE))</f>
        <v>Medium/Clay I Grass</v>
      </c>
      <c r="N58" s="13" t="str">
        <f>O16&amp;" I "&amp;(VLOOKUP(O14,Table24581112[],6,FALSE))</f>
        <v>Medium/Clay I Grass</v>
      </c>
      <c r="O58" s="13" t="str">
        <f>P16&amp;" I "&amp;(VLOOKUP(P14,Table24581112[],6,FALSE))</f>
        <v>Medium/Clay I Grass</v>
      </c>
      <c r="P58" s="13" t="str">
        <f>Q16&amp;" I "&amp;(VLOOKUP(Q14,Table24581112[],6,FALSE))</f>
        <v>Medium/Clay I Grass</v>
      </c>
      <c r="Q58" s="13" t="str">
        <f>R16&amp;" I "&amp;(VLOOKUP(R14,Table24581112[],6,FALSE))</f>
        <v>Medium/Clay I Grass</v>
      </c>
      <c r="R58" s="13" t="str">
        <f>S16&amp;" I "&amp;(VLOOKUP(S14,Table24581112[],6,FALSE))</f>
        <v>Medium/Clay I Grass</v>
      </c>
      <c r="S58" s="13" t="str">
        <f>T16&amp;" I "&amp;(VLOOKUP(T14,Table24581112[],6,FALSE))</f>
        <v>Medium/Clay I Grass</v>
      </c>
      <c r="T58" s="13" t="str">
        <f>U16&amp;" I "&amp;(VLOOKUP(U14,Table24581112[],6,FALSE))</f>
        <v>Medium/Clay I Grass</v>
      </c>
      <c r="U58" s="13" t="str">
        <f>V16&amp;" I "&amp;(VLOOKUP(V14,Table24581112[],6,FALSE))</f>
        <v>Medium/Clay I Grass</v>
      </c>
    </row>
    <row r="59" spans="1:35" s="19" customFormat="1" x14ac:dyDescent="0.2">
      <c r="A59" s="111" t="s">
        <v>132</v>
      </c>
      <c r="B59" s="76">
        <f>VLOOKUP(C$14,Table24581112[],5,FALSE)</f>
        <v>6.2</v>
      </c>
      <c r="C59" s="76">
        <f>VLOOKUP(D$14,Table24581112[],5,FALSE)</f>
        <v>6.2</v>
      </c>
      <c r="D59" s="76">
        <f>VLOOKUP(E$14,Table24581112[],5,FALSE)</f>
        <v>6.2</v>
      </c>
      <c r="E59" s="76">
        <f>VLOOKUP(F$14,Table24581112[],5,FALSE)</f>
        <v>6.2</v>
      </c>
      <c r="F59" s="76">
        <f>VLOOKUP(G$14,Table24581112[],5,FALSE)</f>
        <v>6.2</v>
      </c>
      <c r="G59" s="76">
        <f>VLOOKUP(H$14,Table24581112[],5,FALSE)</f>
        <v>6.2</v>
      </c>
      <c r="H59" s="76">
        <f>VLOOKUP(I$14,Table24581112[],5,FALSE)</f>
        <v>6.2</v>
      </c>
      <c r="I59" s="76">
        <f>VLOOKUP(J$14,Table24581112[],5,FALSE)</f>
        <v>6.2</v>
      </c>
      <c r="J59" s="76">
        <f>VLOOKUP(K$14,Table24581112[],5,FALSE)</f>
        <v>6.2</v>
      </c>
      <c r="K59" s="76">
        <f>VLOOKUP(L$14,Table24581112[],5,FALSE)</f>
        <v>6.2</v>
      </c>
      <c r="L59" s="76">
        <f>VLOOKUP(M$14,Table24581112[],5,FALSE)</f>
        <v>6.2</v>
      </c>
      <c r="M59" s="76">
        <f>VLOOKUP(N$14,Table24581112[],5,FALSE)</f>
        <v>6.2</v>
      </c>
      <c r="N59" s="76">
        <f>VLOOKUP(O$14,Table24581112[],5,FALSE)</f>
        <v>6.2</v>
      </c>
      <c r="O59" s="76">
        <f>VLOOKUP(P$14,Table24581112[],5,FALSE)</f>
        <v>6.2</v>
      </c>
      <c r="P59" s="76">
        <f>VLOOKUP(Q$14,Table24581112[],5,FALSE)</f>
        <v>6.2</v>
      </c>
      <c r="Q59" s="76">
        <f>VLOOKUP(R$14,Table24581112[],5,FALSE)</f>
        <v>6.2</v>
      </c>
      <c r="R59" s="76">
        <f>VLOOKUP(S$14,Table24581112[],5,FALSE)</f>
        <v>6.2</v>
      </c>
      <c r="S59" s="76">
        <f>VLOOKUP(T$14,Table24581112[],5,FALSE)</f>
        <v>6.2</v>
      </c>
      <c r="T59" s="76">
        <f>VLOOKUP(U$14,Table24581112[],5,FALSE)</f>
        <v>6.2</v>
      </c>
      <c r="U59" s="76">
        <f>VLOOKUP(V$14,Table24581112[],5,FALSE)</f>
        <v>6.2</v>
      </c>
    </row>
    <row r="60" spans="1:35" s="19" customFormat="1" x14ac:dyDescent="0.2">
      <c r="A60" s="111" t="s">
        <v>4</v>
      </c>
      <c r="B60" s="76">
        <f>C10</f>
        <v>6.2</v>
      </c>
      <c r="C60" s="76">
        <f t="shared" ref="C60:U60" si="14">D10</f>
        <v>5.6</v>
      </c>
      <c r="D60" s="76">
        <f t="shared" si="14"/>
        <v>6.3</v>
      </c>
      <c r="E60" s="76">
        <f t="shared" si="14"/>
        <v>6</v>
      </c>
      <c r="F60" s="76">
        <f t="shared" si="14"/>
        <v>5.8</v>
      </c>
      <c r="G60" s="76">
        <f t="shared" si="14"/>
        <v>5.3</v>
      </c>
      <c r="H60" s="76">
        <f t="shared" si="14"/>
        <v>6</v>
      </c>
      <c r="I60" s="76">
        <f t="shared" si="14"/>
        <v>6.1</v>
      </c>
      <c r="J60" s="76">
        <f t="shared" si="14"/>
        <v>5.5</v>
      </c>
      <c r="K60" s="76">
        <f t="shared" si="14"/>
        <v>6.1</v>
      </c>
      <c r="L60" s="76">
        <f t="shared" si="14"/>
        <v>5.5</v>
      </c>
      <c r="M60" s="76">
        <f t="shared" si="14"/>
        <v>5.6</v>
      </c>
      <c r="N60" s="76">
        <f t="shared" si="14"/>
        <v>5.9</v>
      </c>
      <c r="O60" s="76">
        <f t="shared" si="14"/>
        <v>6.5</v>
      </c>
      <c r="P60" s="76">
        <f t="shared" si="14"/>
        <v>5.7</v>
      </c>
      <c r="Q60" s="76">
        <f t="shared" si="14"/>
        <v>6.4</v>
      </c>
      <c r="R60" s="76">
        <f t="shared" si="14"/>
        <v>6.7</v>
      </c>
      <c r="S60" s="76">
        <f t="shared" si="14"/>
        <v>5.4</v>
      </c>
      <c r="T60" s="76">
        <f t="shared" si="14"/>
        <v>5.5</v>
      </c>
      <c r="U60" s="76">
        <f t="shared" si="14"/>
        <v>6.4</v>
      </c>
    </row>
    <row r="61" spans="1:35" s="19" customFormat="1" x14ac:dyDescent="0.2">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f t="shared" si="15"/>
        <v>6</v>
      </c>
      <c r="R61" s="76">
        <f t="shared" si="15"/>
        <v>6</v>
      </c>
      <c r="S61" s="76">
        <f t="shared" si="15"/>
        <v>6</v>
      </c>
      <c r="T61" s="76">
        <f t="shared" si="15"/>
        <v>6</v>
      </c>
      <c r="U61" s="76">
        <f t="shared" si="15"/>
        <v>6</v>
      </c>
    </row>
    <row r="62" spans="1:35" s="19" customFormat="1" x14ac:dyDescent="0.2">
      <c r="A62" s="111" t="s">
        <v>134</v>
      </c>
      <c r="B62" s="77">
        <f>B31</f>
        <v>39</v>
      </c>
      <c r="C62" s="77">
        <f>B32</f>
        <v>39</v>
      </c>
      <c r="D62" s="77">
        <f>B33</f>
        <v>39</v>
      </c>
      <c r="E62" s="77">
        <f>B34</f>
        <v>39</v>
      </c>
      <c r="F62" s="77">
        <f>B35</f>
        <v>39</v>
      </c>
      <c r="G62" s="77">
        <f>B36</f>
        <v>39</v>
      </c>
      <c r="H62" s="77">
        <f>B37</f>
        <v>39</v>
      </c>
      <c r="I62" s="77">
        <f>B38</f>
        <v>39</v>
      </c>
      <c r="J62" s="77">
        <f>B39</f>
        <v>39</v>
      </c>
      <c r="K62" s="77">
        <f>B40</f>
        <v>39</v>
      </c>
      <c r="L62" s="77">
        <f>B41</f>
        <v>39</v>
      </c>
      <c r="M62" s="77">
        <f>B42</f>
        <v>39</v>
      </c>
      <c r="N62" s="77">
        <f>B43</f>
        <v>39</v>
      </c>
      <c r="O62" s="77">
        <f>B44</f>
        <v>39</v>
      </c>
      <c r="P62" s="77">
        <f>B45</f>
        <v>39</v>
      </c>
      <c r="Q62" s="77">
        <f>B46</f>
        <v>39</v>
      </c>
      <c r="R62" s="77">
        <f>B47</f>
        <v>39</v>
      </c>
      <c r="S62" s="77">
        <f>B48</f>
        <v>39</v>
      </c>
      <c r="T62" s="77">
        <f>B49</f>
        <v>39</v>
      </c>
      <c r="U62" s="77">
        <f>B50</f>
        <v>39</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0</v>
      </c>
      <c r="C64" s="77">
        <f t="shared" ref="C64:U64" si="17">(C59-C60)*C61</f>
        <v>3.6000000000000032</v>
      </c>
      <c r="D64" s="77">
        <f t="shared" si="17"/>
        <v>-0.59999999999999787</v>
      </c>
      <c r="E64" s="77">
        <f t="shared" si="17"/>
        <v>1.2000000000000011</v>
      </c>
      <c r="F64" s="77">
        <f t="shared" si="17"/>
        <v>2.4000000000000021</v>
      </c>
      <c r="G64" s="77">
        <f t="shared" si="17"/>
        <v>5.4000000000000021</v>
      </c>
      <c r="H64" s="77">
        <f t="shared" si="17"/>
        <v>1.2000000000000011</v>
      </c>
      <c r="I64" s="77">
        <f t="shared" si="17"/>
        <v>0.6000000000000032</v>
      </c>
      <c r="J64" s="77">
        <f t="shared" si="17"/>
        <v>4.2000000000000011</v>
      </c>
      <c r="K64" s="77">
        <f t="shared" si="17"/>
        <v>0.6000000000000032</v>
      </c>
      <c r="L64" s="77">
        <f t="shared" si="17"/>
        <v>4.2000000000000011</v>
      </c>
      <c r="M64" s="77">
        <f t="shared" si="17"/>
        <v>3.6000000000000032</v>
      </c>
      <c r="N64" s="77">
        <f t="shared" si="17"/>
        <v>1.7999999999999989</v>
      </c>
      <c r="O64" s="77">
        <f t="shared" si="17"/>
        <v>-1.7999999999999989</v>
      </c>
      <c r="P64" s="77">
        <f t="shared" si="17"/>
        <v>3</v>
      </c>
      <c r="Q64" s="77">
        <f t="shared" si="17"/>
        <v>-1.2000000000000011</v>
      </c>
      <c r="R64" s="77">
        <f t="shared" si="17"/>
        <v>-3</v>
      </c>
      <c r="S64" s="77">
        <f t="shared" si="17"/>
        <v>4.7999999999999989</v>
      </c>
      <c r="T64" s="77">
        <f t="shared" si="17"/>
        <v>4.2000000000000011</v>
      </c>
      <c r="U64" s="77">
        <f t="shared" si="17"/>
        <v>-1.2000000000000011</v>
      </c>
    </row>
    <row r="65" spans="1:21" s="19" customFormat="1" ht="51" x14ac:dyDescent="0.2">
      <c r="A65" s="112" t="s">
        <v>157</v>
      </c>
      <c r="B65" s="77">
        <f>B63-B64</f>
        <v>0</v>
      </c>
      <c r="C65" s="77">
        <f t="shared" ref="C65:U65" si="18">C63-C64</f>
        <v>-3.6000000000000032</v>
      </c>
      <c r="D65" s="77">
        <f t="shared" si="18"/>
        <v>0.59999999999999787</v>
      </c>
      <c r="E65" s="77">
        <f t="shared" si="18"/>
        <v>-1.2000000000000011</v>
      </c>
      <c r="F65" s="77">
        <f t="shared" si="18"/>
        <v>-2.4000000000000021</v>
      </c>
      <c r="G65" s="77">
        <f t="shared" si="18"/>
        <v>-5.4000000000000021</v>
      </c>
      <c r="H65" s="77">
        <f t="shared" si="18"/>
        <v>-1.2000000000000011</v>
      </c>
      <c r="I65" s="77">
        <f t="shared" si="18"/>
        <v>-0.6000000000000032</v>
      </c>
      <c r="J65" s="77">
        <f t="shared" si="18"/>
        <v>-4.2000000000000011</v>
      </c>
      <c r="K65" s="77">
        <f t="shared" si="18"/>
        <v>-0.6000000000000032</v>
      </c>
      <c r="L65" s="77">
        <f t="shared" si="18"/>
        <v>-4.2000000000000011</v>
      </c>
      <c r="M65" s="77">
        <f t="shared" si="18"/>
        <v>-3.6000000000000032</v>
      </c>
      <c r="N65" s="77">
        <f t="shared" si="18"/>
        <v>-1.7999999999999989</v>
      </c>
      <c r="O65" s="77">
        <f t="shared" si="18"/>
        <v>1.7999999999999989</v>
      </c>
      <c r="P65" s="77">
        <f t="shared" si="18"/>
        <v>-3</v>
      </c>
      <c r="Q65" s="77">
        <f t="shared" si="18"/>
        <v>1.2000000000000011</v>
      </c>
      <c r="R65" s="77">
        <f t="shared" si="18"/>
        <v>3</v>
      </c>
      <c r="S65" s="77">
        <f t="shared" si="18"/>
        <v>-4.7999999999999989</v>
      </c>
      <c r="T65" s="77">
        <f t="shared" si="18"/>
        <v>-4.2000000000000011</v>
      </c>
      <c r="U65" s="77">
        <f t="shared" si="18"/>
        <v>1.2000000000000011</v>
      </c>
    </row>
    <row r="66" spans="1:21" s="19" customFormat="1" ht="38.25" x14ac:dyDescent="0.2">
      <c r="A66" s="112" t="s">
        <v>148</v>
      </c>
      <c r="B66" s="78" t="str">
        <f>IF(B64&lt;=B63,"OVER","UNDER")</f>
        <v>OVER</v>
      </c>
      <c r="C66" s="78" t="str">
        <f t="shared" ref="C66:U66" si="19">IF(C64&lt;=C63,"OVER","UNDER")</f>
        <v>UNDER</v>
      </c>
      <c r="D66" s="78" t="str">
        <f t="shared" si="19"/>
        <v>OVER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str">
        <f t="shared" si="19"/>
        <v>UNDER</v>
      </c>
      <c r="N66" s="78" t="str">
        <f t="shared" si="19"/>
        <v>UNDER</v>
      </c>
      <c r="O66" s="78" t="str">
        <f t="shared" si="19"/>
        <v>OVER</v>
      </c>
      <c r="P66" s="78" t="str">
        <f t="shared" si="19"/>
        <v>UNDER</v>
      </c>
      <c r="Q66" s="78" t="str">
        <f t="shared" si="19"/>
        <v>OVER</v>
      </c>
      <c r="R66" s="78" t="str">
        <f t="shared" si="19"/>
        <v>OVER</v>
      </c>
      <c r="S66" s="78" t="str">
        <f t="shared" si="19"/>
        <v>UNDER</v>
      </c>
      <c r="T66" s="78" t="str">
        <f t="shared" si="19"/>
        <v>UNDER</v>
      </c>
      <c r="U66" s="78" t="str">
        <f t="shared" si="19"/>
        <v>OVER</v>
      </c>
    </row>
  </sheetData>
  <sheetProtection algorithmName="SHA-512" hashValue="S0wN++bb//5c22akgZqDoYc3nLbFSwofVW4PoumfyNl+ZYUyfdhz9oZA4VL4/0K1HNte7W0e2T5OJT5fKOGQ+w==" saltValue="SlixrScU6P7KX2bHf+BVc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93" priority="37" operator="equal">
      <formula>"DECREASE"</formula>
    </cfRule>
    <cfRule type="cellIs" dxfId="292" priority="38" operator="equal">
      <formula>"INCREASE"</formula>
    </cfRule>
  </conditionalFormatting>
  <conditionalFormatting sqref="B62:U66 B31:B50">
    <cfRule type="cellIs" dxfId="291" priority="36" operator="greaterThan">
      <formula>$B$51</formula>
    </cfRule>
  </conditionalFormatting>
  <conditionalFormatting sqref="C31:C50">
    <cfRule type="cellIs" dxfId="290" priority="35" operator="greaterThan">
      <formula>$C$51</formula>
    </cfRule>
  </conditionalFormatting>
  <conditionalFormatting sqref="C18:V18">
    <cfRule type="cellIs" dxfId="289" priority="34" operator="equal">
      <formula>0</formula>
    </cfRule>
  </conditionalFormatting>
  <conditionalFormatting sqref="C17:V17">
    <cfRule type="cellIs" dxfId="288" priority="33" operator="equal">
      <formula>0</formula>
    </cfRule>
  </conditionalFormatting>
  <conditionalFormatting sqref="C19:V19">
    <cfRule type="cellIs" dxfId="287" priority="32" operator="equal">
      <formula>0</formula>
    </cfRule>
  </conditionalFormatting>
  <conditionalFormatting sqref="G31:G50">
    <cfRule type="cellIs" dxfId="286" priority="31" operator="greaterThan">
      <formula>$G$51</formula>
    </cfRule>
  </conditionalFormatting>
  <conditionalFormatting sqref="H31:H50">
    <cfRule type="cellIs" dxfId="285" priority="30" operator="greaterThan">
      <formula>$H$51</formula>
    </cfRule>
  </conditionalFormatting>
  <conditionalFormatting sqref="I31:I50">
    <cfRule type="cellIs" dxfId="284" priority="29" operator="greaterThan">
      <formula>$I$51</formula>
    </cfRule>
  </conditionalFormatting>
  <conditionalFormatting sqref="K31:K50">
    <cfRule type="cellIs" dxfId="283" priority="28" operator="greaterThan">
      <formula>$K$51</formula>
    </cfRule>
  </conditionalFormatting>
  <conditionalFormatting sqref="L31:L50">
    <cfRule type="cellIs" dxfId="282" priority="27" operator="greaterThan">
      <formula>$L$51</formula>
    </cfRule>
  </conditionalFormatting>
  <conditionalFormatting sqref="M31:M50">
    <cfRule type="cellIs" dxfId="281" priority="26" operator="greaterThan">
      <formula>$M$51</formula>
    </cfRule>
  </conditionalFormatting>
  <conditionalFormatting sqref="P31:P50">
    <cfRule type="cellIs" dxfId="280" priority="25" operator="greaterThan">
      <formula>$P$51</formula>
    </cfRule>
  </conditionalFormatting>
  <conditionalFormatting sqref="R31:R50">
    <cfRule type="cellIs" dxfId="279" priority="24" operator="greaterThan">
      <formula>$R$51</formula>
    </cfRule>
  </conditionalFormatting>
  <conditionalFormatting sqref="S31:S50">
    <cfRule type="cellIs" dxfId="278" priority="23" operator="greaterThan">
      <formula>$S$51</formula>
    </cfRule>
  </conditionalFormatting>
  <conditionalFormatting sqref="T31:T50">
    <cfRule type="cellIs" dxfId="277" priority="22" operator="greaterThan">
      <formula>$T$51</formula>
    </cfRule>
  </conditionalFormatting>
  <conditionalFormatting sqref="U31:U50">
    <cfRule type="cellIs" dxfId="276" priority="21" operator="greaterThan">
      <formula>$U$51</formula>
    </cfRule>
  </conditionalFormatting>
  <conditionalFormatting sqref="C22:V22">
    <cfRule type="cellIs" dxfId="275" priority="20" operator="equal">
      <formula>0</formula>
    </cfRule>
  </conditionalFormatting>
  <conditionalFormatting sqref="C24:V24">
    <cfRule type="cellIs" dxfId="274" priority="18" operator="equal">
      <formula>"DECREASE"</formula>
    </cfRule>
    <cfRule type="cellIs" dxfId="273" priority="19" operator="equal">
      <formula>"INCREASE"</formula>
    </cfRule>
  </conditionalFormatting>
  <conditionalFormatting sqref="C23:V23">
    <cfRule type="cellIs" dxfId="272" priority="17" operator="equal">
      <formula>0</formula>
    </cfRule>
  </conditionalFormatting>
  <conditionalFormatting sqref="C21:V21">
    <cfRule type="cellIs" dxfId="271" priority="13" operator="equal">
      <formula>0</formula>
    </cfRule>
  </conditionalFormatting>
  <conditionalFormatting sqref="B66:U66">
    <cfRule type="cellIs" dxfId="270" priority="11" operator="equal">
      <formula>"UNDER"</formula>
    </cfRule>
    <cfRule type="cellIs" dxfId="269" priority="12" operator="equal">
      <formula>"OVER"</formula>
    </cfRule>
  </conditionalFormatting>
  <conditionalFormatting sqref="J31:J50">
    <cfRule type="cellIs" dxfId="268" priority="8" operator="greaterThan">
      <formula>$J$51</formula>
    </cfRule>
  </conditionalFormatting>
  <conditionalFormatting sqref="L3">
    <cfRule type="cellIs" dxfId="267" priority="4" operator="lessThan">
      <formula>30</formula>
    </cfRule>
    <cfRule type="cellIs" dxfId="266" priority="5" operator="greaterThanOrEqual">
      <formula>30</formula>
    </cfRule>
  </conditionalFormatting>
  <conditionalFormatting sqref="I1">
    <cfRule type="cellIs" dxfId="265" priority="3" operator="between">
      <formula>0.1</formula>
      <formula>5</formula>
    </cfRule>
  </conditionalFormatting>
  <conditionalFormatting sqref="I2">
    <cfRule type="cellIs" dxfId="264" priority="2" operator="greaterThan">
      <formula>5000.1</formula>
    </cfRule>
  </conditionalFormatting>
  <conditionalFormatting sqref="I3">
    <cfRule type="cellIs" dxfId="263"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F4" sqref="F4"/>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42" width="0" style="11" hidden="1" customWidth="1"/>
    <col min="43" max="16384" width="13.140625" style="11"/>
  </cols>
  <sheetData>
    <row r="1" spans="1:41" x14ac:dyDescent="0.2">
      <c r="A1" s="119" t="s">
        <v>41</v>
      </c>
      <c r="B1" s="119"/>
      <c r="C1" s="140" t="str">
        <f>Secanim!C1:D1</f>
        <v>PAN-021626</v>
      </c>
      <c r="D1" s="141"/>
      <c r="E1" s="93" t="s">
        <v>45</v>
      </c>
      <c r="F1" s="39">
        <f>Secanim!F1</f>
        <v>48.6</v>
      </c>
      <c r="G1" s="120" t="s">
        <v>43</v>
      </c>
      <c r="H1" s="121"/>
      <c r="I1" s="118"/>
      <c r="J1" s="119" t="s">
        <v>153</v>
      </c>
      <c r="K1" s="11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19" t="s">
        <v>87</v>
      </c>
      <c r="B2" s="119"/>
      <c r="C2" s="142" t="str">
        <f>Secanim!C2:D2</f>
        <v>KP3594VE</v>
      </c>
      <c r="D2" s="143"/>
      <c r="E2" s="93" t="s">
        <v>109</v>
      </c>
      <c r="F2" s="96"/>
      <c r="G2" s="138" t="s">
        <v>110</v>
      </c>
      <c r="H2" s="139"/>
      <c r="I2" s="118"/>
      <c r="J2" s="119" t="s">
        <v>158</v>
      </c>
      <c r="K2" s="119"/>
      <c r="L2" s="97"/>
      <c r="AB2" s="30" t="s">
        <v>56</v>
      </c>
      <c r="AC2" s="17"/>
      <c r="AD2" s="30" t="s">
        <v>70</v>
      </c>
      <c r="AE2" s="17"/>
      <c r="AF2" s="17"/>
      <c r="AG2" s="44" t="s">
        <v>76</v>
      </c>
      <c r="AH2" s="18"/>
      <c r="AI2" s="45" t="s">
        <v>126</v>
      </c>
      <c r="AJ2" s="46">
        <v>0</v>
      </c>
      <c r="AK2" s="47">
        <v>0</v>
      </c>
      <c r="AL2" s="10">
        <v>0</v>
      </c>
      <c r="AM2" s="11">
        <v>0</v>
      </c>
      <c r="AN2" s="11">
        <v>0</v>
      </c>
    </row>
    <row r="3" spans="1:41" x14ac:dyDescent="0.2">
      <c r="A3" s="120" t="s">
        <v>42</v>
      </c>
      <c r="B3" s="121"/>
      <c r="C3" s="142" t="str">
        <f>Secanim!C3:D3</f>
        <v>Trade Effluent Services Limited</v>
      </c>
      <c r="D3" s="143"/>
      <c r="E3" s="93" t="s">
        <v>108</v>
      </c>
      <c r="F3" s="31"/>
      <c r="G3" s="119" t="s">
        <v>159</v>
      </c>
      <c r="H3" s="119"/>
      <c r="I3" s="118"/>
      <c r="J3" s="120" t="s">
        <v>154</v>
      </c>
      <c r="K3" s="121"/>
      <c r="L3" s="97" t="e">
        <f>(L1/(L2*10000))*100</f>
        <v>#DIV/0!</v>
      </c>
      <c r="AB3" s="30" t="s">
        <v>57</v>
      </c>
      <c r="AC3" s="17"/>
      <c r="AD3" s="30" t="s">
        <v>71</v>
      </c>
      <c r="AE3" s="17"/>
      <c r="AF3" s="17"/>
      <c r="AG3" s="44" t="s">
        <v>77</v>
      </c>
      <c r="AH3" s="18"/>
      <c r="AI3" s="48" t="s">
        <v>113</v>
      </c>
      <c r="AJ3" s="49">
        <v>1.7</v>
      </c>
      <c r="AK3" s="50">
        <v>6</v>
      </c>
      <c r="AL3" s="51">
        <v>1</v>
      </c>
      <c r="AM3" s="11">
        <v>6.2</v>
      </c>
      <c r="AN3" s="11" t="s">
        <v>112</v>
      </c>
    </row>
    <row r="4" spans="1:41" x14ac:dyDescent="0.2">
      <c r="A4" s="119" t="s">
        <v>0</v>
      </c>
      <c r="B4" s="119"/>
      <c r="C4" s="140" t="str">
        <f>Secanim!C4:D4</f>
        <v>Gwaenynog Bach Farm, Pentrefoelas Road, Bryn Ynys, Denbigh, Y Groes, Denbighshire, LL16 5RP</v>
      </c>
      <c r="D4" s="141"/>
      <c r="E4" s="94" t="s">
        <v>1</v>
      </c>
      <c r="F4" s="96" t="s">
        <v>172</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x14ac:dyDescent="0.2">
      <c r="A5" s="119" t="s">
        <v>47</v>
      </c>
      <c r="B5" s="119"/>
      <c r="C5" s="140" t="str">
        <f>Secanim!C5:D5</f>
        <v>Louise Bailey</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19" t="s">
        <v>2</v>
      </c>
      <c r="B8" s="119"/>
      <c r="C8" s="60">
        <f>Secanim!C8</f>
        <v>5905</v>
      </c>
      <c r="D8" s="60">
        <f>Secanim!D8</f>
        <v>4279</v>
      </c>
      <c r="E8" s="60">
        <f>Secanim!E8</f>
        <v>7605</v>
      </c>
      <c r="F8" s="60">
        <f>Secanim!F8</f>
        <v>3851</v>
      </c>
      <c r="G8" s="60">
        <f>Secanim!G8</f>
        <v>6418</v>
      </c>
      <c r="H8" s="60">
        <f>Secanim!H8</f>
        <v>1843</v>
      </c>
      <c r="I8" s="60">
        <f>Secanim!I8</f>
        <v>5974</v>
      </c>
      <c r="J8" s="60">
        <f>Secanim!J8</f>
        <v>5490</v>
      </c>
      <c r="K8" s="60">
        <f>Secanim!K8</f>
        <v>2565</v>
      </c>
      <c r="L8" s="60">
        <f>Secanim!L8</f>
        <v>7887</v>
      </c>
      <c r="M8" s="60">
        <f>Secanim!M8</f>
        <v>2946</v>
      </c>
      <c r="N8" s="60">
        <f>Secanim!N8</f>
        <v>2881</v>
      </c>
      <c r="O8" s="60">
        <f>Secanim!O8</f>
        <v>3398</v>
      </c>
      <c r="P8" s="60">
        <f>Secanim!P8</f>
        <v>5694</v>
      </c>
      <c r="Q8" s="60">
        <f>Secanim!Q8</f>
        <v>2991</v>
      </c>
      <c r="R8" s="60">
        <f>Secanim!R8</f>
        <v>3799</v>
      </c>
      <c r="S8" s="60">
        <f>Secanim!S8</f>
        <v>5813</v>
      </c>
      <c r="T8" s="60">
        <f>Secanim!T8</f>
        <v>1390</v>
      </c>
      <c r="U8" s="60">
        <f>Secanim!U8</f>
        <v>9596</v>
      </c>
      <c r="V8" s="60">
        <f>Secanim!V8</f>
        <v>716</v>
      </c>
      <c r="AB8" s="61"/>
      <c r="AC8" s="61"/>
      <c r="AD8" s="18"/>
      <c r="AE8" s="17" t="s">
        <v>139</v>
      </c>
      <c r="AF8" s="17"/>
      <c r="AG8" s="18"/>
      <c r="AH8" s="18"/>
      <c r="AI8" s="53" t="s">
        <v>105</v>
      </c>
      <c r="AJ8" s="62">
        <v>1.4</v>
      </c>
      <c r="AK8" s="55">
        <v>4.4000000000000004</v>
      </c>
      <c r="AL8" s="11">
        <v>6</v>
      </c>
      <c r="AM8" s="11">
        <v>6.7</v>
      </c>
      <c r="AN8" s="11" t="s">
        <v>135</v>
      </c>
      <c r="AO8" s="79"/>
    </row>
    <row r="9" spans="1:41" x14ac:dyDescent="0.2">
      <c r="A9" s="119" t="s">
        <v>3</v>
      </c>
      <c r="B9" s="119"/>
      <c r="C9" s="60" t="str">
        <f>Secanim!C9</f>
        <v>Moderate</v>
      </c>
      <c r="D9" s="60" t="str">
        <f>Secanim!D9</f>
        <v>Moderate</v>
      </c>
      <c r="E9" s="60" t="str">
        <f>Secanim!E9</f>
        <v>Moderate</v>
      </c>
      <c r="F9" s="60" t="str">
        <f>Secanim!F9</f>
        <v>Moderate</v>
      </c>
      <c r="G9" s="60" t="str">
        <f>Secanim!G9</f>
        <v>Moderate</v>
      </c>
      <c r="H9" s="60" t="str">
        <f>Secanim!H9</f>
        <v>Moderate</v>
      </c>
      <c r="I9" s="60" t="str">
        <f>Secanim!I9</f>
        <v>Moderate</v>
      </c>
      <c r="J9" s="60" t="str">
        <f>Secanim!J9</f>
        <v>Moderate</v>
      </c>
      <c r="K9" s="60" t="str">
        <f>Secanim!K9</f>
        <v>Moderate</v>
      </c>
      <c r="L9" s="60" t="str">
        <f>Secanim!L9</f>
        <v>Moderate</v>
      </c>
      <c r="M9" s="60" t="str">
        <f>Secanim!M9</f>
        <v>Moderate</v>
      </c>
      <c r="N9" s="60" t="str">
        <f>Secanim!N9</f>
        <v>Moderate</v>
      </c>
      <c r="O9" s="60" t="str">
        <f>Secanim!O9</f>
        <v>Moderate</v>
      </c>
      <c r="P9" s="60" t="str">
        <f>Secanim!P9</f>
        <v>Moderate</v>
      </c>
      <c r="Q9" s="60" t="str">
        <f>Secanim!Q9</f>
        <v>Moderate</v>
      </c>
      <c r="R9" s="60" t="str">
        <f>Secanim!R9</f>
        <v>Moderate</v>
      </c>
      <c r="S9" s="60" t="str">
        <f>Secanim!S9</f>
        <v>Moderate</v>
      </c>
      <c r="T9" s="60" t="str">
        <f>Secanim!T9</f>
        <v>Moderate</v>
      </c>
      <c r="U9" s="60" t="str">
        <f>Secanim!U9</f>
        <v>Moderate</v>
      </c>
      <c r="V9" s="60" t="str">
        <f>Secanim!V9</f>
        <v>Moderate</v>
      </c>
      <c r="AB9" s="17"/>
      <c r="AC9" s="17"/>
      <c r="AD9" s="30" t="s">
        <v>137</v>
      </c>
      <c r="AE9" s="30">
        <v>4.5</v>
      </c>
      <c r="AF9" s="17"/>
      <c r="AG9" s="18"/>
      <c r="AH9" s="18"/>
      <c r="AI9" s="63" t="s">
        <v>103</v>
      </c>
      <c r="AJ9" s="64">
        <v>0.7</v>
      </c>
      <c r="AK9" s="65">
        <v>4</v>
      </c>
      <c r="AL9" s="29">
        <v>7</v>
      </c>
      <c r="AM9" s="11">
        <v>6.7</v>
      </c>
      <c r="AN9" s="11" t="s">
        <v>135</v>
      </c>
      <c r="AO9" s="99"/>
    </row>
    <row r="10" spans="1:41" x14ac:dyDescent="0.2">
      <c r="A10" s="119" t="s">
        <v>4</v>
      </c>
      <c r="B10" s="119"/>
      <c r="C10" s="60">
        <f>Secanim!C10</f>
        <v>6.2</v>
      </c>
      <c r="D10" s="60">
        <f>Secanim!D10</f>
        <v>5.6</v>
      </c>
      <c r="E10" s="60">
        <f>Secanim!E10</f>
        <v>6.3</v>
      </c>
      <c r="F10" s="60">
        <f>Secanim!F10</f>
        <v>6</v>
      </c>
      <c r="G10" s="60">
        <f>Secanim!G10</f>
        <v>5.8</v>
      </c>
      <c r="H10" s="60">
        <f>Secanim!H10</f>
        <v>5.3</v>
      </c>
      <c r="I10" s="60">
        <f>Secanim!I10</f>
        <v>6</v>
      </c>
      <c r="J10" s="60">
        <f>Secanim!J10</f>
        <v>6.1</v>
      </c>
      <c r="K10" s="60">
        <f>Secanim!K10</f>
        <v>5.5</v>
      </c>
      <c r="L10" s="60">
        <f>Secanim!L10</f>
        <v>6.1</v>
      </c>
      <c r="M10" s="60">
        <f>Secanim!M10</f>
        <v>5.5</v>
      </c>
      <c r="N10" s="60">
        <f>Secanim!N10</f>
        <v>5.6</v>
      </c>
      <c r="O10" s="60">
        <f>Secanim!O10</f>
        <v>5.9</v>
      </c>
      <c r="P10" s="60">
        <f>Secanim!P10</f>
        <v>6.5</v>
      </c>
      <c r="Q10" s="60">
        <f>Secanim!Q10</f>
        <v>5.7</v>
      </c>
      <c r="R10" s="60">
        <f>Secanim!R10</f>
        <v>6.4</v>
      </c>
      <c r="S10" s="60">
        <f>Secanim!S10</f>
        <v>6.7</v>
      </c>
      <c r="T10" s="60">
        <f>Secanim!T10</f>
        <v>5.4</v>
      </c>
      <c r="U10" s="60">
        <f>Secanim!U10</f>
        <v>5.5</v>
      </c>
      <c r="V10" s="60">
        <f>Secanim!V10</f>
        <v>6.4</v>
      </c>
      <c r="AB10" s="17"/>
      <c r="AC10" s="17"/>
      <c r="AD10" s="30" t="s">
        <v>140</v>
      </c>
      <c r="AE10" s="30">
        <v>5</v>
      </c>
      <c r="AF10" s="17"/>
      <c r="AG10" s="18"/>
      <c r="AH10" s="18"/>
      <c r="AI10" s="53" t="s">
        <v>97</v>
      </c>
      <c r="AJ10" s="54">
        <v>9</v>
      </c>
      <c r="AK10" s="55">
        <v>16.5</v>
      </c>
      <c r="AL10" s="11">
        <v>8</v>
      </c>
      <c r="AM10" s="11">
        <v>6.7</v>
      </c>
      <c r="AN10" s="11" t="s">
        <v>135</v>
      </c>
    </row>
    <row r="11" spans="1:41" x14ac:dyDescent="0.2">
      <c r="A11" s="119" t="s">
        <v>5</v>
      </c>
      <c r="B11" s="119"/>
      <c r="C11" s="60">
        <f>Secanim!C11</f>
        <v>2</v>
      </c>
      <c r="D11" s="60">
        <f>Secanim!D11</f>
        <v>3</v>
      </c>
      <c r="E11" s="60">
        <f>Secanim!E11</f>
        <v>2</v>
      </c>
      <c r="F11" s="60">
        <f>Secanim!F11</f>
        <v>3</v>
      </c>
      <c r="G11" s="60">
        <f>Secanim!G11</f>
        <v>2</v>
      </c>
      <c r="H11" s="60">
        <f>Secanim!H11</f>
        <v>3</v>
      </c>
      <c r="I11" s="60">
        <f>Secanim!I11</f>
        <v>3</v>
      </c>
      <c r="J11" s="60">
        <f>Secanim!J11</f>
        <v>2</v>
      </c>
      <c r="K11" s="60">
        <f>Secanim!K11</f>
        <v>3</v>
      </c>
      <c r="L11" s="60">
        <f>Secanim!L11</f>
        <v>1</v>
      </c>
      <c r="M11" s="60">
        <f>Secanim!M11</f>
        <v>3</v>
      </c>
      <c r="N11" s="60">
        <f>Secanim!N11</f>
        <v>2</v>
      </c>
      <c r="O11" s="60">
        <f>Secanim!O11</f>
        <v>2</v>
      </c>
      <c r="P11" s="60">
        <f>Secanim!P11</f>
        <v>2</v>
      </c>
      <c r="Q11" s="60">
        <f>Secanim!Q11</f>
        <v>2</v>
      </c>
      <c r="R11" s="60">
        <f>Secanim!R11</f>
        <v>2</v>
      </c>
      <c r="S11" s="60">
        <f>Secanim!S11</f>
        <v>2</v>
      </c>
      <c r="T11" s="60">
        <f>Secanim!T11</f>
        <v>3</v>
      </c>
      <c r="U11" s="60">
        <f>Secanim!U11</f>
        <v>2</v>
      </c>
      <c r="V11" s="60">
        <f>Secanim!V11</f>
        <v>2</v>
      </c>
      <c r="AB11" s="17"/>
      <c r="AC11" s="17"/>
      <c r="AD11" s="52" t="s">
        <v>141</v>
      </c>
      <c r="AE11" s="30">
        <v>6</v>
      </c>
      <c r="AF11" s="17"/>
      <c r="AG11" s="18"/>
      <c r="AH11" s="18"/>
      <c r="AI11" s="53" t="s">
        <v>122</v>
      </c>
      <c r="AJ11" s="54">
        <v>15</v>
      </c>
      <c r="AK11" s="55">
        <v>17.5</v>
      </c>
      <c r="AL11" s="11">
        <v>9</v>
      </c>
      <c r="AM11" s="11">
        <v>7</v>
      </c>
      <c r="AN11" s="11" t="s">
        <v>135</v>
      </c>
    </row>
    <row r="12" spans="1:41" x14ac:dyDescent="0.2">
      <c r="A12" s="119" t="s">
        <v>6</v>
      </c>
      <c r="B12" s="119"/>
      <c r="C12" s="60" t="str">
        <f>Secanim!C12</f>
        <v>2-</v>
      </c>
      <c r="D12" s="60">
        <f>Secanim!D12</f>
        <v>3</v>
      </c>
      <c r="E12" s="60" t="str">
        <f>Secanim!E12</f>
        <v>2-</v>
      </c>
      <c r="F12" s="60" t="str">
        <f>Secanim!F12</f>
        <v>2+</v>
      </c>
      <c r="G12" s="60">
        <f>Secanim!G12</f>
        <v>3</v>
      </c>
      <c r="H12" s="60" t="str">
        <f>Secanim!H12</f>
        <v>2+</v>
      </c>
      <c r="I12" s="60">
        <f>Secanim!I12</f>
        <v>4</v>
      </c>
      <c r="J12" s="60" t="str">
        <f>Secanim!J12</f>
        <v>2+</v>
      </c>
      <c r="K12" s="60">
        <f>Secanim!K12</f>
        <v>4</v>
      </c>
      <c r="L12" s="60" t="str">
        <f>Secanim!L12</f>
        <v>2-</v>
      </c>
      <c r="M12" s="60" t="str">
        <f>Secanim!M12</f>
        <v>2-</v>
      </c>
      <c r="N12" s="60">
        <f>Secanim!N12</f>
        <v>3</v>
      </c>
      <c r="O12" s="60">
        <f>Secanim!O12</f>
        <v>3</v>
      </c>
      <c r="P12" s="60" t="str">
        <f>Secanim!P12</f>
        <v>2-</v>
      </c>
      <c r="Q12" s="60">
        <f>Secanim!Q12</f>
        <v>1</v>
      </c>
      <c r="R12" s="60">
        <f>Secanim!R12</f>
        <v>1</v>
      </c>
      <c r="S12" s="60">
        <f>Secanim!S12</f>
        <v>1</v>
      </c>
      <c r="T12" s="60" t="str">
        <f>Secanim!T12</f>
        <v>2+</v>
      </c>
      <c r="U12" s="60">
        <f>Secanim!U12</f>
        <v>1</v>
      </c>
      <c r="V12" s="60" t="str">
        <f>Secanim!V12</f>
        <v>2-</v>
      </c>
      <c r="AB12" s="17"/>
      <c r="AC12" s="17"/>
      <c r="AD12" s="52" t="s">
        <v>142</v>
      </c>
      <c r="AE12" s="30">
        <v>7.5</v>
      </c>
      <c r="AF12" s="17"/>
      <c r="AG12" s="18"/>
      <c r="AH12" s="18"/>
      <c r="AI12" s="53" t="s">
        <v>121</v>
      </c>
      <c r="AJ12" s="54">
        <v>14</v>
      </c>
      <c r="AK12" s="55">
        <v>11</v>
      </c>
      <c r="AL12" s="11">
        <v>10</v>
      </c>
      <c r="AM12" s="11">
        <v>7</v>
      </c>
      <c r="AN12" s="11" t="s">
        <v>135</v>
      </c>
    </row>
    <row r="13" spans="1:41" x14ac:dyDescent="0.2">
      <c r="A13" s="119" t="s">
        <v>7</v>
      </c>
      <c r="B13" s="119"/>
      <c r="C13" s="60">
        <f>Secanim!C13</f>
        <v>3</v>
      </c>
      <c r="D13" s="60">
        <f>Secanim!D13</f>
        <v>3</v>
      </c>
      <c r="E13" s="60">
        <f>Secanim!E13</f>
        <v>3</v>
      </c>
      <c r="F13" s="60">
        <f>Secanim!F13</f>
        <v>3</v>
      </c>
      <c r="G13" s="60">
        <f>Secanim!G13</f>
        <v>3</v>
      </c>
      <c r="H13" s="60">
        <f>Secanim!H13</f>
        <v>2</v>
      </c>
      <c r="I13" s="60">
        <f>Secanim!I13</f>
        <v>4</v>
      </c>
      <c r="J13" s="60">
        <f>Secanim!J13</f>
        <v>3</v>
      </c>
      <c r="K13" s="60">
        <f>Secanim!K13</f>
        <v>3</v>
      </c>
      <c r="L13" s="60">
        <f>Secanim!L13</f>
        <v>3</v>
      </c>
      <c r="M13" s="60">
        <f>Secanim!M13</f>
        <v>2</v>
      </c>
      <c r="N13" s="60">
        <f>Secanim!N13</f>
        <v>2</v>
      </c>
      <c r="O13" s="60">
        <f>Secanim!O13</f>
        <v>3</v>
      </c>
      <c r="P13" s="60">
        <f>Secanim!P13</f>
        <v>2</v>
      </c>
      <c r="Q13" s="60">
        <f>Secanim!Q13</f>
        <v>3</v>
      </c>
      <c r="R13" s="60">
        <f>Secanim!R13</f>
        <v>2</v>
      </c>
      <c r="S13" s="60">
        <f>Secanim!S13</f>
        <v>1</v>
      </c>
      <c r="T13" s="60">
        <f>Secanim!T13</f>
        <v>3</v>
      </c>
      <c r="U13" s="60">
        <f>Secanim!U13</f>
        <v>1</v>
      </c>
      <c r="V13" s="60">
        <f>Secanim!V13</f>
        <v>2</v>
      </c>
      <c r="AB13" s="17"/>
      <c r="AC13" s="17"/>
      <c r="AD13" s="52" t="s">
        <v>143</v>
      </c>
      <c r="AE13" s="30">
        <v>12</v>
      </c>
      <c r="AF13" s="17"/>
      <c r="AG13" s="18"/>
      <c r="AH13" s="18"/>
      <c r="AI13" s="53" t="s">
        <v>120</v>
      </c>
      <c r="AJ13" s="54">
        <v>1.9</v>
      </c>
      <c r="AK13" s="55">
        <v>7.5</v>
      </c>
      <c r="AL13" s="11">
        <v>11</v>
      </c>
      <c r="AM13" s="11">
        <v>6.7</v>
      </c>
      <c r="AN13" s="11" t="s">
        <v>135</v>
      </c>
    </row>
    <row r="14" spans="1:41" x14ac:dyDescent="0.2">
      <c r="A14" s="131" t="s">
        <v>8</v>
      </c>
      <c r="B14" s="131"/>
      <c r="C14" s="102" t="str">
        <f>Secanim!C14</f>
        <v xml:space="preserve">Grass Silage (25% DM) </v>
      </c>
      <c r="D14" s="102" t="str">
        <f>Secanim!D14</f>
        <v xml:space="preserve">Grass Silage (25% DM) </v>
      </c>
      <c r="E14" s="102" t="str">
        <f>Secanim!E14</f>
        <v xml:space="preserve">Grass Silage (25% DM) </v>
      </c>
      <c r="F14" s="102" t="str">
        <f>Secanim!F14</f>
        <v xml:space="preserve">Grass Silage (25% DM) </v>
      </c>
      <c r="G14" s="102" t="str">
        <f>Secanim!G14</f>
        <v xml:space="preserve">Grass Silage (25% DM) </v>
      </c>
      <c r="H14" s="102" t="str">
        <f>Secanim!H14</f>
        <v xml:space="preserve">Grass Silage (25% DM) </v>
      </c>
      <c r="I14" s="102" t="str">
        <f>Secanim!I14</f>
        <v xml:space="preserve">Grass Silage (25% DM) </v>
      </c>
      <c r="J14" s="102" t="str">
        <f>Secanim!J14</f>
        <v xml:space="preserve">Grass Silage (25% DM) </v>
      </c>
      <c r="K14" s="102" t="str">
        <f>Secanim!K14</f>
        <v xml:space="preserve">Grass Silage (25% DM) </v>
      </c>
      <c r="L14" s="102" t="str">
        <f>Secanim!L14</f>
        <v xml:space="preserve">Grass Silage (25% DM) </v>
      </c>
      <c r="M14" s="102" t="str">
        <f>Secanim!M14</f>
        <v xml:space="preserve">Grass Silage (25% DM) </v>
      </c>
      <c r="N14" s="102" t="str">
        <f>Secanim!N14</f>
        <v xml:space="preserve">Grass Silage (25% DM) </v>
      </c>
      <c r="O14" s="102" t="str">
        <f>Secanim!O14</f>
        <v xml:space="preserve">Grass Silage (25% DM) </v>
      </c>
      <c r="P14" s="102" t="str">
        <f>Secanim!P14</f>
        <v xml:space="preserve">Grass Silage (25% DM) </v>
      </c>
      <c r="Q14" s="102" t="str">
        <f>Secanim!Q14</f>
        <v xml:space="preserve">Grass Silage (25% DM) </v>
      </c>
      <c r="R14" s="102" t="str">
        <f>Secanim!R14</f>
        <v xml:space="preserve">Grass Silage (25% DM) </v>
      </c>
      <c r="S14" s="102" t="str">
        <f>Secanim!S14</f>
        <v xml:space="preserve">Grass Silage (25% DM) </v>
      </c>
      <c r="T14" s="102" t="str">
        <f>Secanim!T14</f>
        <v xml:space="preserve">Grass Silage (25% DM) </v>
      </c>
      <c r="U14" s="102" t="str">
        <f>Secanim!U14</f>
        <v xml:space="preserve">Grass Silage (25% DM) </v>
      </c>
      <c r="V14" s="102" t="str">
        <f>Secanim!V14</f>
        <v xml:space="preserve">Grass Silage (25% DM) </v>
      </c>
      <c r="AD14" s="30" t="s">
        <v>138</v>
      </c>
      <c r="AE14" s="30">
        <v>6</v>
      </c>
      <c r="AI14" s="53" t="s">
        <v>119</v>
      </c>
      <c r="AJ14" s="54">
        <v>0.8</v>
      </c>
      <c r="AK14" s="55">
        <v>1.7</v>
      </c>
      <c r="AL14" s="11">
        <v>12</v>
      </c>
      <c r="AM14" s="11">
        <v>6.7</v>
      </c>
      <c r="AN14" s="11" t="s">
        <v>135</v>
      </c>
    </row>
    <row r="15" spans="1:41" x14ac:dyDescent="0.2">
      <c r="A15" s="130" t="s">
        <v>9</v>
      </c>
      <c r="B15" s="130"/>
      <c r="C15" s="60">
        <f>Secanim!C15</f>
        <v>38</v>
      </c>
      <c r="D15" s="60">
        <f>Secanim!D15</f>
        <v>38</v>
      </c>
      <c r="E15" s="60">
        <f>Secanim!E15</f>
        <v>38</v>
      </c>
      <c r="F15" s="60">
        <f>Secanim!F15</f>
        <v>38</v>
      </c>
      <c r="G15" s="60">
        <f>Secanim!G15</f>
        <v>38</v>
      </c>
      <c r="H15" s="60">
        <f>Secanim!H15</f>
        <v>38</v>
      </c>
      <c r="I15" s="60">
        <f>Secanim!I15</f>
        <v>38</v>
      </c>
      <c r="J15" s="60">
        <f>Secanim!J15</f>
        <v>38</v>
      </c>
      <c r="K15" s="60">
        <f>Secanim!K15</f>
        <v>38</v>
      </c>
      <c r="L15" s="60">
        <f>Secanim!L15</f>
        <v>38</v>
      </c>
      <c r="M15" s="60">
        <f>Secanim!M15</f>
        <v>38</v>
      </c>
      <c r="N15" s="60">
        <f>Secanim!N15</f>
        <v>38</v>
      </c>
      <c r="O15" s="60">
        <f>Secanim!O15</f>
        <v>38</v>
      </c>
      <c r="P15" s="60">
        <f>Secanim!P15</f>
        <v>38</v>
      </c>
      <c r="Q15" s="60">
        <f>Secanim!Q15</f>
        <v>38</v>
      </c>
      <c r="R15" s="60">
        <f>Secanim!R15</f>
        <v>38</v>
      </c>
      <c r="S15" s="60">
        <f>Secanim!S15</f>
        <v>38</v>
      </c>
      <c r="T15" s="60">
        <f>Secanim!T15</f>
        <v>38</v>
      </c>
      <c r="U15" s="60">
        <f>Secanim!U15</f>
        <v>38</v>
      </c>
      <c r="V15" s="60">
        <f>Secanim!V15</f>
        <v>38</v>
      </c>
      <c r="AD15" s="30" t="s">
        <v>144</v>
      </c>
      <c r="AE15" s="30">
        <v>7</v>
      </c>
      <c r="AI15" s="53" t="s">
        <v>101</v>
      </c>
      <c r="AJ15" s="62">
        <v>1.8</v>
      </c>
      <c r="AK15" s="55">
        <v>5.4</v>
      </c>
      <c r="AL15" s="11">
        <v>13</v>
      </c>
      <c r="AM15" s="11">
        <v>6.7</v>
      </c>
      <c r="AN15" s="11" t="s">
        <v>135</v>
      </c>
    </row>
    <row r="16" spans="1:41" ht="13.5" thickBot="1" x14ac:dyDescent="0.25">
      <c r="A16" s="132" t="s">
        <v>44</v>
      </c>
      <c r="B16" s="132"/>
      <c r="C16" s="103" t="str">
        <f>Secanim!C16</f>
        <v>Medium/Clay</v>
      </c>
      <c r="D16" s="103" t="str">
        <f>Secanim!D16</f>
        <v>Medium/Clay</v>
      </c>
      <c r="E16" s="103" t="str">
        <f>Secanim!E16</f>
        <v>Medium/Clay</v>
      </c>
      <c r="F16" s="103" t="str">
        <f>Secanim!F16</f>
        <v>Medium/Clay</v>
      </c>
      <c r="G16" s="103" t="str">
        <f>Secanim!G16</f>
        <v>Medium/Clay</v>
      </c>
      <c r="H16" s="103" t="str">
        <f>Secanim!H16</f>
        <v>Medium/Clay</v>
      </c>
      <c r="I16" s="103" t="str">
        <f>Secanim!I16</f>
        <v>Medium/Clay</v>
      </c>
      <c r="J16" s="103" t="str">
        <f>Secanim!J16</f>
        <v>Medium/Clay</v>
      </c>
      <c r="K16" s="103" t="str">
        <f>Secanim!K16</f>
        <v>Medium/Clay</v>
      </c>
      <c r="L16" s="103" t="str">
        <f>Secanim!L16</f>
        <v>Medium/Clay</v>
      </c>
      <c r="M16" s="103" t="str">
        <f>Secanim!M16</f>
        <v>Medium/Clay</v>
      </c>
      <c r="N16" s="103" t="str">
        <f>Secanim!N16</f>
        <v>Medium/Clay</v>
      </c>
      <c r="O16" s="103" t="str">
        <f>Secanim!O16</f>
        <v>Medium/Clay</v>
      </c>
      <c r="P16" s="103" t="str">
        <f>Secanim!P16</f>
        <v>Medium/Clay</v>
      </c>
      <c r="Q16" s="103" t="str">
        <f>Secanim!Q16</f>
        <v>Medium/Clay</v>
      </c>
      <c r="R16" s="103" t="str">
        <f>Secanim!R16</f>
        <v>Medium/Clay</v>
      </c>
      <c r="S16" s="103" t="str">
        <f>Secanim!S16</f>
        <v>Medium/Clay</v>
      </c>
      <c r="T16" s="103" t="str">
        <f>Secanim!T16</f>
        <v>Medium/Clay</v>
      </c>
      <c r="U16" s="103" t="str">
        <f>Secanim!U16</f>
        <v>Medium/Clay</v>
      </c>
      <c r="V16" s="103" t="str">
        <f>Secanim!V16</f>
        <v>Medium/Clay</v>
      </c>
      <c r="AD16" s="52" t="s">
        <v>145</v>
      </c>
      <c r="AE16" s="30">
        <v>8</v>
      </c>
      <c r="AI16" s="53" t="s">
        <v>118</v>
      </c>
      <c r="AJ16" s="54">
        <v>8</v>
      </c>
      <c r="AK16" s="55">
        <v>5.5</v>
      </c>
      <c r="AL16" s="12">
        <v>14</v>
      </c>
      <c r="AM16" s="11">
        <v>6.7</v>
      </c>
      <c r="AN16" s="11" t="s">
        <v>135</v>
      </c>
    </row>
    <row r="17" spans="1:40" x14ac:dyDescent="0.2">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64.599999999999994</v>
      </c>
      <c r="R17" s="28">
        <f t="shared" si="0"/>
        <v>64.599999999999994</v>
      </c>
      <c r="S17" s="28">
        <f t="shared" si="0"/>
        <v>64.599999999999994</v>
      </c>
      <c r="T17" s="28">
        <f t="shared" si="0"/>
        <v>64.599999999999994</v>
      </c>
      <c r="U17" s="28">
        <f t="shared" si="0"/>
        <v>64.599999999999994</v>
      </c>
      <c r="V17" s="28">
        <f t="shared" si="0"/>
        <v>64.599999999999994</v>
      </c>
      <c r="AD17" s="52" t="s">
        <v>146</v>
      </c>
      <c r="AE17" s="30">
        <v>10</v>
      </c>
      <c r="AI17" s="48" t="s">
        <v>115</v>
      </c>
      <c r="AJ17" s="49">
        <v>1.4</v>
      </c>
      <c r="AK17" s="50">
        <v>4.8</v>
      </c>
      <c r="AL17" s="51">
        <v>15</v>
      </c>
      <c r="AM17" s="11">
        <v>6.2</v>
      </c>
      <c r="AN17" s="11" t="s">
        <v>112</v>
      </c>
    </row>
    <row r="18" spans="1:40" x14ac:dyDescent="0.2">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24" t="s">
        <v>90</v>
      </c>
      <c r="B19" s="125"/>
      <c r="C19" s="16">
        <f>C18-C17</f>
        <v>-64.599999999999994</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-64.599999999999994</v>
      </c>
      <c r="K19" s="16">
        <f t="shared" si="1"/>
        <v>-64.599999999999994</v>
      </c>
      <c r="L19" s="16">
        <f t="shared" si="1"/>
        <v>-64.599999999999994</v>
      </c>
      <c r="M19" s="16">
        <f t="shared" si="1"/>
        <v>-64.599999999999994</v>
      </c>
      <c r="N19" s="16">
        <f t="shared" si="1"/>
        <v>-64.599999999999994</v>
      </c>
      <c r="O19" s="16">
        <f t="shared" si="1"/>
        <v>-64.599999999999994</v>
      </c>
      <c r="P19" s="16">
        <f t="shared" si="1"/>
        <v>-64.599999999999994</v>
      </c>
      <c r="Q19" s="16">
        <f t="shared" si="1"/>
        <v>-64.599999999999994</v>
      </c>
      <c r="R19" s="16">
        <f t="shared" si="1"/>
        <v>-64.599999999999994</v>
      </c>
      <c r="S19" s="16">
        <f t="shared" si="1"/>
        <v>-64.599999999999994</v>
      </c>
      <c r="T19" s="16">
        <f t="shared" si="1"/>
        <v>-64.599999999999994</v>
      </c>
      <c r="U19" s="16">
        <f t="shared" si="1"/>
        <v>-64.599999999999994</v>
      </c>
      <c r="V19" s="25">
        <f t="shared" si="1"/>
        <v>-64.599999999999994</v>
      </c>
      <c r="AI19" s="48" t="s">
        <v>107</v>
      </c>
      <c r="AJ19" s="49">
        <v>3.2</v>
      </c>
      <c r="AK19" s="50">
        <v>10.5</v>
      </c>
      <c r="AL19" s="51">
        <v>17</v>
      </c>
      <c r="AM19" s="11">
        <v>6.2</v>
      </c>
      <c r="AN19" s="11" t="s">
        <v>112</v>
      </c>
    </row>
    <row r="20" spans="1:40" ht="13.5" thickBot="1" x14ac:dyDescent="0.25">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22" t="s">
        <v>88</v>
      </c>
      <c r="B21" s="123"/>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228</v>
      </c>
      <c r="Q21" s="28">
        <f t="shared" si="2"/>
        <v>228</v>
      </c>
      <c r="R21" s="28">
        <f t="shared" si="2"/>
        <v>228</v>
      </c>
      <c r="S21" s="28">
        <f t="shared" si="2"/>
        <v>228</v>
      </c>
      <c r="T21" s="28">
        <f t="shared" si="2"/>
        <v>228</v>
      </c>
      <c r="U21" s="28">
        <f t="shared" si="2"/>
        <v>228</v>
      </c>
      <c r="V21" s="28">
        <f t="shared" si="2"/>
        <v>228</v>
      </c>
      <c r="AI21" s="63" t="s">
        <v>100</v>
      </c>
      <c r="AJ21" s="66">
        <v>11</v>
      </c>
      <c r="AK21" s="65">
        <v>12</v>
      </c>
      <c r="AL21" s="29">
        <v>19</v>
      </c>
      <c r="AM21" s="11">
        <v>6.7</v>
      </c>
      <c r="AN21" s="11" t="s">
        <v>135</v>
      </c>
    </row>
    <row r="22" spans="1:40" x14ac:dyDescent="0.2">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24" t="s">
        <v>92</v>
      </c>
      <c r="B23" s="125"/>
      <c r="C23" s="16">
        <f>C22-C21</f>
        <v>-228</v>
      </c>
      <c r="D23" s="16">
        <f t="shared" ref="D23:V23" si="3">D22-D21</f>
        <v>-228</v>
      </c>
      <c r="E23" s="16">
        <f t="shared" si="3"/>
        <v>-228</v>
      </c>
      <c r="F23" s="16">
        <f t="shared" si="3"/>
        <v>-228</v>
      </c>
      <c r="G23" s="16">
        <f t="shared" si="3"/>
        <v>-228</v>
      </c>
      <c r="H23" s="16">
        <f t="shared" si="3"/>
        <v>-228</v>
      </c>
      <c r="I23" s="16">
        <f t="shared" si="3"/>
        <v>-228</v>
      </c>
      <c r="J23" s="16">
        <f t="shared" si="3"/>
        <v>-228</v>
      </c>
      <c r="K23" s="16">
        <f t="shared" si="3"/>
        <v>-228</v>
      </c>
      <c r="L23" s="16">
        <f t="shared" si="3"/>
        <v>-228</v>
      </c>
      <c r="M23" s="16">
        <f t="shared" si="3"/>
        <v>-228</v>
      </c>
      <c r="N23" s="16">
        <f t="shared" si="3"/>
        <v>-228</v>
      </c>
      <c r="O23" s="16">
        <f t="shared" si="3"/>
        <v>-228</v>
      </c>
      <c r="P23" s="16">
        <f t="shared" si="3"/>
        <v>-228</v>
      </c>
      <c r="Q23" s="16">
        <f t="shared" si="3"/>
        <v>-228</v>
      </c>
      <c r="R23" s="16">
        <f t="shared" si="3"/>
        <v>-228</v>
      </c>
      <c r="S23" s="16">
        <f t="shared" si="3"/>
        <v>-228</v>
      </c>
      <c r="T23" s="16">
        <f t="shared" si="3"/>
        <v>-228</v>
      </c>
      <c r="U23" s="16">
        <f t="shared" si="3"/>
        <v>-228</v>
      </c>
      <c r="V23" s="16">
        <f t="shared" si="3"/>
        <v>-228</v>
      </c>
      <c r="AI23" s="63" t="s">
        <v>98</v>
      </c>
      <c r="AJ23" s="66">
        <v>9</v>
      </c>
      <c r="AK23" s="65">
        <v>10</v>
      </c>
      <c r="AL23" s="29">
        <v>21</v>
      </c>
      <c r="AM23" s="11">
        <v>6.7</v>
      </c>
      <c r="AN23" s="11" t="s">
        <v>135</v>
      </c>
    </row>
    <row r="24" spans="1:40" ht="13.5" thickBot="1" x14ac:dyDescent="0.25">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25">
      <c r="A28" s="108"/>
      <c r="B28" s="24"/>
      <c r="C28" s="15"/>
      <c r="D28" s="15"/>
      <c r="E28" s="15"/>
      <c r="F28" s="15"/>
      <c r="G28" s="15"/>
      <c r="H28" s="15"/>
      <c r="I28" s="15"/>
      <c r="J28" s="15"/>
      <c r="K28" s="23"/>
      <c r="L28" s="15"/>
      <c r="M28" s="15"/>
      <c r="N28" s="15"/>
      <c r="O28" s="15"/>
      <c r="P28" s="15"/>
      <c r="Q28" s="15"/>
      <c r="R28" s="15"/>
      <c r="S28" s="15"/>
      <c r="T28" s="15"/>
      <c r="U28" s="15"/>
    </row>
    <row r="29" spans="1:40" s="7" customFormat="1" ht="27" x14ac:dyDescent="0.2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5905</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4279</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7605</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3851</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6418</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1843</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5974</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5490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2565</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7887</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2946</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2881</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3398</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5694</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2991</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3799</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5813</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1390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9596</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716</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5905</v>
      </c>
      <c r="C57" s="8">
        <f t="shared" ref="C57:U57" si="13">D8</f>
        <v>4279</v>
      </c>
      <c r="D57" s="8">
        <f t="shared" si="13"/>
        <v>7605</v>
      </c>
      <c r="E57" s="8">
        <f t="shared" si="13"/>
        <v>3851</v>
      </c>
      <c r="F57" s="8">
        <f t="shared" si="13"/>
        <v>6418</v>
      </c>
      <c r="G57" s="8">
        <f t="shared" si="13"/>
        <v>1843</v>
      </c>
      <c r="H57" s="8">
        <f t="shared" si="13"/>
        <v>5974</v>
      </c>
      <c r="I57" s="8">
        <f t="shared" si="13"/>
        <v>5490</v>
      </c>
      <c r="J57" s="8">
        <f t="shared" si="13"/>
        <v>2565</v>
      </c>
      <c r="K57" s="8">
        <f t="shared" si="13"/>
        <v>7887</v>
      </c>
      <c r="L57" s="8">
        <f t="shared" si="13"/>
        <v>2946</v>
      </c>
      <c r="M57" s="8">
        <f t="shared" si="13"/>
        <v>2881</v>
      </c>
      <c r="N57" s="8">
        <f t="shared" si="13"/>
        <v>3398</v>
      </c>
      <c r="O57" s="8">
        <f t="shared" si="13"/>
        <v>5694</v>
      </c>
      <c r="P57" s="8">
        <f t="shared" si="13"/>
        <v>2991</v>
      </c>
      <c r="Q57" s="8">
        <f t="shared" si="13"/>
        <v>3799</v>
      </c>
      <c r="R57" s="8">
        <f t="shared" si="13"/>
        <v>5813</v>
      </c>
      <c r="S57" s="8">
        <f t="shared" si="13"/>
        <v>1390</v>
      </c>
      <c r="T57" s="8">
        <f t="shared" si="13"/>
        <v>9596</v>
      </c>
      <c r="U57" s="8">
        <f t="shared" si="13"/>
        <v>716</v>
      </c>
    </row>
    <row r="58" spans="1:35" s="19" customFormat="1" x14ac:dyDescent="0.25">
      <c r="A58" s="92" t="s">
        <v>136</v>
      </c>
      <c r="B58" s="13" t="str">
        <f>C16&amp;" I "&amp;(VLOOKUP(C14,Table24581114[],6,FALSE))</f>
        <v>Medium/Clay I Grass</v>
      </c>
      <c r="C58" s="13" t="str">
        <f>D16&amp;" I "&amp;(VLOOKUP(D14,Table24581114[],6,FALSE))</f>
        <v>Medium/Clay I Grass</v>
      </c>
      <c r="D58" s="13" t="str">
        <f>E16&amp;" I "&amp;(VLOOKUP(E14,Table24581114[],6,FALSE))</f>
        <v>Medium/Clay I Grass</v>
      </c>
      <c r="E58" s="13" t="str">
        <f>F16&amp;" I "&amp;(VLOOKUP(F14,Table24581114[],6,FALSE))</f>
        <v>Medium/Clay I Grass</v>
      </c>
      <c r="F58" s="13" t="str">
        <f>G16&amp;" I "&amp;(VLOOKUP(G14,Table24581114[],6,FALSE))</f>
        <v>Medium/Clay I Grass</v>
      </c>
      <c r="G58" s="13" t="str">
        <f>H16&amp;" I "&amp;(VLOOKUP(H14,Table24581114[],6,FALSE))</f>
        <v>Medium/Clay I Grass</v>
      </c>
      <c r="H58" s="13" t="str">
        <f>I16&amp;" I "&amp;(VLOOKUP(I14,Table24581114[],6,FALSE))</f>
        <v>Medium/Clay I Grass</v>
      </c>
      <c r="I58" s="13" t="str">
        <f>J16&amp;" I "&amp;(VLOOKUP(J14,Table24581114[],6,FALSE))</f>
        <v>Medium/Clay I Grass</v>
      </c>
      <c r="J58" s="13" t="str">
        <f>K16&amp;" I "&amp;(VLOOKUP(K14,Table24581114[],6,FALSE))</f>
        <v>Medium/Clay I Grass</v>
      </c>
      <c r="K58" s="13" t="str">
        <f>L16&amp;" I "&amp;(VLOOKUP(L14,Table24581114[],6,FALSE))</f>
        <v>Medium/Clay I Grass</v>
      </c>
      <c r="L58" s="13" t="str">
        <f>M16&amp;" I "&amp;(VLOOKUP(M14,Table24581114[],6,FALSE))</f>
        <v>Medium/Clay I Grass</v>
      </c>
      <c r="M58" s="13" t="str">
        <f>N16&amp;" I "&amp;(VLOOKUP(N14,Table24581114[],6,FALSE))</f>
        <v>Medium/Clay I Grass</v>
      </c>
      <c r="N58" s="13" t="str">
        <f>O16&amp;" I "&amp;(VLOOKUP(O14,Table24581114[],6,FALSE))</f>
        <v>Medium/Clay I Grass</v>
      </c>
      <c r="O58" s="13" t="str">
        <f>P16&amp;" I "&amp;(VLOOKUP(P14,Table24581114[],6,FALSE))</f>
        <v>Medium/Clay I Grass</v>
      </c>
      <c r="P58" s="13" t="str">
        <f>Q16&amp;" I "&amp;(VLOOKUP(Q14,Table24581114[],6,FALSE))</f>
        <v>Medium/Clay I Grass</v>
      </c>
      <c r="Q58" s="13" t="str">
        <f>R16&amp;" I "&amp;(VLOOKUP(R14,Table24581114[],6,FALSE))</f>
        <v>Medium/Clay I Grass</v>
      </c>
      <c r="R58" s="13" t="str">
        <f>S16&amp;" I "&amp;(VLOOKUP(S14,Table24581114[],6,FALSE))</f>
        <v>Medium/Clay I Grass</v>
      </c>
      <c r="S58" s="13" t="str">
        <f>T16&amp;" I "&amp;(VLOOKUP(T14,Table24581114[],6,FALSE))</f>
        <v>Medium/Clay I Grass</v>
      </c>
      <c r="T58" s="13" t="str">
        <f>U16&amp;" I "&amp;(VLOOKUP(U14,Table24581114[],6,FALSE))</f>
        <v>Medium/Clay I Grass</v>
      </c>
      <c r="U58" s="13" t="str">
        <f>V16&amp;" I "&amp;(VLOOKUP(V14,Table24581114[],6,FALSE))</f>
        <v>Medium/Clay I Grass</v>
      </c>
    </row>
    <row r="59" spans="1:35" s="19" customFormat="1" x14ac:dyDescent="0.2">
      <c r="A59" s="111" t="s">
        <v>132</v>
      </c>
      <c r="B59" s="76">
        <f>VLOOKUP(C$14,Table24581114[],5,FALSE)</f>
        <v>6.2</v>
      </c>
      <c r="C59" s="76">
        <f>VLOOKUP(D$14,Table24581114[],5,FALSE)</f>
        <v>6.2</v>
      </c>
      <c r="D59" s="76">
        <f>VLOOKUP(E$14,Table24581114[],5,FALSE)</f>
        <v>6.2</v>
      </c>
      <c r="E59" s="76">
        <f>VLOOKUP(F$14,Table24581114[],5,FALSE)</f>
        <v>6.2</v>
      </c>
      <c r="F59" s="76">
        <f>VLOOKUP(G$14,Table24581114[],5,FALSE)</f>
        <v>6.2</v>
      </c>
      <c r="G59" s="76">
        <f>VLOOKUP(H$14,Table24581114[],5,FALSE)</f>
        <v>6.2</v>
      </c>
      <c r="H59" s="76">
        <f>VLOOKUP(I$14,Table24581114[],5,FALSE)</f>
        <v>6.2</v>
      </c>
      <c r="I59" s="76">
        <f>VLOOKUP(J$14,Table24581114[],5,FALSE)</f>
        <v>6.2</v>
      </c>
      <c r="J59" s="76">
        <f>VLOOKUP(K$14,Table24581114[],5,FALSE)</f>
        <v>6.2</v>
      </c>
      <c r="K59" s="76">
        <f>VLOOKUP(L$14,Table24581114[],5,FALSE)</f>
        <v>6.2</v>
      </c>
      <c r="L59" s="76">
        <f>VLOOKUP(M$14,Table24581114[],5,FALSE)</f>
        <v>6.2</v>
      </c>
      <c r="M59" s="76">
        <f>VLOOKUP(N$14,Table24581114[],5,FALSE)</f>
        <v>6.2</v>
      </c>
      <c r="N59" s="76">
        <f>VLOOKUP(O$14,Table24581114[],5,FALSE)</f>
        <v>6.2</v>
      </c>
      <c r="O59" s="76">
        <f>VLOOKUP(P$14,Table24581114[],5,FALSE)</f>
        <v>6.2</v>
      </c>
      <c r="P59" s="76">
        <f>VLOOKUP(Q$14,Table24581114[],5,FALSE)</f>
        <v>6.2</v>
      </c>
      <c r="Q59" s="76">
        <f>VLOOKUP(R$14,Table24581114[],5,FALSE)</f>
        <v>6.2</v>
      </c>
      <c r="R59" s="76">
        <f>VLOOKUP(S$14,Table24581114[],5,FALSE)</f>
        <v>6.2</v>
      </c>
      <c r="S59" s="76">
        <f>VLOOKUP(T$14,Table24581114[],5,FALSE)</f>
        <v>6.2</v>
      </c>
      <c r="T59" s="76">
        <f>VLOOKUP(U$14,Table24581114[],5,FALSE)</f>
        <v>6.2</v>
      </c>
      <c r="U59" s="76">
        <f>VLOOKUP(V$14,Table24581114[],5,FALSE)</f>
        <v>6.2</v>
      </c>
    </row>
    <row r="60" spans="1:35" s="19" customFormat="1" x14ac:dyDescent="0.2">
      <c r="A60" s="111" t="s">
        <v>4</v>
      </c>
      <c r="B60" s="76">
        <f>C10</f>
        <v>6.2</v>
      </c>
      <c r="C60" s="76">
        <f t="shared" ref="C60:U60" si="14">D10</f>
        <v>5.6</v>
      </c>
      <c r="D60" s="76">
        <f t="shared" si="14"/>
        <v>6.3</v>
      </c>
      <c r="E60" s="76">
        <f t="shared" si="14"/>
        <v>6</v>
      </c>
      <c r="F60" s="76">
        <f t="shared" si="14"/>
        <v>5.8</v>
      </c>
      <c r="G60" s="76">
        <f t="shared" si="14"/>
        <v>5.3</v>
      </c>
      <c r="H60" s="76">
        <f t="shared" si="14"/>
        <v>6</v>
      </c>
      <c r="I60" s="76">
        <f t="shared" si="14"/>
        <v>6.1</v>
      </c>
      <c r="J60" s="76">
        <f t="shared" si="14"/>
        <v>5.5</v>
      </c>
      <c r="K60" s="76">
        <f t="shared" si="14"/>
        <v>6.1</v>
      </c>
      <c r="L60" s="76">
        <f t="shared" si="14"/>
        <v>5.5</v>
      </c>
      <c r="M60" s="76">
        <f t="shared" si="14"/>
        <v>5.6</v>
      </c>
      <c r="N60" s="76">
        <f t="shared" si="14"/>
        <v>5.9</v>
      </c>
      <c r="O60" s="76">
        <f t="shared" si="14"/>
        <v>6.5</v>
      </c>
      <c r="P60" s="76">
        <f t="shared" si="14"/>
        <v>5.7</v>
      </c>
      <c r="Q60" s="76">
        <f t="shared" si="14"/>
        <v>6.4</v>
      </c>
      <c r="R60" s="76">
        <f t="shared" si="14"/>
        <v>6.7</v>
      </c>
      <c r="S60" s="76">
        <f t="shared" si="14"/>
        <v>5.4</v>
      </c>
      <c r="T60" s="76">
        <f t="shared" si="14"/>
        <v>5.5</v>
      </c>
      <c r="U60" s="76">
        <f t="shared" si="14"/>
        <v>6.4</v>
      </c>
    </row>
    <row r="61" spans="1:35" s="19" customFormat="1" x14ac:dyDescent="0.2">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f t="shared" si="15"/>
        <v>6</v>
      </c>
      <c r="R61" s="76">
        <f t="shared" si="15"/>
        <v>6</v>
      </c>
      <c r="S61" s="76">
        <f t="shared" si="15"/>
        <v>6</v>
      </c>
      <c r="T61" s="76">
        <f t="shared" si="15"/>
        <v>6</v>
      </c>
      <c r="U61" s="76">
        <f t="shared" si="15"/>
        <v>6</v>
      </c>
    </row>
    <row r="62" spans="1:35" s="19" customFormat="1" x14ac:dyDescent="0.2">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0</v>
      </c>
      <c r="C64" s="77">
        <f t="shared" ref="C64:U64" si="17">(C59-C60)*C61</f>
        <v>3.6000000000000032</v>
      </c>
      <c r="D64" s="77">
        <f t="shared" si="17"/>
        <v>-0.59999999999999787</v>
      </c>
      <c r="E64" s="77">
        <f t="shared" si="17"/>
        <v>1.2000000000000011</v>
      </c>
      <c r="F64" s="77">
        <f t="shared" si="17"/>
        <v>2.4000000000000021</v>
      </c>
      <c r="G64" s="77">
        <f t="shared" si="17"/>
        <v>5.4000000000000021</v>
      </c>
      <c r="H64" s="77">
        <f t="shared" si="17"/>
        <v>1.2000000000000011</v>
      </c>
      <c r="I64" s="77">
        <f t="shared" si="17"/>
        <v>0.6000000000000032</v>
      </c>
      <c r="J64" s="77">
        <f t="shared" si="17"/>
        <v>4.2000000000000011</v>
      </c>
      <c r="K64" s="77">
        <f t="shared" si="17"/>
        <v>0.6000000000000032</v>
      </c>
      <c r="L64" s="77">
        <f t="shared" si="17"/>
        <v>4.2000000000000011</v>
      </c>
      <c r="M64" s="77">
        <f t="shared" si="17"/>
        <v>3.6000000000000032</v>
      </c>
      <c r="N64" s="77">
        <f t="shared" si="17"/>
        <v>1.7999999999999989</v>
      </c>
      <c r="O64" s="77">
        <f t="shared" si="17"/>
        <v>-1.7999999999999989</v>
      </c>
      <c r="P64" s="77">
        <f t="shared" si="17"/>
        <v>3</v>
      </c>
      <c r="Q64" s="77">
        <f t="shared" si="17"/>
        <v>-1.2000000000000011</v>
      </c>
      <c r="R64" s="77">
        <f t="shared" si="17"/>
        <v>-3</v>
      </c>
      <c r="S64" s="77">
        <f t="shared" si="17"/>
        <v>4.7999999999999989</v>
      </c>
      <c r="T64" s="77">
        <f t="shared" si="17"/>
        <v>4.2000000000000011</v>
      </c>
      <c r="U64" s="77">
        <f t="shared" si="17"/>
        <v>-1.2000000000000011</v>
      </c>
    </row>
    <row r="65" spans="1:21" s="19" customFormat="1" ht="51" x14ac:dyDescent="0.2">
      <c r="A65" s="112" t="s">
        <v>157</v>
      </c>
      <c r="B65" s="77">
        <f>B63-B64</f>
        <v>0</v>
      </c>
      <c r="C65" s="77">
        <f t="shared" ref="C65:U65" si="18">C63-C64</f>
        <v>-3.6000000000000032</v>
      </c>
      <c r="D65" s="77">
        <f t="shared" si="18"/>
        <v>0.59999999999999787</v>
      </c>
      <c r="E65" s="77">
        <f t="shared" si="18"/>
        <v>-1.2000000000000011</v>
      </c>
      <c r="F65" s="77">
        <f t="shared" si="18"/>
        <v>-2.4000000000000021</v>
      </c>
      <c r="G65" s="77">
        <f t="shared" si="18"/>
        <v>-5.4000000000000021</v>
      </c>
      <c r="H65" s="77">
        <f t="shared" si="18"/>
        <v>-1.2000000000000011</v>
      </c>
      <c r="I65" s="77">
        <f t="shared" si="18"/>
        <v>-0.6000000000000032</v>
      </c>
      <c r="J65" s="77">
        <f t="shared" si="18"/>
        <v>-4.2000000000000011</v>
      </c>
      <c r="K65" s="77">
        <f t="shared" si="18"/>
        <v>-0.6000000000000032</v>
      </c>
      <c r="L65" s="77">
        <f t="shared" si="18"/>
        <v>-4.2000000000000011</v>
      </c>
      <c r="M65" s="77">
        <f t="shared" si="18"/>
        <v>-3.6000000000000032</v>
      </c>
      <c r="N65" s="77">
        <f t="shared" si="18"/>
        <v>-1.7999999999999989</v>
      </c>
      <c r="O65" s="77">
        <f t="shared" si="18"/>
        <v>1.7999999999999989</v>
      </c>
      <c r="P65" s="77">
        <f t="shared" si="18"/>
        <v>-3</v>
      </c>
      <c r="Q65" s="77">
        <f t="shared" si="18"/>
        <v>1.2000000000000011</v>
      </c>
      <c r="R65" s="77">
        <f t="shared" si="18"/>
        <v>3</v>
      </c>
      <c r="S65" s="77">
        <f t="shared" si="18"/>
        <v>-4.7999999999999989</v>
      </c>
      <c r="T65" s="77">
        <f t="shared" si="18"/>
        <v>-4.2000000000000011</v>
      </c>
      <c r="U65" s="77">
        <f t="shared" si="18"/>
        <v>1.2000000000000011</v>
      </c>
    </row>
    <row r="66" spans="1:21" s="19" customFormat="1" ht="38.25" x14ac:dyDescent="0.2">
      <c r="A66" s="112" t="s">
        <v>148</v>
      </c>
      <c r="B66" s="78" t="str">
        <f>IF(B64&lt;=B63,"OVER","UNDER")</f>
        <v>OVER</v>
      </c>
      <c r="C66" s="78" t="str">
        <f t="shared" ref="C66:U66" si="19">IF(C64&lt;=C63,"OVER","UNDER")</f>
        <v>UNDER</v>
      </c>
      <c r="D66" s="78" t="str">
        <f t="shared" si="19"/>
        <v>OVER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str">
        <f t="shared" si="19"/>
        <v>UNDER</v>
      </c>
      <c r="N66" s="78" t="str">
        <f t="shared" si="19"/>
        <v>UNDER</v>
      </c>
      <c r="O66" s="78" t="str">
        <f t="shared" si="19"/>
        <v>OVER</v>
      </c>
      <c r="P66" s="78" t="str">
        <f t="shared" si="19"/>
        <v>UNDER</v>
      </c>
      <c r="Q66" s="78" t="str">
        <f t="shared" si="19"/>
        <v>OVER</v>
      </c>
      <c r="R66" s="78" t="str">
        <f t="shared" si="19"/>
        <v>OVER</v>
      </c>
      <c r="S66" s="78" t="str">
        <f t="shared" si="19"/>
        <v>UNDER</v>
      </c>
      <c r="T66" s="78" t="str">
        <f t="shared" si="19"/>
        <v>UNDER</v>
      </c>
      <c r="U66" s="78" t="str">
        <f t="shared" si="19"/>
        <v>OVER</v>
      </c>
    </row>
  </sheetData>
  <sheetProtection algorithmName="SHA-512" hashValue="TZZVWlHMlDSC2esGZn3NcR0IWCrUPBFFgIsapkN5arzyEza6Z6YnceaiyS0BnKhpQovr5aDMfrn3Jy5cd28BrA==" saltValue="OGaLsDJJBbstJqc3zQfqr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51" priority="37" operator="equal">
      <formula>"DECREASE"</formula>
    </cfRule>
    <cfRule type="cellIs" dxfId="250" priority="38" operator="equal">
      <formula>"INCREASE"</formula>
    </cfRule>
  </conditionalFormatting>
  <conditionalFormatting sqref="B31:B50 B62:U66">
    <cfRule type="cellIs" dxfId="249" priority="36" operator="greaterThan">
      <formula>$B$51</formula>
    </cfRule>
  </conditionalFormatting>
  <conditionalFormatting sqref="C31:C50">
    <cfRule type="cellIs" dxfId="248" priority="35" operator="greaterThan">
      <formula>$C$51</formula>
    </cfRule>
  </conditionalFormatting>
  <conditionalFormatting sqref="C18:V18">
    <cfRule type="cellIs" dxfId="247" priority="34" operator="equal">
      <formula>0</formula>
    </cfRule>
  </conditionalFormatting>
  <conditionalFormatting sqref="C17:V17">
    <cfRule type="cellIs" dxfId="246" priority="33" operator="equal">
      <formula>0</formula>
    </cfRule>
  </conditionalFormatting>
  <conditionalFormatting sqref="C19:V19">
    <cfRule type="cellIs" dxfId="245" priority="32" operator="equal">
      <formula>0</formula>
    </cfRule>
  </conditionalFormatting>
  <conditionalFormatting sqref="G31:G50">
    <cfRule type="cellIs" dxfId="244" priority="31" operator="greaterThan">
      <formula>$G$51</formula>
    </cfRule>
  </conditionalFormatting>
  <conditionalFormatting sqref="H31:H50">
    <cfRule type="cellIs" dxfId="243" priority="30" operator="greaterThan">
      <formula>$H$51</formula>
    </cfRule>
  </conditionalFormatting>
  <conditionalFormatting sqref="I31:I50">
    <cfRule type="cellIs" dxfId="242" priority="29" operator="greaterThan">
      <formula>$I$51</formula>
    </cfRule>
  </conditionalFormatting>
  <conditionalFormatting sqref="K31:K50">
    <cfRule type="cellIs" dxfId="241" priority="28" operator="greaterThan">
      <formula>$K$51</formula>
    </cfRule>
  </conditionalFormatting>
  <conditionalFormatting sqref="L31:L50">
    <cfRule type="cellIs" dxfId="240" priority="27" operator="greaterThan">
      <formula>$L$51</formula>
    </cfRule>
  </conditionalFormatting>
  <conditionalFormatting sqref="M31:M50">
    <cfRule type="cellIs" dxfId="239" priority="26" operator="greaterThan">
      <formula>$M$51</formula>
    </cfRule>
  </conditionalFormatting>
  <conditionalFormatting sqref="P31:P50">
    <cfRule type="cellIs" dxfId="238" priority="25" operator="greaterThan">
      <formula>$P$51</formula>
    </cfRule>
  </conditionalFormatting>
  <conditionalFormatting sqref="R31:R50">
    <cfRule type="cellIs" dxfId="237" priority="24" operator="greaterThan">
      <formula>$R$51</formula>
    </cfRule>
  </conditionalFormatting>
  <conditionalFormatting sqref="S31:S50">
    <cfRule type="cellIs" dxfId="236" priority="23" operator="greaterThan">
      <formula>$S$51</formula>
    </cfRule>
  </conditionalFormatting>
  <conditionalFormatting sqref="T31:T50">
    <cfRule type="cellIs" dxfId="235" priority="22" operator="greaterThan">
      <formula>$T$51</formula>
    </cfRule>
  </conditionalFormatting>
  <conditionalFormatting sqref="U31:U50">
    <cfRule type="cellIs" dxfId="234" priority="21" operator="greaterThan">
      <formula>$U$51</formula>
    </cfRule>
  </conditionalFormatting>
  <conditionalFormatting sqref="C22:V22">
    <cfRule type="cellIs" dxfId="233" priority="20" operator="equal">
      <formula>0</formula>
    </cfRule>
  </conditionalFormatting>
  <conditionalFormatting sqref="C24:V24">
    <cfRule type="cellIs" dxfId="232" priority="18" operator="equal">
      <formula>"DECREASE"</formula>
    </cfRule>
    <cfRule type="cellIs" dxfId="231" priority="19" operator="equal">
      <formula>"INCREASE"</formula>
    </cfRule>
  </conditionalFormatting>
  <conditionalFormatting sqref="C23:V23">
    <cfRule type="cellIs" dxfId="230" priority="17" operator="equal">
      <formula>0</formula>
    </cfRule>
  </conditionalFormatting>
  <conditionalFormatting sqref="C21:V21">
    <cfRule type="cellIs" dxfId="229" priority="13" operator="equal">
      <formula>0</formula>
    </cfRule>
  </conditionalFormatting>
  <conditionalFormatting sqref="B66:U66">
    <cfRule type="cellIs" dxfId="228" priority="11" operator="equal">
      <formula>"UNDER"</formula>
    </cfRule>
    <cfRule type="cellIs" dxfId="227" priority="12" operator="equal">
      <formula>"OVER"</formula>
    </cfRule>
  </conditionalFormatting>
  <conditionalFormatting sqref="J31:J50">
    <cfRule type="cellIs" dxfId="226" priority="8" operator="greaterThan">
      <formula>$J$51</formula>
    </cfRule>
  </conditionalFormatting>
  <conditionalFormatting sqref="L3">
    <cfRule type="cellIs" dxfId="225" priority="4" operator="lessThan">
      <formula>30</formula>
    </cfRule>
    <cfRule type="cellIs" dxfId="224" priority="5" operator="greaterThanOrEqual">
      <formula>30</formula>
    </cfRule>
  </conditionalFormatting>
  <conditionalFormatting sqref="I1">
    <cfRule type="cellIs" dxfId="223" priority="3" operator="between">
      <formula>0.1</formula>
      <formula>5</formula>
    </cfRule>
  </conditionalFormatting>
  <conditionalFormatting sqref="I2">
    <cfRule type="cellIs" dxfId="222" priority="2" operator="greaterThan">
      <formula>5000.1</formula>
    </cfRule>
  </conditionalFormatting>
  <conditionalFormatting sqref="I3">
    <cfRule type="cellIs" dxfId="221"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B31" sqref="B31:B50"/>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19" t="s">
        <v>41</v>
      </c>
      <c r="B1" s="119"/>
      <c r="C1" s="140" t="str">
        <f>Secanim!C1:D1</f>
        <v>PAN-021626</v>
      </c>
      <c r="D1" s="141"/>
      <c r="E1" s="93" t="s">
        <v>45</v>
      </c>
      <c r="F1" s="39">
        <f>Secanim!F1</f>
        <v>48.6</v>
      </c>
      <c r="G1" s="120" t="s">
        <v>43</v>
      </c>
      <c r="H1" s="121"/>
      <c r="I1" s="118">
        <v>3.93</v>
      </c>
      <c r="J1" s="119" t="s">
        <v>153</v>
      </c>
      <c r="K1" s="119"/>
      <c r="L1" s="97">
        <v>25</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19" t="s">
        <v>87</v>
      </c>
      <c r="B2" s="119"/>
      <c r="C2" s="142" t="str">
        <f>Secanim!C2:D2</f>
        <v>KP3594VE</v>
      </c>
      <c r="D2" s="143"/>
      <c r="E2" s="93" t="s">
        <v>109</v>
      </c>
      <c r="F2" s="96" t="s">
        <v>174</v>
      </c>
      <c r="G2" s="138" t="s">
        <v>110</v>
      </c>
      <c r="H2" s="139"/>
      <c r="I2" s="118">
        <v>297</v>
      </c>
      <c r="J2" s="119" t="s">
        <v>158</v>
      </c>
      <c r="K2" s="119"/>
      <c r="L2" s="97">
        <v>0.02</v>
      </c>
      <c r="AB2" s="30" t="s">
        <v>56</v>
      </c>
      <c r="AC2" s="17"/>
      <c r="AD2" s="30" t="s">
        <v>70</v>
      </c>
      <c r="AE2" s="17"/>
      <c r="AF2" s="17"/>
      <c r="AG2" s="44" t="s">
        <v>76</v>
      </c>
      <c r="AH2" s="18"/>
      <c r="AI2" s="45" t="s">
        <v>126</v>
      </c>
      <c r="AJ2" s="46">
        <v>0</v>
      </c>
      <c r="AK2" s="47">
        <v>0</v>
      </c>
      <c r="AL2" s="10">
        <v>0</v>
      </c>
      <c r="AM2" s="11">
        <v>0</v>
      </c>
      <c r="AN2" s="11">
        <v>0</v>
      </c>
    </row>
    <row r="3" spans="1:41" x14ac:dyDescent="0.2">
      <c r="A3" s="120" t="s">
        <v>42</v>
      </c>
      <c r="B3" s="121"/>
      <c r="C3" s="142" t="str">
        <f>Secanim!C3:D3</f>
        <v>Trade Effluent Services Limited</v>
      </c>
      <c r="D3" s="143"/>
      <c r="E3" s="93" t="s">
        <v>108</v>
      </c>
      <c r="F3" s="31"/>
      <c r="G3" s="119" t="s">
        <v>159</v>
      </c>
      <c r="H3" s="119"/>
      <c r="I3" s="118"/>
      <c r="J3" s="120" t="s">
        <v>154</v>
      </c>
      <c r="K3" s="121"/>
      <c r="L3" s="97">
        <f>(L1/(L2*10000))*100</f>
        <v>12.5</v>
      </c>
      <c r="AB3" s="30" t="s">
        <v>57</v>
      </c>
      <c r="AC3" s="17"/>
      <c r="AD3" s="30" t="s">
        <v>71</v>
      </c>
      <c r="AE3" s="17"/>
      <c r="AF3" s="17"/>
      <c r="AG3" s="44" t="s">
        <v>77</v>
      </c>
      <c r="AH3" s="18"/>
      <c r="AI3" s="48" t="s">
        <v>113</v>
      </c>
      <c r="AJ3" s="49">
        <v>1.7</v>
      </c>
      <c r="AK3" s="50">
        <v>6</v>
      </c>
      <c r="AL3" s="51">
        <v>1</v>
      </c>
      <c r="AM3" s="11">
        <v>6.2</v>
      </c>
      <c r="AN3" s="11" t="s">
        <v>112</v>
      </c>
    </row>
    <row r="4" spans="1:41" x14ac:dyDescent="0.2">
      <c r="A4" s="119" t="s">
        <v>0</v>
      </c>
      <c r="B4" s="119"/>
      <c r="C4" s="140" t="str">
        <f>Secanim!C4:D4</f>
        <v>Gwaenynog Bach Farm, Pentrefoelas Road, Bryn Ynys, Denbigh, Y Groes, Denbighshire, LL16 5RP</v>
      </c>
      <c r="D4" s="141"/>
      <c r="E4" s="94" t="s">
        <v>1</v>
      </c>
      <c r="F4" s="96" t="s">
        <v>173</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x14ac:dyDescent="0.2">
      <c r="A5" s="119" t="s">
        <v>47</v>
      </c>
      <c r="B5" s="119"/>
      <c r="C5" s="140" t="str">
        <f>Secanim!C5:D5</f>
        <v>Louise Bailey</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19" t="s">
        <v>2</v>
      </c>
      <c r="B8" s="119"/>
      <c r="C8" s="60">
        <f>Secanim!C8</f>
        <v>5905</v>
      </c>
      <c r="D8" s="60">
        <f>Secanim!D8</f>
        <v>4279</v>
      </c>
      <c r="E8" s="60">
        <f>Secanim!E8</f>
        <v>7605</v>
      </c>
      <c r="F8" s="60">
        <f>Secanim!F8</f>
        <v>3851</v>
      </c>
      <c r="G8" s="60">
        <f>Secanim!G8</f>
        <v>6418</v>
      </c>
      <c r="H8" s="60">
        <f>Secanim!H8</f>
        <v>1843</v>
      </c>
      <c r="I8" s="60">
        <f>Secanim!I8</f>
        <v>5974</v>
      </c>
      <c r="J8" s="60">
        <f>Secanim!J8</f>
        <v>5490</v>
      </c>
      <c r="K8" s="60">
        <f>Secanim!K8</f>
        <v>2565</v>
      </c>
      <c r="L8" s="60">
        <f>Secanim!L8</f>
        <v>7887</v>
      </c>
      <c r="M8" s="60">
        <f>Secanim!M8</f>
        <v>2946</v>
      </c>
      <c r="N8" s="60">
        <f>Secanim!N8</f>
        <v>2881</v>
      </c>
      <c r="O8" s="60">
        <f>Secanim!O8</f>
        <v>3398</v>
      </c>
      <c r="P8" s="60">
        <f>Secanim!P8</f>
        <v>5694</v>
      </c>
      <c r="Q8" s="60">
        <f>Secanim!Q8</f>
        <v>2991</v>
      </c>
      <c r="R8" s="60">
        <f>Secanim!R8</f>
        <v>3799</v>
      </c>
      <c r="S8" s="60">
        <f>Secanim!S8</f>
        <v>5813</v>
      </c>
      <c r="T8" s="60">
        <f>Secanim!T8</f>
        <v>1390</v>
      </c>
      <c r="U8" s="60">
        <f>Secanim!U8</f>
        <v>9596</v>
      </c>
      <c r="V8" s="60">
        <f>Secanim!V8</f>
        <v>716</v>
      </c>
      <c r="AB8" s="61"/>
      <c r="AC8" s="61"/>
      <c r="AD8" s="18"/>
      <c r="AE8" s="17" t="s">
        <v>139</v>
      </c>
      <c r="AF8" s="17"/>
      <c r="AG8" s="18"/>
      <c r="AH8" s="18"/>
      <c r="AI8" s="53" t="s">
        <v>105</v>
      </c>
      <c r="AJ8" s="62">
        <v>1.4</v>
      </c>
      <c r="AK8" s="55">
        <v>4.4000000000000004</v>
      </c>
      <c r="AL8" s="11">
        <v>6</v>
      </c>
      <c r="AM8" s="11">
        <v>6.7</v>
      </c>
      <c r="AN8" s="11" t="s">
        <v>135</v>
      </c>
      <c r="AO8" s="79"/>
    </row>
    <row r="9" spans="1:41" x14ac:dyDescent="0.2">
      <c r="A9" s="119" t="s">
        <v>3</v>
      </c>
      <c r="B9" s="119"/>
      <c r="C9" s="60" t="str">
        <f>Secanim!C9</f>
        <v>Moderate</v>
      </c>
      <c r="D9" s="60" t="str">
        <f>Secanim!D9</f>
        <v>Moderate</v>
      </c>
      <c r="E9" s="60" t="str">
        <f>Secanim!E9</f>
        <v>Moderate</v>
      </c>
      <c r="F9" s="60" t="str">
        <f>Secanim!F9</f>
        <v>Moderate</v>
      </c>
      <c r="G9" s="60" t="str">
        <f>Secanim!G9</f>
        <v>Moderate</v>
      </c>
      <c r="H9" s="60" t="str">
        <f>Secanim!H9</f>
        <v>Moderate</v>
      </c>
      <c r="I9" s="60" t="str">
        <f>Secanim!I9</f>
        <v>Moderate</v>
      </c>
      <c r="J9" s="60" t="str">
        <f>Secanim!J9</f>
        <v>Moderate</v>
      </c>
      <c r="K9" s="60" t="str">
        <f>Secanim!K9</f>
        <v>Moderate</v>
      </c>
      <c r="L9" s="60" t="str">
        <f>Secanim!L9</f>
        <v>Moderate</v>
      </c>
      <c r="M9" s="60" t="str">
        <f>Secanim!M9</f>
        <v>Moderate</v>
      </c>
      <c r="N9" s="60" t="str">
        <f>Secanim!N9</f>
        <v>Moderate</v>
      </c>
      <c r="O9" s="60" t="str">
        <f>Secanim!O9</f>
        <v>Moderate</v>
      </c>
      <c r="P9" s="60" t="str">
        <f>Secanim!P9</f>
        <v>Moderate</v>
      </c>
      <c r="Q9" s="60" t="str">
        <f>Secanim!Q9</f>
        <v>Moderate</v>
      </c>
      <c r="R9" s="60" t="str">
        <f>Secanim!R9</f>
        <v>Moderate</v>
      </c>
      <c r="S9" s="60" t="str">
        <f>Secanim!S9</f>
        <v>Moderate</v>
      </c>
      <c r="T9" s="60" t="str">
        <f>Secanim!T9</f>
        <v>Moderate</v>
      </c>
      <c r="U9" s="60" t="str">
        <f>Secanim!U9</f>
        <v>Moderate</v>
      </c>
      <c r="V9" s="60" t="str">
        <f>Secanim!V9</f>
        <v>Moderate</v>
      </c>
      <c r="AB9" s="17"/>
      <c r="AC9" s="17"/>
      <c r="AD9" s="30" t="s">
        <v>137</v>
      </c>
      <c r="AE9" s="30">
        <v>4.5</v>
      </c>
      <c r="AF9" s="17"/>
      <c r="AG9" s="18"/>
      <c r="AH9" s="18"/>
      <c r="AI9" s="63" t="s">
        <v>103</v>
      </c>
      <c r="AJ9" s="64">
        <v>0.7</v>
      </c>
      <c r="AK9" s="65">
        <v>4</v>
      </c>
      <c r="AL9" s="29">
        <v>7</v>
      </c>
      <c r="AM9" s="11">
        <v>6.7</v>
      </c>
      <c r="AN9" s="11" t="s">
        <v>135</v>
      </c>
      <c r="AO9" s="99"/>
    </row>
    <row r="10" spans="1:41" x14ac:dyDescent="0.2">
      <c r="A10" s="119" t="s">
        <v>4</v>
      </c>
      <c r="B10" s="119"/>
      <c r="C10" s="60">
        <f>Secanim!C10</f>
        <v>6.2</v>
      </c>
      <c r="D10" s="60">
        <f>Secanim!D10</f>
        <v>5.6</v>
      </c>
      <c r="E10" s="60">
        <f>Secanim!E10</f>
        <v>6.3</v>
      </c>
      <c r="F10" s="60">
        <f>Secanim!F10</f>
        <v>6</v>
      </c>
      <c r="G10" s="60">
        <f>Secanim!G10</f>
        <v>5.8</v>
      </c>
      <c r="H10" s="60">
        <f>Secanim!H10</f>
        <v>5.3</v>
      </c>
      <c r="I10" s="60">
        <f>Secanim!I10</f>
        <v>6</v>
      </c>
      <c r="J10" s="60">
        <f>Secanim!J10</f>
        <v>6.1</v>
      </c>
      <c r="K10" s="60">
        <f>Secanim!K10</f>
        <v>5.5</v>
      </c>
      <c r="L10" s="60">
        <f>Secanim!L10</f>
        <v>6.1</v>
      </c>
      <c r="M10" s="60">
        <f>Secanim!M10</f>
        <v>5.5</v>
      </c>
      <c r="N10" s="60">
        <f>Secanim!N10</f>
        <v>5.6</v>
      </c>
      <c r="O10" s="60">
        <f>Secanim!O10</f>
        <v>5.9</v>
      </c>
      <c r="P10" s="60">
        <f>Secanim!P10</f>
        <v>6.5</v>
      </c>
      <c r="Q10" s="60">
        <f>Secanim!Q10</f>
        <v>5.7</v>
      </c>
      <c r="R10" s="60">
        <f>Secanim!R10</f>
        <v>6.4</v>
      </c>
      <c r="S10" s="60">
        <f>Secanim!S10</f>
        <v>6.7</v>
      </c>
      <c r="T10" s="60">
        <f>Secanim!T10</f>
        <v>5.4</v>
      </c>
      <c r="U10" s="60">
        <f>Secanim!U10</f>
        <v>5.5</v>
      </c>
      <c r="V10" s="60">
        <f>Secanim!V10</f>
        <v>6.4</v>
      </c>
      <c r="AB10" s="17"/>
      <c r="AC10" s="17"/>
      <c r="AD10" s="30" t="s">
        <v>140</v>
      </c>
      <c r="AE10" s="30">
        <v>5</v>
      </c>
      <c r="AF10" s="17"/>
      <c r="AG10" s="18"/>
      <c r="AH10" s="18"/>
      <c r="AI10" s="53" t="s">
        <v>97</v>
      </c>
      <c r="AJ10" s="54">
        <v>9</v>
      </c>
      <c r="AK10" s="55">
        <v>16.5</v>
      </c>
      <c r="AL10" s="11">
        <v>8</v>
      </c>
      <c r="AM10" s="11">
        <v>6.7</v>
      </c>
      <c r="AN10" s="11" t="s">
        <v>135</v>
      </c>
    </row>
    <row r="11" spans="1:41" x14ac:dyDescent="0.2">
      <c r="A11" s="119" t="s">
        <v>5</v>
      </c>
      <c r="B11" s="119"/>
      <c r="C11" s="60">
        <f>Secanim!C11</f>
        <v>2</v>
      </c>
      <c r="D11" s="60">
        <f>Secanim!D11</f>
        <v>3</v>
      </c>
      <c r="E11" s="60">
        <f>Secanim!E11</f>
        <v>2</v>
      </c>
      <c r="F11" s="60">
        <f>Secanim!F11</f>
        <v>3</v>
      </c>
      <c r="G11" s="60">
        <f>Secanim!G11</f>
        <v>2</v>
      </c>
      <c r="H11" s="60">
        <f>Secanim!H11</f>
        <v>3</v>
      </c>
      <c r="I11" s="60">
        <f>Secanim!I11</f>
        <v>3</v>
      </c>
      <c r="J11" s="60">
        <f>Secanim!J11</f>
        <v>2</v>
      </c>
      <c r="K11" s="60">
        <f>Secanim!K11</f>
        <v>3</v>
      </c>
      <c r="L11" s="60">
        <f>Secanim!L11</f>
        <v>1</v>
      </c>
      <c r="M11" s="60">
        <f>Secanim!M11</f>
        <v>3</v>
      </c>
      <c r="N11" s="60">
        <f>Secanim!N11</f>
        <v>2</v>
      </c>
      <c r="O11" s="60">
        <f>Secanim!O11</f>
        <v>2</v>
      </c>
      <c r="P11" s="60">
        <f>Secanim!P11</f>
        <v>2</v>
      </c>
      <c r="Q11" s="60">
        <f>Secanim!Q11</f>
        <v>2</v>
      </c>
      <c r="R11" s="60">
        <f>Secanim!R11</f>
        <v>2</v>
      </c>
      <c r="S11" s="60">
        <f>Secanim!S11</f>
        <v>2</v>
      </c>
      <c r="T11" s="60">
        <f>Secanim!T11</f>
        <v>3</v>
      </c>
      <c r="U11" s="60">
        <f>Secanim!U11</f>
        <v>2</v>
      </c>
      <c r="V11" s="60">
        <f>Secanim!V11</f>
        <v>2</v>
      </c>
      <c r="AB11" s="17"/>
      <c r="AC11" s="17"/>
      <c r="AD11" s="52" t="s">
        <v>141</v>
      </c>
      <c r="AE11" s="30">
        <v>6</v>
      </c>
      <c r="AF11" s="17"/>
      <c r="AG11" s="18"/>
      <c r="AH11" s="18"/>
      <c r="AI11" s="53" t="s">
        <v>122</v>
      </c>
      <c r="AJ11" s="54">
        <v>15</v>
      </c>
      <c r="AK11" s="55">
        <v>17.5</v>
      </c>
      <c r="AL11" s="11">
        <v>9</v>
      </c>
      <c r="AM11" s="11">
        <v>7</v>
      </c>
      <c r="AN11" s="11" t="s">
        <v>135</v>
      </c>
    </row>
    <row r="12" spans="1:41" x14ac:dyDescent="0.2">
      <c r="A12" s="119" t="s">
        <v>6</v>
      </c>
      <c r="B12" s="119"/>
      <c r="C12" s="60" t="str">
        <f>Secanim!C12</f>
        <v>2-</v>
      </c>
      <c r="D12" s="60">
        <f>Secanim!D12</f>
        <v>3</v>
      </c>
      <c r="E12" s="60" t="str">
        <f>Secanim!E12</f>
        <v>2-</v>
      </c>
      <c r="F12" s="60" t="str">
        <f>Secanim!F12</f>
        <v>2+</v>
      </c>
      <c r="G12" s="60">
        <f>Secanim!G12</f>
        <v>3</v>
      </c>
      <c r="H12" s="60" t="str">
        <f>Secanim!H12</f>
        <v>2+</v>
      </c>
      <c r="I12" s="60">
        <f>Secanim!I12</f>
        <v>4</v>
      </c>
      <c r="J12" s="60" t="str">
        <f>Secanim!J12</f>
        <v>2+</v>
      </c>
      <c r="K12" s="60">
        <f>Secanim!K12</f>
        <v>4</v>
      </c>
      <c r="L12" s="60" t="str">
        <f>Secanim!L12</f>
        <v>2-</v>
      </c>
      <c r="M12" s="60" t="str">
        <f>Secanim!M12</f>
        <v>2-</v>
      </c>
      <c r="N12" s="60">
        <f>Secanim!N12</f>
        <v>3</v>
      </c>
      <c r="O12" s="60">
        <f>Secanim!O12</f>
        <v>3</v>
      </c>
      <c r="P12" s="60" t="str">
        <f>Secanim!P12</f>
        <v>2-</v>
      </c>
      <c r="Q12" s="60">
        <f>Secanim!Q12</f>
        <v>1</v>
      </c>
      <c r="R12" s="60">
        <f>Secanim!R12</f>
        <v>1</v>
      </c>
      <c r="S12" s="60">
        <f>Secanim!S12</f>
        <v>1</v>
      </c>
      <c r="T12" s="60" t="str">
        <f>Secanim!T12</f>
        <v>2+</v>
      </c>
      <c r="U12" s="60">
        <f>Secanim!U12</f>
        <v>1</v>
      </c>
      <c r="V12" s="60" t="str">
        <f>Secanim!V12</f>
        <v>2-</v>
      </c>
      <c r="AB12" s="17"/>
      <c r="AC12" s="17"/>
      <c r="AD12" s="52" t="s">
        <v>142</v>
      </c>
      <c r="AE12" s="30">
        <v>7.5</v>
      </c>
      <c r="AF12" s="17"/>
      <c r="AG12" s="18"/>
      <c r="AH12" s="18"/>
      <c r="AI12" s="53" t="s">
        <v>121</v>
      </c>
      <c r="AJ12" s="54">
        <v>14</v>
      </c>
      <c r="AK12" s="55">
        <v>11</v>
      </c>
      <c r="AL12" s="11">
        <v>10</v>
      </c>
      <c r="AM12" s="11">
        <v>7</v>
      </c>
      <c r="AN12" s="11" t="s">
        <v>135</v>
      </c>
    </row>
    <row r="13" spans="1:41" x14ac:dyDescent="0.2">
      <c r="A13" s="119" t="s">
        <v>7</v>
      </c>
      <c r="B13" s="119"/>
      <c r="C13" s="60">
        <f>Secanim!C13</f>
        <v>3</v>
      </c>
      <c r="D13" s="60">
        <f>Secanim!D13</f>
        <v>3</v>
      </c>
      <c r="E13" s="60">
        <f>Secanim!E13</f>
        <v>3</v>
      </c>
      <c r="F13" s="60">
        <f>Secanim!F13</f>
        <v>3</v>
      </c>
      <c r="G13" s="60">
        <f>Secanim!G13</f>
        <v>3</v>
      </c>
      <c r="H13" s="60">
        <f>Secanim!H13</f>
        <v>2</v>
      </c>
      <c r="I13" s="60">
        <f>Secanim!I13</f>
        <v>4</v>
      </c>
      <c r="J13" s="60">
        <f>Secanim!J13</f>
        <v>3</v>
      </c>
      <c r="K13" s="60">
        <f>Secanim!K13</f>
        <v>3</v>
      </c>
      <c r="L13" s="60">
        <f>Secanim!L13</f>
        <v>3</v>
      </c>
      <c r="M13" s="60">
        <f>Secanim!M13</f>
        <v>2</v>
      </c>
      <c r="N13" s="60">
        <f>Secanim!N13</f>
        <v>2</v>
      </c>
      <c r="O13" s="60">
        <f>Secanim!O13</f>
        <v>3</v>
      </c>
      <c r="P13" s="60">
        <f>Secanim!P13</f>
        <v>2</v>
      </c>
      <c r="Q13" s="60">
        <f>Secanim!Q13</f>
        <v>3</v>
      </c>
      <c r="R13" s="60">
        <f>Secanim!R13</f>
        <v>2</v>
      </c>
      <c r="S13" s="60">
        <f>Secanim!S13</f>
        <v>1</v>
      </c>
      <c r="T13" s="60">
        <f>Secanim!T13</f>
        <v>3</v>
      </c>
      <c r="U13" s="60">
        <f>Secanim!U13</f>
        <v>1</v>
      </c>
      <c r="V13" s="60">
        <f>Secanim!V13</f>
        <v>2</v>
      </c>
      <c r="AB13" s="17"/>
      <c r="AC13" s="17"/>
      <c r="AD13" s="52" t="s">
        <v>143</v>
      </c>
      <c r="AE13" s="30">
        <v>12</v>
      </c>
      <c r="AF13" s="17"/>
      <c r="AG13" s="18"/>
      <c r="AH13" s="18"/>
      <c r="AI13" s="53" t="s">
        <v>120</v>
      </c>
      <c r="AJ13" s="54">
        <v>1.9</v>
      </c>
      <c r="AK13" s="55">
        <v>7.5</v>
      </c>
      <c r="AL13" s="11">
        <v>11</v>
      </c>
      <c r="AM13" s="11">
        <v>6.7</v>
      </c>
      <c r="AN13" s="11" t="s">
        <v>135</v>
      </c>
    </row>
    <row r="14" spans="1:41" x14ac:dyDescent="0.2">
      <c r="A14" s="131" t="s">
        <v>8</v>
      </c>
      <c r="B14" s="131"/>
      <c r="C14" s="102" t="str">
        <f>Secanim!C14</f>
        <v xml:space="preserve">Grass Silage (25% DM) </v>
      </c>
      <c r="D14" s="102" t="str">
        <f>Secanim!D14</f>
        <v xml:space="preserve">Grass Silage (25% DM) </v>
      </c>
      <c r="E14" s="102" t="str">
        <f>Secanim!E14</f>
        <v xml:space="preserve">Grass Silage (25% DM) </v>
      </c>
      <c r="F14" s="102" t="str">
        <f>Secanim!F14</f>
        <v xml:space="preserve">Grass Silage (25% DM) </v>
      </c>
      <c r="G14" s="102" t="str">
        <f>Secanim!G14</f>
        <v xml:space="preserve">Grass Silage (25% DM) </v>
      </c>
      <c r="H14" s="102" t="str">
        <f>Secanim!H14</f>
        <v xml:space="preserve">Grass Silage (25% DM) </v>
      </c>
      <c r="I14" s="102" t="str">
        <f>Secanim!I14</f>
        <v xml:space="preserve">Grass Silage (25% DM) </v>
      </c>
      <c r="J14" s="102" t="str">
        <f>Secanim!J14</f>
        <v xml:space="preserve">Grass Silage (25% DM) </v>
      </c>
      <c r="K14" s="102" t="str">
        <f>Secanim!K14</f>
        <v xml:space="preserve">Grass Silage (25% DM) </v>
      </c>
      <c r="L14" s="102" t="str">
        <f>Secanim!L14</f>
        <v xml:space="preserve">Grass Silage (25% DM) </v>
      </c>
      <c r="M14" s="102" t="str">
        <f>Secanim!M14</f>
        <v xml:space="preserve">Grass Silage (25% DM) </v>
      </c>
      <c r="N14" s="102" t="str">
        <f>Secanim!N14</f>
        <v xml:space="preserve">Grass Silage (25% DM) </v>
      </c>
      <c r="O14" s="102" t="str">
        <f>Secanim!O14</f>
        <v xml:space="preserve">Grass Silage (25% DM) </v>
      </c>
      <c r="P14" s="102" t="str">
        <f>Secanim!P14</f>
        <v xml:space="preserve">Grass Silage (25% DM) </v>
      </c>
      <c r="Q14" s="102" t="str">
        <f>Secanim!Q14</f>
        <v xml:space="preserve">Grass Silage (25% DM) </v>
      </c>
      <c r="R14" s="102" t="str">
        <f>Secanim!R14</f>
        <v xml:space="preserve">Grass Silage (25% DM) </v>
      </c>
      <c r="S14" s="102" t="str">
        <f>Secanim!S14</f>
        <v xml:space="preserve">Grass Silage (25% DM) </v>
      </c>
      <c r="T14" s="102" t="str">
        <f>Secanim!T14</f>
        <v xml:space="preserve">Grass Silage (25% DM) </v>
      </c>
      <c r="U14" s="102" t="str">
        <f>Secanim!U14</f>
        <v xml:space="preserve">Grass Silage (25% DM) </v>
      </c>
      <c r="V14" s="102" t="str">
        <f>Secanim!V14</f>
        <v xml:space="preserve">Grass Silage (25% DM) </v>
      </c>
      <c r="AD14" s="30" t="s">
        <v>138</v>
      </c>
      <c r="AE14" s="30">
        <v>6</v>
      </c>
      <c r="AI14" s="53" t="s">
        <v>119</v>
      </c>
      <c r="AJ14" s="54">
        <v>0.8</v>
      </c>
      <c r="AK14" s="55">
        <v>1.7</v>
      </c>
      <c r="AL14" s="11">
        <v>12</v>
      </c>
      <c r="AM14" s="11">
        <v>6.7</v>
      </c>
      <c r="AN14" s="11" t="s">
        <v>135</v>
      </c>
    </row>
    <row r="15" spans="1:41" x14ac:dyDescent="0.2">
      <c r="A15" s="130" t="s">
        <v>9</v>
      </c>
      <c r="B15" s="130"/>
      <c r="C15" s="60">
        <f>Secanim!C15</f>
        <v>38</v>
      </c>
      <c r="D15" s="60">
        <f>Secanim!D15</f>
        <v>38</v>
      </c>
      <c r="E15" s="60">
        <f>Secanim!E15</f>
        <v>38</v>
      </c>
      <c r="F15" s="60">
        <f>Secanim!F15</f>
        <v>38</v>
      </c>
      <c r="G15" s="60">
        <f>Secanim!G15</f>
        <v>38</v>
      </c>
      <c r="H15" s="60">
        <f>Secanim!H15</f>
        <v>38</v>
      </c>
      <c r="I15" s="60">
        <f>Secanim!I15</f>
        <v>38</v>
      </c>
      <c r="J15" s="60">
        <f>Secanim!J15</f>
        <v>38</v>
      </c>
      <c r="K15" s="60">
        <f>Secanim!K15</f>
        <v>38</v>
      </c>
      <c r="L15" s="60">
        <f>Secanim!L15</f>
        <v>38</v>
      </c>
      <c r="M15" s="60">
        <f>Secanim!M15</f>
        <v>38</v>
      </c>
      <c r="N15" s="60">
        <f>Secanim!N15</f>
        <v>38</v>
      </c>
      <c r="O15" s="60">
        <f>Secanim!O15</f>
        <v>38</v>
      </c>
      <c r="P15" s="60">
        <f>Secanim!P15</f>
        <v>38</v>
      </c>
      <c r="Q15" s="60">
        <f>Secanim!Q15</f>
        <v>38</v>
      </c>
      <c r="R15" s="60">
        <f>Secanim!R15</f>
        <v>38</v>
      </c>
      <c r="S15" s="60">
        <f>Secanim!S15</f>
        <v>38</v>
      </c>
      <c r="T15" s="60">
        <f>Secanim!T15</f>
        <v>38</v>
      </c>
      <c r="U15" s="60">
        <f>Secanim!U15</f>
        <v>38</v>
      </c>
      <c r="V15" s="60">
        <f>Secanim!V15</f>
        <v>38</v>
      </c>
      <c r="AD15" s="30" t="s">
        <v>144</v>
      </c>
      <c r="AE15" s="30">
        <v>7</v>
      </c>
      <c r="AI15" s="53" t="s">
        <v>101</v>
      </c>
      <c r="AJ15" s="62">
        <v>1.8</v>
      </c>
      <c r="AK15" s="55">
        <v>5.4</v>
      </c>
      <c r="AL15" s="11">
        <v>13</v>
      </c>
      <c r="AM15" s="11">
        <v>6.7</v>
      </c>
      <c r="AN15" s="11" t="s">
        <v>135</v>
      </c>
    </row>
    <row r="16" spans="1:41" ht="13.5" thickBot="1" x14ac:dyDescent="0.25">
      <c r="A16" s="132" t="s">
        <v>44</v>
      </c>
      <c r="B16" s="132"/>
      <c r="C16" s="103" t="str">
        <f>Secanim!C16</f>
        <v>Medium/Clay</v>
      </c>
      <c r="D16" s="103" t="str">
        <f>Secanim!D16</f>
        <v>Medium/Clay</v>
      </c>
      <c r="E16" s="103" t="str">
        <f>Secanim!E16</f>
        <v>Medium/Clay</v>
      </c>
      <c r="F16" s="103" t="str">
        <f>Secanim!F16</f>
        <v>Medium/Clay</v>
      </c>
      <c r="G16" s="103" t="str">
        <f>Secanim!G16</f>
        <v>Medium/Clay</v>
      </c>
      <c r="H16" s="103" t="str">
        <f>Secanim!H16</f>
        <v>Medium/Clay</v>
      </c>
      <c r="I16" s="103" t="str">
        <f>Secanim!I16</f>
        <v>Medium/Clay</v>
      </c>
      <c r="J16" s="103" t="str">
        <f>Secanim!J16</f>
        <v>Medium/Clay</v>
      </c>
      <c r="K16" s="103" t="str">
        <f>Secanim!K16</f>
        <v>Medium/Clay</v>
      </c>
      <c r="L16" s="103" t="str">
        <f>Secanim!L16</f>
        <v>Medium/Clay</v>
      </c>
      <c r="M16" s="103" t="str">
        <f>Secanim!M16</f>
        <v>Medium/Clay</v>
      </c>
      <c r="N16" s="103" t="str">
        <f>Secanim!N16</f>
        <v>Medium/Clay</v>
      </c>
      <c r="O16" s="103" t="str">
        <f>Secanim!O16</f>
        <v>Medium/Clay</v>
      </c>
      <c r="P16" s="103" t="str">
        <f>Secanim!P16</f>
        <v>Medium/Clay</v>
      </c>
      <c r="Q16" s="103" t="str">
        <f>Secanim!Q16</f>
        <v>Medium/Clay</v>
      </c>
      <c r="R16" s="103" t="str">
        <f>Secanim!R16</f>
        <v>Medium/Clay</v>
      </c>
      <c r="S16" s="103" t="str">
        <f>Secanim!S16</f>
        <v>Medium/Clay</v>
      </c>
      <c r="T16" s="103" t="str">
        <f>Secanim!T16</f>
        <v>Medium/Clay</v>
      </c>
      <c r="U16" s="103" t="str">
        <f>Secanim!U16</f>
        <v>Medium/Clay</v>
      </c>
      <c r="V16" s="103" t="str">
        <f>Secanim!V16</f>
        <v>Medium/Clay</v>
      </c>
      <c r="AD16" s="52" t="s">
        <v>145</v>
      </c>
      <c r="AE16" s="30">
        <v>8</v>
      </c>
      <c r="AI16" s="53" t="s">
        <v>118</v>
      </c>
      <c r="AJ16" s="54">
        <v>8</v>
      </c>
      <c r="AK16" s="55">
        <v>5.5</v>
      </c>
      <c r="AL16" s="12">
        <v>14</v>
      </c>
      <c r="AM16" s="11">
        <v>6.7</v>
      </c>
      <c r="AN16" s="11" t="s">
        <v>135</v>
      </c>
    </row>
    <row r="17" spans="1:40" x14ac:dyDescent="0.2">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64.599999999999994</v>
      </c>
      <c r="R17" s="28">
        <f t="shared" si="0"/>
        <v>64.599999999999994</v>
      </c>
      <c r="S17" s="28">
        <f t="shared" si="0"/>
        <v>64.599999999999994</v>
      </c>
      <c r="T17" s="28">
        <f t="shared" si="0"/>
        <v>64.599999999999994</v>
      </c>
      <c r="U17" s="28">
        <f t="shared" si="0"/>
        <v>64.599999999999994</v>
      </c>
      <c r="V17" s="28">
        <f t="shared" si="0"/>
        <v>64.599999999999994</v>
      </c>
      <c r="AD17" s="52" t="s">
        <v>146</v>
      </c>
      <c r="AE17" s="30">
        <v>10</v>
      </c>
      <c r="AI17" s="48" t="s">
        <v>115</v>
      </c>
      <c r="AJ17" s="49">
        <v>1.4</v>
      </c>
      <c r="AK17" s="50">
        <v>4.8</v>
      </c>
      <c r="AL17" s="51">
        <v>15</v>
      </c>
      <c r="AM17" s="11">
        <v>6.2</v>
      </c>
      <c r="AN17" s="11" t="s">
        <v>112</v>
      </c>
    </row>
    <row r="18" spans="1:40" x14ac:dyDescent="0.2">
      <c r="A18" s="124" t="s">
        <v>23</v>
      </c>
      <c r="B18" s="125"/>
      <c r="C18" s="16">
        <f>$D31</f>
        <v>27.7211</v>
      </c>
      <c r="D18" s="16">
        <f>$D32</f>
        <v>27.7211</v>
      </c>
      <c r="E18" s="16">
        <f>$D33</f>
        <v>27.7211</v>
      </c>
      <c r="F18" s="16">
        <f>$D34</f>
        <v>27.7211</v>
      </c>
      <c r="G18" s="16">
        <f>$D35</f>
        <v>27.7211</v>
      </c>
      <c r="H18" s="16">
        <f>$D36</f>
        <v>27.7211</v>
      </c>
      <c r="I18" s="16">
        <f>$D37</f>
        <v>27.7211</v>
      </c>
      <c r="J18" s="16">
        <f>$D38</f>
        <v>27.7211</v>
      </c>
      <c r="K18" s="16">
        <f>$D39</f>
        <v>27.7211</v>
      </c>
      <c r="L18" s="16">
        <f>$D40</f>
        <v>27.7211</v>
      </c>
      <c r="M18" s="16">
        <f>$D41</f>
        <v>27.7211</v>
      </c>
      <c r="N18" s="16">
        <f>$D42</f>
        <v>27.7211</v>
      </c>
      <c r="O18" s="16">
        <f>$D43</f>
        <v>27.7211</v>
      </c>
      <c r="P18" s="16">
        <f>$D44</f>
        <v>27.7211</v>
      </c>
      <c r="Q18" s="16">
        <f>$D45</f>
        <v>27.7211</v>
      </c>
      <c r="R18" s="16">
        <f>$D46</f>
        <v>27.7211</v>
      </c>
      <c r="S18" s="16">
        <f>$D47</f>
        <v>27.7211</v>
      </c>
      <c r="T18" s="16">
        <f>$D48</f>
        <v>27.7211</v>
      </c>
      <c r="U18" s="16">
        <f>$D49</f>
        <v>27.7211</v>
      </c>
      <c r="V18" s="25">
        <f>$D50</f>
        <v>27.7211</v>
      </c>
      <c r="AD18" s="52" t="s">
        <v>147</v>
      </c>
      <c r="AE18" s="30">
        <v>16</v>
      </c>
      <c r="AI18" s="48" t="s">
        <v>106</v>
      </c>
      <c r="AJ18" s="49">
        <v>5.9</v>
      </c>
      <c r="AK18" s="50">
        <v>18</v>
      </c>
      <c r="AL18" s="51">
        <v>16</v>
      </c>
      <c r="AM18" s="11">
        <v>6.2</v>
      </c>
      <c r="AN18" s="11" t="s">
        <v>112</v>
      </c>
    </row>
    <row r="19" spans="1:40" x14ac:dyDescent="0.2">
      <c r="A19" s="124" t="s">
        <v>90</v>
      </c>
      <c r="B19" s="125"/>
      <c r="C19" s="16">
        <f>C18-C17</f>
        <v>-36.878899999999994</v>
      </c>
      <c r="D19" s="16">
        <f t="shared" ref="D19:V19" si="1">D18-D17</f>
        <v>-36.878899999999994</v>
      </c>
      <c r="E19" s="16">
        <f t="shared" si="1"/>
        <v>-36.878899999999994</v>
      </c>
      <c r="F19" s="16">
        <f t="shared" si="1"/>
        <v>-36.878899999999994</v>
      </c>
      <c r="G19" s="16">
        <f t="shared" si="1"/>
        <v>-36.878899999999994</v>
      </c>
      <c r="H19" s="16">
        <f t="shared" si="1"/>
        <v>-36.878899999999994</v>
      </c>
      <c r="I19" s="16">
        <f t="shared" si="1"/>
        <v>-36.878899999999994</v>
      </c>
      <c r="J19" s="16">
        <f t="shared" si="1"/>
        <v>-36.878899999999994</v>
      </c>
      <c r="K19" s="16">
        <f t="shared" si="1"/>
        <v>-36.878899999999994</v>
      </c>
      <c r="L19" s="16">
        <f t="shared" si="1"/>
        <v>-36.878899999999994</v>
      </c>
      <c r="M19" s="16">
        <f t="shared" si="1"/>
        <v>-36.878899999999994</v>
      </c>
      <c r="N19" s="16">
        <f t="shared" si="1"/>
        <v>-36.878899999999994</v>
      </c>
      <c r="O19" s="16">
        <f t="shared" si="1"/>
        <v>-36.878899999999994</v>
      </c>
      <c r="P19" s="16">
        <f t="shared" si="1"/>
        <v>-36.878899999999994</v>
      </c>
      <c r="Q19" s="16">
        <f t="shared" si="1"/>
        <v>-36.878899999999994</v>
      </c>
      <c r="R19" s="16">
        <f t="shared" si="1"/>
        <v>-36.878899999999994</v>
      </c>
      <c r="S19" s="16">
        <f t="shared" si="1"/>
        <v>-36.878899999999994</v>
      </c>
      <c r="T19" s="16">
        <f t="shared" si="1"/>
        <v>-36.878899999999994</v>
      </c>
      <c r="U19" s="16">
        <f t="shared" si="1"/>
        <v>-36.878899999999994</v>
      </c>
      <c r="V19" s="25">
        <f t="shared" si="1"/>
        <v>-36.878899999999994</v>
      </c>
      <c r="AI19" s="48" t="s">
        <v>107</v>
      </c>
      <c r="AJ19" s="49">
        <v>3.2</v>
      </c>
      <c r="AK19" s="50">
        <v>10.5</v>
      </c>
      <c r="AL19" s="51">
        <v>17</v>
      </c>
      <c r="AM19" s="11">
        <v>6.2</v>
      </c>
      <c r="AN19" s="11" t="s">
        <v>112</v>
      </c>
    </row>
    <row r="20" spans="1:40" ht="13.5" thickBot="1" x14ac:dyDescent="0.25">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DECREASE</v>
      </c>
      <c r="S20" s="26" t="str">
        <f>IF($B47="","",IF(S$19&gt;=0,"INCREASE","DECREASE"))</f>
        <v>DECREASE</v>
      </c>
      <c r="T20" s="26" t="str">
        <f>IF($B48="","",IF(T$19&gt;=0,"INCREASE","DECREASE"))</f>
        <v>DECREASE</v>
      </c>
      <c r="U20" s="26" t="str">
        <f>IF($B49="","",IF(U$19&gt;=0,"INCREASE","DECREASE"))</f>
        <v>DECREASE</v>
      </c>
      <c r="V20" s="27" t="str">
        <f>IF($B50="","",IF(V$19&gt;=0,"INCREASE","DECREASE"))</f>
        <v>DECREASE</v>
      </c>
      <c r="AI20" s="48" t="s">
        <v>114</v>
      </c>
      <c r="AJ20" s="49">
        <v>2.1</v>
      </c>
      <c r="AK20" s="50">
        <v>7.2</v>
      </c>
      <c r="AL20" s="51">
        <v>18</v>
      </c>
      <c r="AM20" s="11">
        <v>6.2</v>
      </c>
      <c r="AN20" s="11" t="s">
        <v>112</v>
      </c>
    </row>
    <row r="21" spans="1:40" x14ac:dyDescent="0.2">
      <c r="A21" s="122" t="s">
        <v>88</v>
      </c>
      <c r="B21" s="123"/>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228</v>
      </c>
      <c r="Q21" s="28">
        <f t="shared" si="2"/>
        <v>228</v>
      </c>
      <c r="R21" s="28">
        <f t="shared" si="2"/>
        <v>228</v>
      </c>
      <c r="S21" s="28">
        <f t="shared" si="2"/>
        <v>228</v>
      </c>
      <c r="T21" s="28">
        <f t="shared" si="2"/>
        <v>228</v>
      </c>
      <c r="U21" s="28">
        <f t="shared" si="2"/>
        <v>228</v>
      </c>
      <c r="V21" s="28">
        <f t="shared" si="2"/>
        <v>228</v>
      </c>
      <c r="AI21" s="63" t="s">
        <v>100</v>
      </c>
      <c r="AJ21" s="66">
        <v>11</v>
      </c>
      <c r="AK21" s="65">
        <v>12</v>
      </c>
      <c r="AL21" s="29">
        <v>19</v>
      </c>
      <c r="AM21" s="11">
        <v>6.7</v>
      </c>
      <c r="AN21" s="11" t="s">
        <v>135</v>
      </c>
    </row>
    <row r="22" spans="1:40" x14ac:dyDescent="0.2">
      <c r="A22" s="124" t="s">
        <v>89</v>
      </c>
      <c r="B22" s="125"/>
      <c r="C22" s="16">
        <f>$E31</f>
        <v>28.227125000000001</v>
      </c>
      <c r="D22" s="16">
        <f>$E32</f>
        <v>28.227125000000001</v>
      </c>
      <c r="E22" s="16">
        <f>$E33</f>
        <v>28.227125000000001</v>
      </c>
      <c r="F22" s="16">
        <f>$E34</f>
        <v>28.227125000000001</v>
      </c>
      <c r="G22" s="16">
        <f>$E35</f>
        <v>28.227125000000001</v>
      </c>
      <c r="H22" s="16">
        <f>$E36</f>
        <v>28.227125000000001</v>
      </c>
      <c r="I22" s="16">
        <f>$E37</f>
        <v>28.227125000000001</v>
      </c>
      <c r="J22" s="16">
        <f>$E38</f>
        <v>28.227125000000001</v>
      </c>
      <c r="K22" s="16">
        <f>$E39</f>
        <v>28.227125000000001</v>
      </c>
      <c r="L22" s="16">
        <f>$E40</f>
        <v>28.227125000000001</v>
      </c>
      <c r="M22" s="16">
        <f>$E41</f>
        <v>28.227125000000001</v>
      </c>
      <c r="N22" s="16">
        <f>$E42</f>
        <v>28.227125000000001</v>
      </c>
      <c r="O22" s="16">
        <f>$E43</f>
        <v>28.227125000000001</v>
      </c>
      <c r="P22" s="16">
        <f>$E44</f>
        <v>28.227125000000001</v>
      </c>
      <c r="Q22" s="16">
        <f>$E45</f>
        <v>28.227125000000001</v>
      </c>
      <c r="R22" s="16">
        <f>$E46</f>
        <v>28.227125000000001</v>
      </c>
      <c r="S22" s="16">
        <f>$E47</f>
        <v>28.227125000000001</v>
      </c>
      <c r="T22" s="16">
        <f>$E48</f>
        <v>28.227125000000001</v>
      </c>
      <c r="U22" s="16">
        <f>$E49</f>
        <v>28.227125000000001</v>
      </c>
      <c r="V22" s="16">
        <f>$E50</f>
        <v>28.227125000000001</v>
      </c>
      <c r="AI22" s="63" t="s">
        <v>102</v>
      </c>
      <c r="AJ22" s="64">
        <v>1.2</v>
      </c>
      <c r="AK22" s="65">
        <v>5</v>
      </c>
      <c r="AL22" s="29">
        <v>20</v>
      </c>
      <c r="AM22" s="11">
        <v>6.7</v>
      </c>
      <c r="AN22" s="11" t="s">
        <v>135</v>
      </c>
    </row>
    <row r="23" spans="1:40" x14ac:dyDescent="0.2">
      <c r="A23" s="124" t="s">
        <v>92</v>
      </c>
      <c r="B23" s="125"/>
      <c r="C23" s="16">
        <f>C22-C21</f>
        <v>-199.772875</v>
      </c>
      <c r="D23" s="16">
        <f t="shared" ref="D23:V23" si="3">D22-D21</f>
        <v>-199.772875</v>
      </c>
      <c r="E23" s="16">
        <f t="shared" si="3"/>
        <v>-199.772875</v>
      </c>
      <c r="F23" s="16">
        <f t="shared" si="3"/>
        <v>-199.772875</v>
      </c>
      <c r="G23" s="16">
        <f t="shared" si="3"/>
        <v>-199.772875</v>
      </c>
      <c r="H23" s="16">
        <f t="shared" si="3"/>
        <v>-199.772875</v>
      </c>
      <c r="I23" s="16">
        <f t="shared" si="3"/>
        <v>-199.772875</v>
      </c>
      <c r="J23" s="16">
        <f t="shared" si="3"/>
        <v>-199.772875</v>
      </c>
      <c r="K23" s="16">
        <f t="shared" si="3"/>
        <v>-199.772875</v>
      </c>
      <c r="L23" s="16">
        <f t="shared" si="3"/>
        <v>-199.772875</v>
      </c>
      <c r="M23" s="16">
        <f t="shared" si="3"/>
        <v>-199.772875</v>
      </c>
      <c r="N23" s="16">
        <f t="shared" si="3"/>
        <v>-199.772875</v>
      </c>
      <c r="O23" s="16">
        <f t="shared" si="3"/>
        <v>-199.772875</v>
      </c>
      <c r="P23" s="16">
        <f t="shared" si="3"/>
        <v>-199.772875</v>
      </c>
      <c r="Q23" s="16">
        <f t="shared" si="3"/>
        <v>-199.772875</v>
      </c>
      <c r="R23" s="16">
        <f t="shared" si="3"/>
        <v>-199.772875</v>
      </c>
      <c r="S23" s="16">
        <f t="shared" si="3"/>
        <v>-199.772875</v>
      </c>
      <c r="T23" s="16">
        <f t="shared" si="3"/>
        <v>-199.772875</v>
      </c>
      <c r="U23" s="16">
        <f t="shared" si="3"/>
        <v>-199.772875</v>
      </c>
      <c r="V23" s="16">
        <f t="shared" si="3"/>
        <v>-199.772875</v>
      </c>
      <c r="AI23" s="63" t="s">
        <v>98</v>
      </c>
      <c r="AJ23" s="66">
        <v>9</v>
      </c>
      <c r="AK23" s="65">
        <v>10</v>
      </c>
      <c r="AL23" s="29">
        <v>21</v>
      </c>
      <c r="AM23" s="11">
        <v>6.7</v>
      </c>
      <c r="AN23" s="11" t="s">
        <v>135</v>
      </c>
    </row>
    <row r="24" spans="1:40" ht="13.5" thickBot="1" x14ac:dyDescent="0.25">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str">
        <f t="shared" si="4"/>
        <v>DECREASE</v>
      </c>
      <c r="T24" s="26" t="str">
        <f t="shared" si="4"/>
        <v>DECREASE</v>
      </c>
      <c r="U24" s="26" t="str">
        <f t="shared" si="4"/>
        <v>DECREASE</v>
      </c>
      <c r="V24" s="26" t="str">
        <f t="shared" si="4"/>
        <v>DECREASE</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25">
      <c r="A28" s="108"/>
      <c r="B28" s="24">
        <v>1.19</v>
      </c>
      <c r="C28" s="15">
        <v>0.02</v>
      </c>
      <c r="D28" s="15">
        <v>48.4</v>
      </c>
      <c r="E28" s="15">
        <v>93.7</v>
      </c>
      <c r="F28" s="15">
        <v>10.6</v>
      </c>
      <c r="G28" s="15">
        <v>0.25</v>
      </c>
      <c r="H28" s="15">
        <v>0.54</v>
      </c>
      <c r="I28" s="15">
        <v>0.5</v>
      </c>
      <c r="J28" s="15">
        <v>0.01</v>
      </c>
      <c r="K28" s="23">
        <v>0.05</v>
      </c>
      <c r="L28" s="15">
        <v>0.2</v>
      </c>
      <c r="M28" s="15">
        <v>0.2</v>
      </c>
      <c r="N28" s="15"/>
      <c r="O28" s="15"/>
      <c r="P28" s="15">
        <v>243</v>
      </c>
      <c r="Q28" s="15">
        <v>37</v>
      </c>
      <c r="R28" s="15"/>
      <c r="S28" s="15"/>
      <c r="T28" s="15"/>
      <c r="U28" s="15"/>
    </row>
    <row r="29" spans="1:40" s="7" customFormat="1" ht="27" x14ac:dyDescent="0.2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5905</v>
      </c>
      <c r="B31" s="15">
        <v>250</v>
      </c>
      <c r="C31" s="77">
        <f>IF(C$27="%w/w SAR",((C$28*10)*$B31),IF(C$27="%w/w DM",(((C$28*10)*($B$28/100))*$B31),IF(C$27="kg/t SAR",(C$28*$B31),IF(C$27="kg/t DM",((C$28*($B$28/100))*$B31),IF(C$27="mg/kg SAR",((C$28*0.001)*$B31),IF(C$27="mg/kg DM",(((C$28*0.001)*($B$28/100))*$B31),0))))))</f>
        <v>50</v>
      </c>
      <c r="D31" s="77">
        <f>(IF(D$27="%w/w SAR",((D$28*10)*$B31),IF(D$27="%w/w DM",(((D$28*10)*($B$28/100))*$B31),IF(D$27="kg/t SAR",(D$28*$B31),IF(D$27="kg/t DM",((D$28*($B$28/100))*$B31),IF(D$27="mg/kg SAR",((D$28*0.001)*$B31),IF(D$27="mg/kg DM",(((D$28*0.001)*($B$28/100))*$B31),"0")))))))*2.291</f>
        <v>27.7211</v>
      </c>
      <c r="E31" s="77">
        <f>(IF(E$27="%w/w SAR",((E$28*10)*$B31),IF(E$27="%w/w DM",(((E$28*10)*($B$28/100))*$B31),IF(E$27="kg/t SAR",(E$28*$B31),IF(E$27="kg/t DM",((E$28*($B$28/100))*$B31),IF(E$27="mg/kg SAR",((E$28*0.001)*$B31),IF(E$27="mg/kg DM",(((E$28*0.001)*($B$28/100))*$B31),"0")))))))*1.205</f>
        <v>28.227125000000001</v>
      </c>
      <c r="F31" s="77">
        <f>(IF(F$27="%w/w SAR",((F$28*10)*$B31),IF(F$27="%w/w DM",(((F$28*10)*($B$28/100))*$B31),IF(F$27="kg/t SAR",(F$28*$B31),IF(F$27="kg/t DM",((F$28*($B$28/100))*$B31),IF(F$27="mg/kg SAR",((F$28*0.001)*$B31),IF(F$27="mg/kg DM",(((F$28*0.001)*($B$28/100))*$B31),"0")))))))*1.658</f>
        <v>4.3936999999999999</v>
      </c>
      <c r="G31" s="77">
        <f t="shared" ref="G31:P46" si="5">IF(G$27="%w/w SAR",((G$28*10)*$B31),IF(G$27="%w/w DM",(((G$28*10)*($B$28/100))*$B31),IF(G$27="kg/t SAR",(G$28*$B31),IF(G$27="kg/t DM",((G$28*($B$28/100))*$B31),IF(G$27="mg/kg SAR",((G$28*0.001)*$B31),IF(G$27="mg/kg DM",(((G$28*0.001)*($B$28/100))*$B31),0))))))</f>
        <v>6.25E-2</v>
      </c>
      <c r="H31" s="77">
        <f t="shared" si="5"/>
        <v>0.13500000000000001</v>
      </c>
      <c r="I31" s="77">
        <f t="shared" si="5"/>
        <v>0.125</v>
      </c>
      <c r="J31" s="77">
        <f t="shared" si="5"/>
        <v>2.5000000000000001E-3</v>
      </c>
      <c r="K31" s="77">
        <f t="shared" si="5"/>
        <v>1.2500000000000001E-2</v>
      </c>
      <c r="L31" s="77">
        <f t="shared" si="5"/>
        <v>0.05</v>
      </c>
      <c r="M31" s="77">
        <f t="shared" si="5"/>
        <v>0.05</v>
      </c>
      <c r="N31" s="77">
        <f t="shared" si="5"/>
        <v>0</v>
      </c>
      <c r="O31" s="77">
        <f t="shared" si="5"/>
        <v>0</v>
      </c>
      <c r="P31" s="77">
        <f t="shared" si="5"/>
        <v>60.75</v>
      </c>
      <c r="Q31" s="77">
        <f>(IF(Q$27="%w/w SAR",((Q$28*10)*$B31),IF(Q$27="%w/w DM",(((Q$28*10)*($B$28/100))*$B31),IF(Q$27="kg/t SAR",(Q$28*$B31),IF(Q$27="kg/t DM",((Q$28*($B$28/100))*$B31),IF(Q$27="mg/kg SAR",((Q$28*0.001)*$B31),IF(Q$27="mg/kg DM",(((Q$28*0.001)*($B$28/100))*$B31),0)))))))*2.5</f>
        <v>23.125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4279</v>
      </c>
      <c r="B32" s="15">
        <v>250</v>
      </c>
      <c r="C32" s="77">
        <f t="shared" ref="C32:C50" si="6">IF(C$27="%w/w SAR",((C$28*10)*$B32),IF(C$27="%w/w DM",(((C$28*10)*($B$28/100))*$B32),IF(C$27="kg/t SAR",(C$28*$B32),IF(C$27="kg/t DM",((C$28*($B$28/100))*$B32),IF(C$27="mg/kg SAR",((C$28*0.001)*$B32),IF(C$27="mg/kg DM",(((C$28*0.001)*($B$28/100))*$B32),0))))))</f>
        <v>50</v>
      </c>
      <c r="D32" s="77">
        <f t="shared" ref="D32:D50" si="7">(IF(D$27="%w/w SAR",((D$28*10)*$B32),IF(D$27="%w/w DM",(((D$28*10)*($B$28/100))*$B32),IF(D$27="kg/t SAR",(D$28*$B32),IF(D$27="kg/t DM",((D$28*($B$28/100))*$B32),IF(D$27="mg/kg SAR",((D$28*0.001)*$B32),IF(D$27="mg/kg DM",(((D$28*0.001)*($B$28/100))*$B32),"0")))))))*2.291</f>
        <v>27.7211</v>
      </c>
      <c r="E32" s="77">
        <f t="shared" ref="E32:E50" si="8">(IF(E$27="%w/w SAR",((E$28*10)*$B32),IF(E$27="%w/w DM",(((E$28*10)*($B$28/100))*$B32),IF(E$27="kg/t SAR",(E$28*$B32),IF(E$27="kg/t DM",((E$28*($B$28/100))*$B32),IF(E$27="mg/kg SAR",((E$28*0.001)*$B32),IF(E$27="mg/kg DM",(((E$28*0.001)*($B$28/100))*$B32),"0")))))))*1.205</f>
        <v>28.227125000000001</v>
      </c>
      <c r="F32" s="77">
        <f t="shared" ref="F32:F50" si="9">(IF(F$27="%w/w SAR",((F$28*10)*$B32),IF(F$27="%w/w DM",(((F$28*10)*($B$28/100))*$B32),IF(F$27="kg/t SAR",(F$28*$B32),IF(F$27="kg/t DM",((F$28*($B$28/100))*$B32),IF(F$27="mg/kg SAR",((F$28*0.001)*$B32),IF(F$27="mg/kg DM",(((F$28*0.001)*($B$28/100))*$B32),"0")))))))*1.658</f>
        <v>4.3936999999999999</v>
      </c>
      <c r="G32" s="77">
        <f t="shared" si="5"/>
        <v>6.25E-2</v>
      </c>
      <c r="H32" s="77">
        <f t="shared" si="5"/>
        <v>0.13500000000000001</v>
      </c>
      <c r="I32" s="77">
        <f t="shared" si="5"/>
        <v>0.125</v>
      </c>
      <c r="J32" s="77">
        <f t="shared" si="5"/>
        <v>2.5000000000000001E-3</v>
      </c>
      <c r="K32" s="77">
        <f t="shared" si="5"/>
        <v>1.2500000000000001E-2</v>
      </c>
      <c r="L32" s="77">
        <f t="shared" si="5"/>
        <v>0.05</v>
      </c>
      <c r="M32" s="77">
        <f t="shared" si="5"/>
        <v>0.05</v>
      </c>
      <c r="N32" s="77">
        <f t="shared" si="5"/>
        <v>0</v>
      </c>
      <c r="O32" s="77">
        <f t="shared" si="5"/>
        <v>0</v>
      </c>
      <c r="P32" s="77">
        <f t="shared" si="5"/>
        <v>60.75</v>
      </c>
      <c r="Q32" s="77">
        <f t="shared" ref="Q32:Q50" si="10">(IF(Q$27="%w/w SAR",((Q$28*10)*$B32),IF(Q$27="%w/w DM",(((Q$28*10)*($B$28/100))*$B32),IF(Q$27="kg/t SAR",(Q$28*$B32),IF(Q$27="kg/t DM",((Q$28*($B$28/100))*$B32),IF(Q$27="mg/kg SAR",((Q$28*0.001)*$B32),IF(Q$27="mg/kg DM",(((Q$28*0.001)*($B$28/100))*$B32),0)))))))*2.5</f>
        <v>23.125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7605</v>
      </c>
      <c r="B33" s="15">
        <v>250</v>
      </c>
      <c r="C33" s="77">
        <f t="shared" si="6"/>
        <v>50</v>
      </c>
      <c r="D33" s="77">
        <f t="shared" si="7"/>
        <v>27.7211</v>
      </c>
      <c r="E33" s="77">
        <f t="shared" si="8"/>
        <v>28.227125000000001</v>
      </c>
      <c r="F33" s="77">
        <f t="shared" si="9"/>
        <v>4.3936999999999999</v>
      </c>
      <c r="G33" s="77">
        <f t="shared" si="5"/>
        <v>6.25E-2</v>
      </c>
      <c r="H33" s="77">
        <f t="shared" si="5"/>
        <v>0.13500000000000001</v>
      </c>
      <c r="I33" s="77">
        <f t="shared" si="5"/>
        <v>0.125</v>
      </c>
      <c r="J33" s="77">
        <f t="shared" si="5"/>
        <v>2.5000000000000001E-3</v>
      </c>
      <c r="K33" s="77">
        <f t="shared" si="5"/>
        <v>1.2500000000000001E-2</v>
      </c>
      <c r="L33" s="77">
        <f t="shared" si="5"/>
        <v>0.05</v>
      </c>
      <c r="M33" s="77">
        <f t="shared" si="5"/>
        <v>0.05</v>
      </c>
      <c r="N33" s="77">
        <f t="shared" si="5"/>
        <v>0</v>
      </c>
      <c r="O33" s="77">
        <f t="shared" si="5"/>
        <v>0</v>
      </c>
      <c r="P33" s="77">
        <f t="shared" si="5"/>
        <v>60.75</v>
      </c>
      <c r="Q33" s="77">
        <f t="shared" si="10"/>
        <v>23.125</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3851</v>
      </c>
      <c r="B34" s="15">
        <v>250</v>
      </c>
      <c r="C34" s="77">
        <f t="shared" si="6"/>
        <v>50</v>
      </c>
      <c r="D34" s="77">
        <f t="shared" si="7"/>
        <v>27.7211</v>
      </c>
      <c r="E34" s="77">
        <f t="shared" si="8"/>
        <v>28.227125000000001</v>
      </c>
      <c r="F34" s="77">
        <f t="shared" si="9"/>
        <v>4.3936999999999999</v>
      </c>
      <c r="G34" s="77">
        <f t="shared" si="5"/>
        <v>6.25E-2</v>
      </c>
      <c r="H34" s="77">
        <f t="shared" si="5"/>
        <v>0.13500000000000001</v>
      </c>
      <c r="I34" s="77">
        <f t="shared" si="5"/>
        <v>0.125</v>
      </c>
      <c r="J34" s="77">
        <f t="shared" si="5"/>
        <v>2.5000000000000001E-3</v>
      </c>
      <c r="K34" s="77">
        <f t="shared" si="5"/>
        <v>1.2500000000000001E-2</v>
      </c>
      <c r="L34" s="77">
        <f t="shared" si="5"/>
        <v>0.05</v>
      </c>
      <c r="M34" s="77">
        <f t="shared" si="5"/>
        <v>0.05</v>
      </c>
      <c r="N34" s="77">
        <f t="shared" si="5"/>
        <v>0</v>
      </c>
      <c r="O34" s="77">
        <f t="shared" si="5"/>
        <v>0</v>
      </c>
      <c r="P34" s="77">
        <f t="shared" si="5"/>
        <v>60.75</v>
      </c>
      <c r="Q34" s="77">
        <f t="shared" si="10"/>
        <v>23.125</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6418</v>
      </c>
      <c r="B35" s="15">
        <v>250</v>
      </c>
      <c r="C35" s="77">
        <f t="shared" si="6"/>
        <v>50</v>
      </c>
      <c r="D35" s="77">
        <f t="shared" si="7"/>
        <v>27.7211</v>
      </c>
      <c r="E35" s="77">
        <f t="shared" si="8"/>
        <v>28.227125000000001</v>
      </c>
      <c r="F35" s="77">
        <f t="shared" si="9"/>
        <v>4.3936999999999999</v>
      </c>
      <c r="G35" s="77">
        <f t="shared" si="5"/>
        <v>6.25E-2</v>
      </c>
      <c r="H35" s="77">
        <f t="shared" si="5"/>
        <v>0.13500000000000001</v>
      </c>
      <c r="I35" s="77">
        <f t="shared" si="5"/>
        <v>0.125</v>
      </c>
      <c r="J35" s="77">
        <f t="shared" si="5"/>
        <v>2.5000000000000001E-3</v>
      </c>
      <c r="K35" s="77">
        <f t="shared" si="5"/>
        <v>1.2500000000000001E-2</v>
      </c>
      <c r="L35" s="77">
        <f t="shared" si="5"/>
        <v>0.05</v>
      </c>
      <c r="M35" s="77">
        <f t="shared" si="5"/>
        <v>0.05</v>
      </c>
      <c r="N35" s="77">
        <f t="shared" si="5"/>
        <v>0</v>
      </c>
      <c r="O35" s="77">
        <f t="shared" si="5"/>
        <v>0</v>
      </c>
      <c r="P35" s="77">
        <f t="shared" si="5"/>
        <v>60.75</v>
      </c>
      <c r="Q35" s="77">
        <f t="shared" si="10"/>
        <v>23.125</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1843</v>
      </c>
      <c r="B36" s="15">
        <v>250</v>
      </c>
      <c r="C36" s="77">
        <f t="shared" si="6"/>
        <v>50</v>
      </c>
      <c r="D36" s="77">
        <f t="shared" si="7"/>
        <v>27.7211</v>
      </c>
      <c r="E36" s="77">
        <f t="shared" si="8"/>
        <v>28.227125000000001</v>
      </c>
      <c r="F36" s="77">
        <f t="shared" si="9"/>
        <v>4.3936999999999999</v>
      </c>
      <c r="G36" s="77">
        <f t="shared" si="5"/>
        <v>6.25E-2</v>
      </c>
      <c r="H36" s="77">
        <f t="shared" si="5"/>
        <v>0.13500000000000001</v>
      </c>
      <c r="I36" s="77">
        <f t="shared" si="5"/>
        <v>0.125</v>
      </c>
      <c r="J36" s="77">
        <f t="shared" si="5"/>
        <v>2.5000000000000001E-3</v>
      </c>
      <c r="K36" s="77">
        <f t="shared" si="5"/>
        <v>1.2500000000000001E-2</v>
      </c>
      <c r="L36" s="77">
        <f t="shared" si="5"/>
        <v>0.05</v>
      </c>
      <c r="M36" s="77">
        <f t="shared" si="5"/>
        <v>0.05</v>
      </c>
      <c r="N36" s="77">
        <f t="shared" si="5"/>
        <v>0</v>
      </c>
      <c r="O36" s="77">
        <f t="shared" si="5"/>
        <v>0</v>
      </c>
      <c r="P36" s="77">
        <f t="shared" si="5"/>
        <v>60.75</v>
      </c>
      <c r="Q36" s="77">
        <f t="shared" si="10"/>
        <v>23.125</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5974</v>
      </c>
      <c r="B37" s="15">
        <v>250</v>
      </c>
      <c r="C37" s="77">
        <f t="shared" si="6"/>
        <v>50</v>
      </c>
      <c r="D37" s="77">
        <f t="shared" si="7"/>
        <v>27.7211</v>
      </c>
      <c r="E37" s="77">
        <f t="shared" si="8"/>
        <v>28.227125000000001</v>
      </c>
      <c r="F37" s="77">
        <f t="shared" si="9"/>
        <v>4.3936999999999999</v>
      </c>
      <c r="G37" s="77">
        <f t="shared" si="5"/>
        <v>6.25E-2</v>
      </c>
      <c r="H37" s="77">
        <f t="shared" si="5"/>
        <v>0.13500000000000001</v>
      </c>
      <c r="I37" s="77">
        <f t="shared" si="5"/>
        <v>0.125</v>
      </c>
      <c r="J37" s="77">
        <f t="shared" si="5"/>
        <v>2.5000000000000001E-3</v>
      </c>
      <c r="K37" s="77">
        <f t="shared" si="5"/>
        <v>1.2500000000000001E-2</v>
      </c>
      <c r="L37" s="77">
        <f t="shared" si="5"/>
        <v>0.05</v>
      </c>
      <c r="M37" s="77">
        <f t="shared" si="5"/>
        <v>0.05</v>
      </c>
      <c r="N37" s="77">
        <f t="shared" si="5"/>
        <v>0</v>
      </c>
      <c r="O37" s="77">
        <f t="shared" si="5"/>
        <v>0</v>
      </c>
      <c r="P37" s="77">
        <f t="shared" si="5"/>
        <v>60.75</v>
      </c>
      <c r="Q37" s="77">
        <f t="shared" si="10"/>
        <v>23.125</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5490</v>
      </c>
      <c r="B38" s="15">
        <v>250</v>
      </c>
      <c r="C38" s="77">
        <f t="shared" si="6"/>
        <v>50</v>
      </c>
      <c r="D38" s="77">
        <f t="shared" si="7"/>
        <v>27.7211</v>
      </c>
      <c r="E38" s="77">
        <f t="shared" si="8"/>
        <v>28.227125000000001</v>
      </c>
      <c r="F38" s="77">
        <f t="shared" si="9"/>
        <v>4.3936999999999999</v>
      </c>
      <c r="G38" s="77">
        <f t="shared" si="5"/>
        <v>6.25E-2</v>
      </c>
      <c r="H38" s="77">
        <f t="shared" si="5"/>
        <v>0.13500000000000001</v>
      </c>
      <c r="I38" s="77">
        <f t="shared" si="5"/>
        <v>0.125</v>
      </c>
      <c r="J38" s="77">
        <f t="shared" si="5"/>
        <v>2.5000000000000001E-3</v>
      </c>
      <c r="K38" s="77">
        <f t="shared" si="5"/>
        <v>1.2500000000000001E-2</v>
      </c>
      <c r="L38" s="77">
        <f t="shared" si="5"/>
        <v>0.05</v>
      </c>
      <c r="M38" s="77">
        <f t="shared" si="5"/>
        <v>0.05</v>
      </c>
      <c r="N38" s="77">
        <f t="shared" si="5"/>
        <v>0</v>
      </c>
      <c r="O38" s="77">
        <f t="shared" si="5"/>
        <v>0</v>
      </c>
      <c r="P38" s="77">
        <f t="shared" si="5"/>
        <v>60.75</v>
      </c>
      <c r="Q38" s="77">
        <f t="shared" si="10"/>
        <v>23.125</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2565</v>
      </c>
      <c r="B39" s="15">
        <v>250</v>
      </c>
      <c r="C39" s="77">
        <f t="shared" si="6"/>
        <v>50</v>
      </c>
      <c r="D39" s="77">
        <f t="shared" si="7"/>
        <v>27.7211</v>
      </c>
      <c r="E39" s="77">
        <f t="shared" si="8"/>
        <v>28.227125000000001</v>
      </c>
      <c r="F39" s="77">
        <f t="shared" si="9"/>
        <v>4.3936999999999999</v>
      </c>
      <c r="G39" s="77">
        <f t="shared" si="5"/>
        <v>6.25E-2</v>
      </c>
      <c r="H39" s="77">
        <f t="shared" si="5"/>
        <v>0.13500000000000001</v>
      </c>
      <c r="I39" s="77">
        <f t="shared" si="5"/>
        <v>0.125</v>
      </c>
      <c r="J39" s="77">
        <f t="shared" si="5"/>
        <v>2.5000000000000001E-3</v>
      </c>
      <c r="K39" s="77">
        <f t="shared" si="5"/>
        <v>1.2500000000000001E-2</v>
      </c>
      <c r="L39" s="77">
        <f t="shared" si="5"/>
        <v>0.05</v>
      </c>
      <c r="M39" s="77">
        <f t="shared" si="5"/>
        <v>0.05</v>
      </c>
      <c r="N39" s="77">
        <f t="shared" si="5"/>
        <v>0</v>
      </c>
      <c r="O39" s="77">
        <f t="shared" si="5"/>
        <v>0</v>
      </c>
      <c r="P39" s="77">
        <f t="shared" si="5"/>
        <v>60.75</v>
      </c>
      <c r="Q39" s="77">
        <f t="shared" si="10"/>
        <v>23.125</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7887</v>
      </c>
      <c r="B40" s="15">
        <v>250</v>
      </c>
      <c r="C40" s="77">
        <f t="shared" si="6"/>
        <v>50</v>
      </c>
      <c r="D40" s="77">
        <f t="shared" si="7"/>
        <v>27.7211</v>
      </c>
      <c r="E40" s="77">
        <f t="shared" si="8"/>
        <v>28.227125000000001</v>
      </c>
      <c r="F40" s="77">
        <f t="shared" si="9"/>
        <v>4.3936999999999999</v>
      </c>
      <c r="G40" s="77">
        <f t="shared" si="5"/>
        <v>6.25E-2</v>
      </c>
      <c r="H40" s="77">
        <f t="shared" si="5"/>
        <v>0.13500000000000001</v>
      </c>
      <c r="I40" s="77">
        <f t="shared" si="5"/>
        <v>0.125</v>
      </c>
      <c r="J40" s="77">
        <f t="shared" si="5"/>
        <v>2.5000000000000001E-3</v>
      </c>
      <c r="K40" s="77">
        <f t="shared" si="5"/>
        <v>1.2500000000000001E-2</v>
      </c>
      <c r="L40" s="77">
        <f t="shared" si="5"/>
        <v>0.05</v>
      </c>
      <c r="M40" s="77">
        <f t="shared" si="5"/>
        <v>0.05</v>
      </c>
      <c r="N40" s="77">
        <f t="shared" si="5"/>
        <v>0</v>
      </c>
      <c r="O40" s="77">
        <f t="shared" si="5"/>
        <v>0</v>
      </c>
      <c r="P40" s="77">
        <f t="shared" si="5"/>
        <v>60.75</v>
      </c>
      <c r="Q40" s="77">
        <f t="shared" si="10"/>
        <v>23.125</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2946</v>
      </c>
      <c r="B41" s="15">
        <v>250</v>
      </c>
      <c r="C41" s="77">
        <f t="shared" si="6"/>
        <v>50</v>
      </c>
      <c r="D41" s="77">
        <f t="shared" si="7"/>
        <v>27.7211</v>
      </c>
      <c r="E41" s="77">
        <f t="shared" si="8"/>
        <v>28.227125000000001</v>
      </c>
      <c r="F41" s="77">
        <f t="shared" si="9"/>
        <v>4.3936999999999999</v>
      </c>
      <c r="G41" s="77">
        <f t="shared" si="5"/>
        <v>6.25E-2</v>
      </c>
      <c r="H41" s="77">
        <f t="shared" si="5"/>
        <v>0.13500000000000001</v>
      </c>
      <c r="I41" s="77">
        <f t="shared" si="5"/>
        <v>0.125</v>
      </c>
      <c r="J41" s="77">
        <f t="shared" si="5"/>
        <v>2.5000000000000001E-3</v>
      </c>
      <c r="K41" s="77">
        <f t="shared" si="5"/>
        <v>1.2500000000000001E-2</v>
      </c>
      <c r="L41" s="77">
        <f t="shared" si="5"/>
        <v>0.05</v>
      </c>
      <c r="M41" s="77">
        <f t="shared" si="5"/>
        <v>0.05</v>
      </c>
      <c r="N41" s="77">
        <f t="shared" si="5"/>
        <v>0</v>
      </c>
      <c r="O41" s="77">
        <f t="shared" si="5"/>
        <v>0</v>
      </c>
      <c r="P41" s="77">
        <f t="shared" si="5"/>
        <v>60.75</v>
      </c>
      <c r="Q41" s="77">
        <f t="shared" si="10"/>
        <v>23.125</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2881</v>
      </c>
      <c r="B42" s="15">
        <v>250</v>
      </c>
      <c r="C42" s="77">
        <f t="shared" si="6"/>
        <v>50</v>
      </c>
      <c r="D42" s="77">
        <f t="shared" si="7"/>
        <v>27.7211</v>
      </c>
      <c r="E42" s="77">
        <f t="shared" si="8"/>
        <v>28.227125000000001</v>
      </c>
      <c r="F42" s="77">
        <f t="shared" si="9"/>
        <v>4.3936999999999999</v>
      </c>
      <c r="G42" s="77">
        <f t="shared" si="5"/>
        <v>6.25E-2</v>
      </c>
      <c r="H42" s="77">
        <f t="shared" si="5"/>
        <v>0.13500000000000001</v>
      </c>
      <c r="I42" s="77">
        <f t="shared" si="5"/>
        <v>0.125</v>
      </c>
      <c r="J42" s="77">
        <f t="shared" si="5"/>
        <v>2.5000000000000001E-3</v>
      </c>
      <c r="K42" s="77">
        <f t="shared" si="5"/>
        <v>1.2500000000000001E-2</v>
      </c>
      <c r="L42" s="77">
        <f t="shared" si="5"/>
        <v>0.05</v>
      </c>
      <c r="M42" s="77">
        <f t="shared" si="5"/>
        <v>0.05</v>
      </c>
      <c r="N42" s="77">
        <f t="shared" si="5"/>
        <v>0</v>
      </c>
      <c r="O42" s="77">
        <f t="shared" si="5"/>
        <v>0</v>
      </c>
      <c r="P42" s="77">
        <f t="shared" si="5"/>
        <v>60.75</v>
      </c>
      <c r="Q42" s="77">
        <f t="shared" si="10"/>
        <v>23.125</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3398</v>
      </c>
      <c r="B43" s="15">
        <v>250</v>
      </c>
      <c r="C43" s="77">
        <f t="shared" si="6"/>
        <v>50</v>
      </c>
      <c r="D43" s="77">
        <f t="shared" si="7"/>
        <v>27.7211</v>
      </c>
      <c r="E43" s="77">
        <f t="shared" si="8"/>
        <v>28.227125000000001</v>
      </c>
      <c r="F43" s="77">
        <f t="shared" si="9"/>
        <v>4.3936999999999999</v>
      </c>
      <c r="G43" s="77">
        <f t="shared" si="5"/>
        <v>6.25E-2</v>
      </c>
      <c r="H43" s="77">
        <f t="shared" si="5"/>
        <v>0.13500000000000001</v>
      </c>
      <c r="I43" s="77">
        <f t="shared" si="5"/>
        <v>0.125</v>
      </c>
      <c r="J43" s="77">
        <f t="shared" si="5"/>
        <v>2.5000000000000001E-3</v>
      </c>
      <c r="K43" s="77">
        <f t="shared" si="5"/>
        <v>1.2500000000000001E-2</v>
      </c>
      <c r="L43" s="77">
        <f t="shared" si="5"/>
        <v>0.05</v>
      </c>
      <c r="M43" s="77">
        <f t="shared" si="5"/>
        <v>0.05</v>
      </c>
      <c r="N43" s="77">
        <f t="shared" si="5"/>
        <v>0</v>
      </c>
      <c r="O43" s="77">
        <f t="shared" si="5"/>
        <v>0</v>
      </c>
      <c r="P43" s="77">
        <f t="shared" si="5"/>
        <v>60.75</v>
      </c>
      <c r="Q43" s="77">
        <f t="shared" si="10"/>
        <v>23.125</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5694</v>
      </c>
      <c r="B44" s="15">
        <v>250</v>
      </c>
      <c r="C44" s="77">
        <f t="shared" si="6"/>
        <v>50</v>
      </c>
      <c r="D44" s="77">
        <f t="shared" si="7"/>
        <v>27.7211</v>
      </c>
      <c r="E44" s="77">
        <f t="shared" si="8"/>
        <v>28.227125000000001</v>
      </c>
      <c r="F44" s="77">
        <f t="shared" si="9"/>
        <v>4.3936999999999999</v>
      </c>
      <c r="G44" s="77">
        <f t="shared" si="5"/>
        <v>6.25E-2</v>
      </c>
      <c r="H44" s="77">
        <f t="shared" si="5"/>
        <v>0.13500000000000001</v>
      </c>
      <c r="I44" s="77">
        <f t="shared" si="5"/>
        <v>0.125</v>
      </c>
      <c r="J44" s="77">
        <f t="shared" si="5"/>
        <v>2.5000000000000001E-3</v>
      </c>
      <c r="K44" s="77">
        <f t="shared" si="5"/>
        <v>1.2500000000000001E-2</v>
      </c>
      <c r="L44" s="77">
        <f t="shared" si="5"/>
        <v>0.05</v>
      </c>
      <c r="M44" s="77">
        <f t="shared" si="5"/>
        <v>0.05</v>
      </c>
      <c r="N44" s="77">
        <f t="shared" si="5"/>
        <v>0</v>
      </c>
      <c r="O44" s="77">
        <f t="shared" si="5"/>
        <v>0</v>
      </c>
      <c r="P44" s="77">
        <f t="shared" si="5"/>
        <v>60.75</v>
      </c>
      <c r="Q44" s="77">
        <f t="shared" si="10"/>
        <v>23.125</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2991</v>
      </c>
      <c r="B45" s="15">
        <v>250</v>
      </c>
      <c r="C45" s="77">
        <f t="shared" si="6"/>
        <v>50</v>
      </c>
      <c r="D45" s="77">
        <f t="shared" si="7"/>
        <v>27.7211</v>
      </c>
      <c r="E45" s="77">
        <f t="shared" si="8"/>
        <v>28.227125000000001</v>
      </c>
      <c r="F45" s="77">
        <f t="shared" si="9"/>
        <v>4.3936999999999999</v>
      </c>
      <c r="G45" s="77">
        <f t="shared" si="5"/>
        <v>6.25E-2</v>
      </c>
      <c r="H45" s="77">
        <f t="shared" si="5"/>
        <v>0.13500000000000001</v>
      </c>
      <c r="I45" s="77">
        <f t="shared" si="5"/>
        <v>0.125</v>
      </c>
      <c r="J45" s="77">
        <f t="shared" si="5"/>
        <v>2.5000000000000001E-3</v>
      </c>
      <c r="K45" s="77">
        <f t="shared" si="5"/>
        <v>1.2500000000000001E-2</v>
      </c>
      <c r="L45" s="77">
        <f t="shared" si="5"/>
        <v>0.05</v>
      </c>
      <c r="M45" s="77">
        <f t="shared" si="5"/>
        <v>0.05</v>
      </c>
      <c r="N45" s="77">
        <f t="shared" si="5"/>
        <v>0</v>
      </c>
      <c r="O45" s="77">
        <f t="shared" si="5"/>
        <v>0</v>
      </c>
      <c r="P45" s="77">
        <f t="shared" si="5"/>
        <v>60.75</v>
      </c>
      <c r="Q45" s="77">
        <f t="shared" si="10"/>
        <v>23.125</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3799</v>
      </c>
      <c r="B46" s="15">
        <v>250</v>
      </c>
      <c r="C46" s="77">
        <f t="shared" si="6"/>
        <v>50</v>
      </c>
      <c r="D46" s="77">
        <f t="shared" si="7"/>
        <v>27.7211</v>
      </c>
      <c r="E46" s="77">
        <f t="shared" si="8"/>
        <v>28.227125000000001</v>
      </c>
      <c r="F46" s="77">
        <f t="shared" si="9"/>
        <v>4.3936999999999999</v>
      </c>
      <c r="G46" s="77">
        <f t="shared" si="5"/>
        <v>6.25E-2</v>
      </c>
      <c r="H46" s="77">
        <f t="shared" si="5"/>
        <v>0.13500000000000001</v>
      </c>
      <c r="I46" s="77">
        <f t="shared" si="5"/>
        <v>0.125</v>
      </c>
      <c r="J46" s="77">
        <f t="shared" si="5"/>
        <v>2.5000000000000001E-3</v>
      </c>
      <c r="K46" s="77">
        <f t="shared" si="5"/>
        <v>1.2500000000000001E-2</v>
      </c>
      <c r="L46" s="77">
        <f t="shared" si="5"/>
        <v>0.05</v>
      </c>
      <c r="M46" s="77">
        <f t="shared" si="5"/>
        <v>0.05</v>
      </c>
      <c r="N46" s="77">
        <f t="shared" si="5"/>
        <v>0</v>
      </c>
      <c r="O46" s="77">
        <f t="shared" si="5"/>
        <v>0</v>
      </c>
      <c r="P46" s="77">
        <f t="shared" si="5"/>
        <v>60.75</v>
      </c>
      <c r="Q46" s="77">
        <f t="shared" si="10"/>
        <v>23.125</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5813</v>
      </c>
      <c r="B47" s="15">
        <v>250</v>
      </c>
      <c r="C47" s="77">
        <f t="shared" si="6"/>
        <v>50</v>
      </c>
      <c r="D47" s="77">
        <f t="shared" si="7"/>
        <v>27.7211</v>
      </c>
      <c r="E47" s="77">
        <f t="shared" si="8"/>
        <v>28.227125000000001</v>
      </c>
      <c r="F47" s="77">
        <f t="shared" si="9"/>
        <v>4.3936999999999999</v>
      </c>
      <c r="G47" s="77">
        <f t="shared" ref="G47:P50" si="12">IF(G$27="%w/w SAR",((G$28*10)*$B47),IF(G$27="%w/w DM",(((G$28*10)*($B$28/100))*$B47),IF(G$27="kg/t SAR",(G$28*$B47),IF(G$27="kg/t DM",((G$28*($B$28/100))*$B47),IF(G$27="mg/kg SAR",((G$28*0.001)*$B47),IF(G$27="mg/kg DM",(((G$28*0.001)*($B$28/100))*$B47),0))))))</f>
        <v>6.25E-2</v>
      </c>
      <c r="H47" s="77">
        <f t="shared" si="12"/>
        <v>0.13500000000000001</v>
      </c>
      <c r="I47" s="77">
        <f t="shared" si="12"/>
        <v>0.125</v>
      </c>
      <c r="J47" s="77">
        <f t="shared" si="12"/>
        <v>2.5000000000000001E-3</v>
      </c>
      <c r="K47" s="77">
        <f t="shared" si="12"/>
        <v>1.2500000000000001E-2</v>
      </c>
      <c r="L47" s="77">
        <f t="shared" si="12"/>
        <v>0.05</v>
      </c>
      <c r="M47" s="77">
        <f t="shared" si="12"/>
        <v>0.05</v>
      </c>
      <c r="N47" s="77">
        <f t="shared" si="12"/>
        <v>0</v>
      </c>
      <c r="O47" s="77">
        <f t="shared" si="12"/>
        <v>0</v>
      </c>
      <c r="P47" s="77">
        <f t="shared" si="12"/>
        <v>60.75</v>
      </c>
      <c r="Q47" s="77">
        <f t="shared" si="10"/>
        <v>23.125</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1390</v>
      </c>
      <c r="B48" s="15">
        <v>250</v>
      </c>
      <c r="C48" s="77">
        <f t="shared" si="6"/>
        <v>50</v>
      </c>
      <c r="D48" s="77">
        <f t="shared" si="7"/>
        <v>27.7211</v>
      </c>
      <c r="E48" s="77">
        <f t="shared" si="8"/>
        <v>28.227125000000001</v>
      </c>
      <c r="F48" s="77">
        <f t="shared" si="9"/>
        <v>4.3936999999999999</v>
      </c>
      <c r="G48" s="77">
        <f t="shared" si="12"/>
        <v>6.25E-2</v>
      </c>
      <c r="H48" s="77">
        <f t="shared" si="12"/>
        <v>0.13500000000000001</v>
      </c>
      <c r="I48" s="77">
        <f t="shared" si="12"/>
        <v>0.125</v>
      </c>
      <c r="J48" s="77">
        <f t="shared" si="12"/>
        <v>2.5000000000000001E-3</v>
      </c>
      <c r="K48" s="77">
        <f t="shared" si="12"/>
        <v>1.2500000000000001E-2</v>
      </c>
      <c r="L48" s="77">
        <f t="shared" si="12"/>
        <v>0.05</v>
      </c>
      <c r="M48" s="77">
        <f t="shared" si="12"/>
        <v>0.05</v>
      </c>
      <c r="N48" s="77">
        <f t="shared" si="12"/>
        <v>0</v>
      </c>
      <c r="O48" s="77">
        <f t="shared" si="12"/>
        <v>0</v>
      </c>
      <c r="P48" s="77">
        <f t="shared" si="12"/>
        <v>60.75</v>
      </c>
      <c r="Q48" s="77">
        <f t="shared" si="10"/>
        <v>23.125</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9596</v>
      </c>
      <c r="B49" s="15">
        <v>250</v>
      </c>
      <c r="C49" s="77">
        <f t="shared" si="6"/>
        <v>50</v>
      </c>
      <c r="D49" s="77">
        <f t="shared" si="7"/>
        <v>27.7211</v>
      </c>
      <c r="E49" s="77">
        <f t="shared" si="8"/>
        <v>28.227125000000001</v>
      </c>
      <c r="F49" s="77">
        <f t="shared" si="9"/>
        <v>4.3936999999999999</v>
      </c>
      <c r="G49" s="77">
        <f t="shared" si="12"/>
        <v>6.25E-2</v>
      </c>
      <c r="H49" s="77">
        <f t="shared" si="12"/>
        <v>0.13500000000000001</v>
      </c>
      <c r="I49" s="77">
        <f t="shared" si="12"/>
        <v>0.125</v>
      </c>
      <c r="J49" s="77">
        <f t="shared" si="12"/>
        <v>2.5000000000000001E-3</v>
      </c>
      <c r="K49" s="77">
        <f t="shared" si="12"/>
        <v>1.2500000000000001E-2</v>
      </c>
      <c r="L49" s="77">
        <f t="shared" si="12"/>
        <v>0.05</v>
      </c>
      <c r="M49" s="77">
        <f t="shared" si="12"/>
        <v>0.05</v>
      </c>
      <c r="N49" s="77">
        <f t="shared" si="12"/>
        <v>0</v>
      </c>
      <c r="O49" s="77">
        <f t="shared" si="12"/>
        <v>0</v>
      </c>
      <c r="P49" s="77">
        <f t="shared" si="12"/>
        <v>60.75</v>
      </c>
      <c r="Q49" s="77">
        <f t="shared" si="10"/>
        <v>23.125</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716</v>
      </c>
      <c r="B50" s="15">
        <v>250</v>
      </c>
      <c r="C50" s="98">
        <f t="shared" si="6"/>
        <v>50</v>
      </c>
      <c r="D50" s="98">
        <f t="shared" si="7"/>
        <v>27.7211</v>
      </c>
      <c r="E50" s="98">
        <f t="shared" si="8"/>
        <v>28.227125000000001</v>
      </c>
      <c r="F50" s="98">
        <f t="shared" si="9"/>
        <v>4.3936999999999999</v>
      </c>
      <c r="G50" s="98">
        <f t="shared" si="12"/>
        <v>6.25E-2</v>
      </c>
      <c r="H50" s="98">
        <f t="shared" si="12"/>
        <v>0.13500000000000001</v>
      </c>
      <c r="I50" s="98">
        <f t="shared" si="12"/>
        <v>0.125</v>
      </c>
      <c r="J50" s="98">
        <f t="shared" si="12"/>
        <v>2.5000000000000001E-3</v>
      </c>
      <c r="K50" s="98">
        <f t="shared" si="12"/>
        <v>1.2500000000000001E-2</v>
      </c>
      <c r="L50" s="98">
        <f t="shared" si="12"/>
        <v>0.05</v>
      </c>
      <c r="M50" s="98">
        <f t="shared" si="12"/>
        <v>0.05</v>
      </c>
      <c r="N50" s="98">
        <f t="shared" si="12"/>
        <v>0</v>
      </c>
      <c r="O50" s="98">
        <f t="shared" si="12"/>
        <v>0</v>
      </c>
      <c r="P50" s="98">
        <f t="shared" si="12"/>
        <v>60.75</v>
      </c>
      <c r="Q50" s="98">
        <f t="shared" si="10"/>
        <v>23.125</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5905</v>
      </c>
      <c r="C57" s="8">
        <f t="shared" ref="C57:U57" si="13">D8</f>
        <v>4279</v>
      </c>
      <c r="D57" s="8">
        <f t="shared" si="13"/>
        <v>7605</v>
      </c>
      <c r="E57" s="8">
        <f t="shared" si="13"/>
        <v>3851</v>
      </c>
      <c r="F57" s="8">
        <f t="shared" si="13"/>
        <v>6418</v>
      </c>
      <c r="G57" s="8">
        <f t="shared" si="13"/>
        <v>1843</v>
      </c>
      <c r="H57" s="8">
        <f t="shared" si="13"/>
        <v>5974</v>
      </c>
      <c r="I57" s="8">
        <f t="shared" si="13"/>
        <v>5490</v>
      </c>
      <c r="J57" s="8">
        <f t="shared" si="13"/>
        <v>2565</v>
      </c>
      <c r="K57" s="8">
        <f t="shared" si="13"/>
        <v>7887</v>
      </c>
      <c r="L57" s="8">
        <f t="shared" si="13"/>
        <v>2946</v>
      </c>
      <c r="M57" s="8">
        <f t="shared" si="13"/>
        <v>2881</v>
      </c>
      <c r="N57" s="8">
        <f t="shared" si="13"/>
        <v>3398</v>
      </c>
      <c r="O57" s="8">
        <f t="shared" si="13"/>
        <v>5694</v>
      </c>
      <c r="P57" s="8">
        <f t="shared" si="13"/>
        <v>2991</v>
      </c>
      <c r="Q57" s="8">
        <f t="shared" si="13"/>
        <v>3799</v>
      </c>
      <c r="R57" s="8">
        <f t="shared" si="13"/>
        <v>5813</v>
      </c>
      <c r="S57" s="8">
        <f t="shared" si="13"/>
        <v>1390</v>
      </c>
      <c r="T57" s="8">
        <f t="shared" si="13"/>
        <v>9596</v>
      </c>
      <c r="U57" s="8">
        <f t="shared" si="13"/>
        <v>716</v>
      </c>
    </row>
    <row r="58" spans="1:35" s="19" customFormat="1" x14ac:dyDescent="0.25">
      <c r="A58" s="92" t="s">
        <v>136</v>
      </c>
      <c r="B58" s="13" t="str">
        <f>C16&amp;" I "&amp;(VLOOKUP(C14,Table245810[],6,FALSE))</f>
        <v>Medium/Clay I Grass</v>
      </c>
      <c r="C58" s="13" t="str">
        <f>D16&amp;" I "&amp;(VLOOKUP(D14,Table245810[],6,FALSE))</f>
        <v>Medium/Clay I Grass</v>
      </c>
      <c r="D58" s="13" t="str">
        <f>E16&amp;" I "&amp;(VLOOKUP(E14,Table245810[],6,FALSE))</f>
        <v>Medium/Clay I Grass</v>
      </c>
      <c r="E58" s="13" t="str">
        <f>F16&amp;" I "&amp;(VLOOKUP(F14,Table245810[],6,FALSE))</f>
        <v>Medium/Clay I Grass</v>
      </c>
      <c r="F58" s="13" t="str">
        <f>G16&amp;" I "&amp;(VLOOKUP(G14,Table245810[],6,FALSE))</f>
        <v>Medium/Clay I Grass</v>
      </c>
      <c r="G58" s="13" t="str">
        <f>H16&amp;" I "&amp;(VLOOKUP(H14,Table245810[],6,FALSE))</f>
        <v>Medium/Clay I Grass</v>
      </c>
      <c r="H58" s="13" t="str">
        <f>I16&amp;" I "&amp;(VLOOKUP(I14,Table245810[],6,FALSE))</f>
        <v>Medium/Clay I Grass</v>
      </c>
      <c r="I58" s="13" t="str">
        <f>J16&amp;" I "&amp;(VLOOKUP(J14,Table245810[],6,FALSE))</f>
        <v>Medium/Clay I Grass</v>
      </c>
      <c r="J58" s="13" t="str">
        <f>K16&amp;" I "&amp;(VLOOKUP(K14,Table245810[],6,FALSE))</f>
        <v>Medium/Clay I Grass</v>
      </c>
      <c r="K58" s="13" t="str">
        <f>L16&amp;" I "&amp;(VLOOKUP(L14,Table245810[],6,FALSE))</f>
        <v>Medium/Clay I Grass</v>
      </c>
      <c r="L58" s="13" t="str">
        <f>M16&amp;" I "&amp;(VLOOKUP(M14,Table245810[],6,FALSE))</f>
        <v>Medium/Clay I Grass</v>
      </c>
      <c r="M58" s="13" t="str">
        <f>N16&amp;" I "&amp;(VLOOKUP(N14,Table245810[],6,FALSE))</f>
        <v>Medium/Clay I Grass</v>
      </c>
      <c r="N58" s="13" t="str">
        <f>O16&amp;" I "&amp;(VLOOKUP(O14,Table245810[],6,FALSE))</f>
        <v>Medium/Clay I Grass</v>
      </c>
      <c r="O58" s="13" t="str">
        <f>P16&amp;" I "&amp;(VLOOKUP(P14,Table245810[],6,FALSE))</f>
        <v>Medium/Clay I Grass</v>
      </c>
      <c r="P58" s="13" t="str">
        <f>Q16&amp;" I "&amp;(VLOOKUP(Q14,Table245810[],6,FALSE))</f>
        <v>Medium/Clay I Grass</v>
      </c>
      <c r="Q58" s="13" t="str">
        <f>R16&amp;" I "&amp;(VLOOKUP(R14,Table245810[],6,FALSE))</f>
        <v>Medium/Clay I Grass</v>
      </c>
      <c r="R58" s="13" t="str">
        <f>S16&amp;" I "&amp;(VLOOKUP(S14,Table245810[],6,FALSE))</f>
        <v>Medium/Clay I Grass</v>
      </c>
      <c r="S58" s="13" t="str">
        <f>T16&amp;" I "&amp;(VLOOKUP(T14,Table245810[],6,FALSE))</f>
        <v>Medium/Clay I Grass</v>
      </c>
      <c r="T58" s="13" t="str">
        <f>U16&amp;" I "&amp;(VLOOKUP(U14,Table245810[],6,FALSE))</f>
        <v>Medium/Clay I Grass</v>
      </c>
      <c r="U58" s="13" t="str">
        <f>V16&amp;" I "&amp;(VLOOKUP(V14,Table245810[],6,FALSE))</f>
        <v>Medium/Clay I Grass</v>
      </c>
    </row>
    <row r="59" spans="1:35" s="19" customFormat="1" x14ac:dyDescent="0.2">
      <c r="A59" s="111" t="s">
        <v>132</v>
      </c>
      <c r="B59" s="76">
        <f>VLOOKUP(C$14,Table245810[],5,FALSE)</f>
        <v>6.2</v>
      </c>
      <c r="C59" s="76">
        <f>VLOOKUP(D$14,Table245810[],5,FALSE)</f>
        <v>6.2</v>
      </c>
      <c r="D59" s="76">
        <f>VLOOKUP(E$14,Table245810[],5,FALSE)</f>
        <v>6.2</v>
      </c>
      <c r="E59" s="76">
        <f>VLOOKUP(F$14,Table245810[],5,FALSE)</f>
        <v>6.2</v>
      </c>
      <c r="F59" s="76">
        <f>VLOOKUP(G$14,Table245810[],5,FALSE)</f>
        <v>6.2</v>
      </c>
      <c r="G59" s="76">
        <f>VLOOKUP(H$14,Table245810[],5,FALSE)</f>
        <v>6.2</v>
      </c>
      <c r="H59" s="76">
        <f>VLOOKUP(I$14,Table245810[],5,FALSE)</f>
        <v>6.2</v>
      </c>
      <c r="I59" s="76">
        <f>VLOOKUP(J$14,Table245810[],5,FALSE)</f>
        <v>6.2</v>
      </c>
      <c r="J59" s="76">
        <f>VLOOKUP(K$14,Table245810[],5,FALSE)</f>
        <v>6.2</v>
      </c>
      <c r="K59" s="76">
        <f>VLOOKUP(L$14,Table245810[],5,FALSE)</f>
        <v>6.2</v>
      </c>
      <c r="L59" s="76">
        <f>VLOOKUP(M$14,Table245810[],5,FALSE)</f>
        <v>6.2</v>
      </c>
      <c r="M59" s="76">
        <f>VLOOKUP(N$14,Table245810[],5,FALSE)</f>
        <v>6.2</v>
      </c>
      <c r="N59" s="76">
        <f>VLOOKUP(O$14,Table245810[],5,FALSE)</f>
        <v>6.2</v>
      </c>
      <c r="O59" s="76">
        <f>VLOOKUP(P$14,Table245810[],5,FALSE)</f>
        <v>6.2</v>
      </c>
      <c r="P59" s="76">
        <f>VLOOKUP(Q$14,Table245810[],5,FALSE)</f>
        <v>6.2</v>
      </c>
      <c r="Q59" s="76">
        <f>VLOOKUP(R$14,Table245810[],5,FALSE)</f>
        <v>6.2</v>
      </c>
      <c r="R59" s="76">
        <f>VLOOKUP(S$14,Table245810[],5,FALSE)</f>
        <v>6.2</v>
      </c>
      <c r="S59" s="76">
        <f>VLOOKUP(T$14,Table245810[],5,FALSE)</f>
        <v>6.2</v>
      </c>
      <c r="T59" s="76">
        <f>VLOOKUP(U$14,Table245810[],5,FALSE)</f>
        <v>6.2</v>
      </c>
      <c r="U59" s="76">
        <f>VLOOKUP(V$14,Table245810[],5,FALSE)</f>
        <v>6.2</v>
      </c>
    </row>
    <row r="60" spans="1:35" s="19" customFormat="1" x14ac:dyDescent="0.2">
      <c r="A60" s="111" t="s">
        <v>4</v>
      </c>
      <c r="B60" s="76">
        <f>C10</f>
        <v>6.2</v>
      </c>
      <c r="C60" s="76">
        <f t="shared" ref="C60:U60" si="14">D10</f>
        <v>5.6</v>
      </c>
      <c r="D60" s="76">
        <f t="shared" si="14"/>
        <v>6.3</v>
      </c>
      <c r="E60" s="76">
        <f t="shared" si="14"/>
        <v>6</v>
      </c>
      <c r="F60" s="76">
        <f t="shared" si="14"/>
        <v>5.8</v>
      </c>
      <c r="G60" s="76">
        <f t="shared" si="14"/>
        <v>5.3</v>
      </c>
      <c r="H60" s="76">
        <f t="shared" si="14"/>
        <v>6</v>
      </c>
      <c r="I60" s="76">
        <f t="shared" si="14"/>
        <v>6.1</v>
      </c>
      <c r="J60" s="76">
        <f t="shared" si="14"/>
        <v>5.5</v>
      </c>
      <c r="K60" s="76">
        <f t="shared" si="14"/>
        <v>6.1</v>
      </c>
      <c r="L60" s="76">
        <f t="shared" si="14"/>
        <v>5.5</v>
      </c>
      <c r="M60" s="76">
        <f t="shared" si="14"/>
        <v>5.6</v>
      </c>
      <c r="N60" s="76">
        <f t="shared" si="14"/>
        <v>5.9</v>
      </c>
      <c r="O60" s="76">
        <f t="shared" si="14"/>
        <v>6.5</v>
      </c>
      <c r="P60" s="76">
        <f t="shared" si="14"/>
        <v>5.7</v>
      </c>
      <c r="Q60" s="76">
        <f t="shared" si="14"/>
        <v>6.4</v>
      </c>
      <c r="R60" s="76">
        <f t="shared" si="14"/>
        <v>6.7</v>
      </c>
      <c r="S60" s="76">
        <f t="shared" si="14"/>
        <v>5.4</v>
      </c>
      <c r="T60" s="76">
        <f t="shared" si="14"/>
        <v>5.5</v>
      </c>
      <c r="U60" s="76">
        <f t="shared" si="14"/>
        <v>6.4</v>
      </c>
    </row>
    <row r="61" spans="1:35" s="19" customFormat="1" x14ac:dyDescent="0.2">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f t="shared" si="15"/>
        <v>6</v>
      </c>
      <c r="R61" s="76">
        <f t="shared" si="15"/>
        <v>6</v>
      </c>
      <c r="S61" s="76">
        <f t="shared" si="15"/>
        <v>6</v>
      </c>
      <c r="T61" s="76">
        <f t="shared" si="15"/>
        <v>6</v>
      </c>
      <c r="U61" s="76">
        <f t="shared" si="15"/>
        <v>6</v>
      </c>
    </row>
    <row r="62" spans="1:35" s="19" customFormat="1" x14ac:dyDescent="0.2">
      <c r="A62" s="111" t="s">
        <v>134</v>
      </c>
      <c r="B62" s="77">
        <f>B31</f>
        <v>250</v>
      </c>
      <c r="C62" s="77">
        <f>B32</f>
        <v>250</v>
      </c>
      <c r="D62" s="77">
        <f>B33</f>
        <v>250</v>
      </c>
      <c r="E62" s="77">
        <f>B34</f>
        <v>250</v>
      </c>
      <c r="F62" s="77">
        <f>B35</f>
        <v>250</v>
      </c>
      <c r="G62" s="77">
        <f>B36</f>
        <v>250</v>
      </c>
      <c r="H62" s="77">
        <f>B37</f>
        <v>250</v>
      </c>
      <c r="I62" s="77">
        <f>B38</f>
        <v>250</v>
      </c>
      <c r="J62" s="77">
        <f>B39</f>
        <v>250</v>
      </c>
      <c r="K62" s="77">
        <f>B40</f>
        <v>250</v>
      </c>
      <c r="L62" s="77">
        <f>B41</f>
        <v>250</v>
      </c>
      <c r="M62" s="77">
        <f>B42</f>
        <v>250</v>
      </c>
      <c r="N62" s="77">
        <f>B43</f>
        <v>250</v>
      </c>
      <c r="O62" s="77">
        <f>B44</f>
        <v>250</v>
      </c>
      <c r="P62" s="77">
        <f>B45</f>
        <v>250</v>
      </c>
      <c r="Q62" s="77">
        <f>B46</f>
        <v>250</v>
      </c>
      <c r="R62" s="77">
        <f>B47</f>
        <v>250</v>
      </c>
      <c r="S62" s="77">
        <f>B48</f>
        <v>250</v>
      </c>
      <c r="T62" s="77">
        <f>B49</f>
        <v>250</v>
      </c>
      <c r="U62" s="77">
        <f>B50</f>
        <v>250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0</v>
      </c>
      <c r="C64" s="77">
        <f t="shared" ref="C64:U64" si="17">(C59-C60)*C61</f>
        <v>3.6000000000000032</v>
      </c>
      <c r="D64" s="77">
        <f t="shared" si="17"/>
        <v>-0.59999999999999787</v>
      </c>
      <c r="E64" s="77">
        <f t="shared" si="17"/>
        <v>1.2000000000000011</v>
      </c>
      <c r="F64" s="77">
        <f t="shared" si="17"/>
        <v>2.4000000000000021</v>
      </c>
      <c r="G64" s="77">
        <f t="shared" si="17"/>
        <v>5.4000000000000021</v>
      </c>
      <c r="H64" s="77">
        <f t="shared" si="17"/>
        <v>1.2000000000000011</v>
      </c>
      <c r="I64" s="77">
        <f t="shared" si="17"/>
        <v>0.6000000000000032</v>
      </c>
      <c r="J64" s="77">
        <f t="shared" si="17"/>
        <v>4.2000000000000011</v>
      </c>
      <c r="K64" s="77">
        <f t="shared" si="17"/>
        <v>0.6000000000000032</v>
      </c>
      <c r="L64" s="77">
        <f t="shared" si="17"/>
        <v>4.2000000000000011</v>
      </c>
      <c r="M64" s="77">
        <f t="shared" si="17"/>
        <v>3.6000000000000032</v>
      </c>
      <c r="N64" s="77">
        <f t="shared" si="17"/>
        <v>1.7999999999999989</v>
      </c>
      <c r="O64" s="77">
        <f t="shared" si="17"/>
        <v>-1.7999999999999989</v>
      </c>
      <c r="P64" s="77">
        <f t="shared" si="17"/>
        <v>3</v>
      </c>
      <c r="Q64" s="77">
        <f t="shared" si="17"/>
        <v>-1.2000000000000011</v>
      </c>
      <c r="R64" s="77">
        <f t="shared" si="17"/>
        <v>-3</v>
      </c>
      <c r="S64" s="77">
        <f t="shared" si="17"/>
        <v>4.7999999999999989</v>
      </c>
      <c r="T64" s="77">
        <f t="shared" si="17"/>
        <v>4.2000000000000011</v>
      </c>
      <c r="U64" s="77">
        <f t="shared" si="17"/>
        <v>-1.2000000000000011</v>
      </c>
    </row>
    <row r="65" spans="1:21" s="19" customFormat="1" ht="51" x14ac:dyDescent="0.2">
      <c r="A65" s="112" t="s">
        <v>157</v>
      </c>
      <c r="B65" s="77">
        <f>B63-B64</f>
        <v>0</v>
      </c>
      <c r="C65" s="77">
        <f t="shared" ref="C65:U65" si="18">C63-C64</f>
        <v>-3.6000000000000032</v>
      </c>
      <c r="D65" s="77">
        <f t="shared" si="18"/>
        <v>0.59999999999999787</v>
      </c>
      <c r="E65" s="77">
        <f t="shared" si="18"/>
        <v>-1.2000000000000011</v>
      </c>
      <c r="F65" s="77">
        <f t="shared" si="18"/>
        <v>-2.4000000000000021</v>
      </c>
      <c r="G65" s="77">
        <f t="shared" si="18"/>
        <v>-5.4000000000000021</v>
      </c>
      <c r="H65" s="77">
        <f t="shared" si="18"/>
        <v>-1.2000000000000011</v>
      </c>
      <c r="I65" s="77">
        <f t="shared" si="18"/>
        <v>-0.6000000000000032</v>
      </c>
      <c r="J65" s="77">
        <f t="shared" si="18"/>
        <v>-4.2000000000000011</v>
      </c>
      <c r="K65" s="77">
        <f t="shared" si="18"/>
        <v>-0.6000000000000032</v>
      </c>
      <c r="L65" s="77">
        <f t="shared" si="18"/>
        <v>-4.2000000000000011</v>
      </c>
      <c r="M65" s="77">
        <f t="shared" si="18"/>
        <v>-3.6000000000000032</v>
      </c>
      <c r="N65" s="77">
        <f t="shared" si="18"/>
        <v>-1.7999999999999989</v>
      </c>
      <c r="O65" s="77">
        <f t="shared" si="18"/>
        <v>1.7999999999999989</v>
      </c>
      <c r="P65" s="77">
        <f t="shared" si="18"/>
        <v>-3</v>
      </c>
      <c r="Q65" s="77">
        <f t="shared" si="18"/>
        <v>1.2000000000000011</v>
      </c>
      <c r="R65" s="77">
        <f t="shared" si="18"/>
        <v>3</v>
      </c>
      <c r="S65" s="77">
        <f t="shared" si="18"/>
        <v>-4.7999999999999989</v>
      </c>
      <c r="T65" s="77">
        <f t="shared" si="18"/>
        <v>-4.2000000000000011</v>
      </c>
      <c r="U65" s="77">
        <f t="shared" si="18"/>
        <v>1.2000000000000011</v>
      </c>
    </row>
    <row r="66" spans="1:21" s="19" customFormat="1" ht="38.25" x14ac:dyDescent="0.2">
      <c r="A66" s="112" t="s">
        <v>148</v>
      </c>
      <c r="B66" s="78" t="str">
        <f>IF(B64&lt;=B63,"OVER","UNDER")</f>
        <v>OVER</v>
      </c>
      <c r="C66" s="78" t="str">
        <f t="shared" ref="C66:U66" si="19">IF(C64&lt;=C63,"OVER","UNDER")</f>
        <v>UNDER</v>
      </c>
      <c r="D66" s="78" t="str">
        <f t="shared" si="19"/>
        <v>OVER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str">
        <f t="shared" si="19"/>
        <v>UNDER</v>
      </c>
      <c r="N66" s="78" t="str">
        <f t="shared" si="19"/>
        <v>UNDER</v>
      </c>
      <c r="O66" s="78" t="str">
        <f t="shared" si="19"/>
        <v>OVER</v>
      </c>
      <c r="P66" s="78" t="str">
        <f t="shared" si="19"/>
        <v>UNDER</v>
      </c>
      <c r="Q66" s="78" t="str">
        <f t="shared" si="19"/>
        <v>OVER</v>
      </c>
      <c r="R66" s="78" t="str">
        <f t="shared" si="19"/>
        <v>OVER</v>
      </c>
      <c r="S66" s="78" t="str">
        <f t="shared" si="19"/>
        <v>UNDER</v>
      </c>
      <c r="T66" s="78" t="str">
        <f t="shared" si="19"/>
        <v>UNDER</v>
      </c>
      <c r="U66" s="78" t="str">
        <f t="shared" si="19"/>
        <v>OVER</v>
      </c>
    </row>
  </sheetData>
  <sheetProtection algorithmName="SHA-512" hashValue="3XaHORpvb0EY7PRrhJxVizwLE/iUZms/O8cPPPiyB58op7QyRvqOXNzOruKcfszSBAm2hl7G2p2YdleQn3WMjw==" saltValue="C0fXVgIDClAn5+hkdNZV1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09" priority="37" operator="equal">
      <formula>"DECREASE"</formula>
    </cfRule>
    <cfRule type="cellIs" dxfId="208" priority="38" operator="equal">
      <formula>"INCREASE"</formula>
    </cfRule>
  </conditionalFormatting>
  <conditionalFormatting sqref="B62:U66 B31:B50">
    <cfRule type="cellIs" dxfId="207" priority="36" operator="greaterThan">
      <formula>$B$51</formula>
    </cfRule>
  </conditionalFormatting>
  <conditionalFormatting sqref="C31:C50">
    <cfRule type="cellIs" dxfId="206" priority="35" operator="greaterThan">
      <formula>$C$51</formula>
    </cfRule>
  </conditionalFormatting>
  <conditionalFormatting sqref="C18:V18">
    <cfRule type="cellIs" dxfId="205" priority="34" operator="equal">
      <formula>0</formula>
    </cfRule>
  </conditionalFormatting>
  <conditionalFormatting sqref="C17:V17">
    <cfRule type="cellIs" dxfId="204" priority="33" operator="equal">
      <formula>0</formula>
    </cfRule>
  </conditionalFormatting>
  <conditionalFormatting sqref="C19:V19">
    <cfRule type="cellIs" dxfId="203" priority="32"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8" operator="greaterThan">
      <formula>$K$51</formula>
    </cfRule>
  </conditionalFormatting>
  <conditionalFormatting sqref="L31:L50">
    <cfRule type="cellIs" dxfId="198" priority="27" operator="greaterThan">
      <formula>$L$51</formula>
    </cfRule>
  </conditionalFormatting>
  <conditionalFormatting sqref="M31:M50">
    <cfRule type="cellIs" dxfId="197" priority="26" operator="greaterThan">
      <formula>$M$51</formula>
    </cfRule>
  </conditionalFormatting>
  <conditionalFormatting sqref="P31:P50">
    <cfRule type="cellIs" dxfId="196" priority="25" operator="greaterThan">
      <formula>$P$51</formula>
    </cfRule>
  </conditionalFormatting>
  <conditionalFormatting sqref="R31:R50">
    <cfRule type="cellIs" dxfId="195" priority="24" operator="greaterThan">
      <formula>$R$51</formula>
    </cfRule>
  </conditionalFormatting>
  <conditionalFormatting sqref="S31:S50">
    <cfRule type="cellIs" dxfId="194" priority="23" operator="greaterThan">
      <formula>$S$51</formula>
    </cfRule>
  </conditionalFormatting>
  <conditionalFormatting sqref="T31:T50">
    <cfRule type="cellIs" dxfId="193" priority="22" operator="greaterThan">
      <formula>$T$51</formula>
    </cfRule>
  </conditionalFormatting>
  <conditionalFormatting sqref="U31:U50">
    <cfRule type="cellIs" dxfId="192" priority="21" operator="greaterThan">
      <formula>$U$51</formula>
    </cfRule>
  </conditionalFormatting>
  <conditionalFormatting sqref="C22:V22">
    <cfRule type="cellIs" dxfId="191" priority="20" operator="equal">
      <formula>0</formula>
    </cfRule>
  </conditionalFormatting>
  <conditionalFormatting sqref="C24:V24">
    <cfRule type="cellIs" dxfId="190" priority="18" operator="equal">
      <formula>"DECREASE"</formula>
    </cfRule>
    <cfRule type="cellIs" dxfId="189" priority="19" operator="equal">
      <formula>"INCREASE"</formula>
    </cfRule>
  </conditionalFormatting>
  <conditionalFormatting sqref="C23:V23">
    <cfRule type="cellIs" dxfId="188" priority="17" operator="equal">
      <formula>0</formula>
    </cfRule>
  </conditionalFormatting>
  <conditionalFormatting sqref="C21:V21">
    <cfRule type="cellIs" dxfId="187" priority="13" operator="equal">
      <formula>0</formula>
    </cfRule>
  </conditionalFormatting>
  <conditionalFormatting sqref="B66:U66">
    <cfRule type="cellIs" dxfId="186" priority="11" operator="equal">
      <formula>"UNDER"</formula>
    </cfRule>
    <cfRule type="cellIs" dxfId="185" priority="12" operator="equal">
      <formula>"OVER"</formula>
    </cfRule>
  </conditionalFormatting>
  <conditionalFormatting sqref="J31:J50">
    <cfRule type="cellIs" dxfId="184" priority="8" operator="greaterThan">
      <formula>$J$51</formula>
    </cfRule>
  </conditionalFormatting>
  <conditionalFormatting sqref="L3">
    <cfRule type="cellIs" dxfId="183" priority="4" operator="lessThan">
      <formula>30</formula>
    </cfRule>
    <cfRule type="cellIs" dxfId="182" priority="5" operator="greaterThanOrEqual">
      <formula>30</formula>
    </cfRule>
  </conditionalFormatting>
  <conditionalFormatting sqref="I1">
    <cfRule type="cellIs" dxfId="181" priority="3" operator="between">
      <formula>0.1</formula>
      <formula>5</formula>
    </cfRule>
  </conditionalFormatting>
  <conditionalFormatting sqref="I2">
    <cfRule type="cellIs" dxfId="180" priority="2" operator="greaterThan">
      <formula>5000.1</formula>
    </cfRule>
  </conditionalFormatting>
  <conditionalFormatting sqref="I3">
    <cfRule type="cellIs" dxfId="179" priority="1" operator="greaterThan">
      <formula>40000.01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B31" sqref="B31:B50"/>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19" t="s">
        <v>41</v>
      </c>
      <c r="B1" s="119"/>
      <c r="C1" s="140" t="str">
        <f>Secanim!C1:D1</f>
        <v>PAN-021626</v>
      </c>
      <c r="D1" s="141"/>
      <c r="E1" s="93" t="s">
        <v>45</v>
      </c>
      <c r="F1" s="39">
        <f>Secanim!F1</f>
        <v>48.6</v>
      </c>
      <c r="G1" s="120" t="s">
        <v>43</v>
      </c>
      <c r="H1" s="121"/>
      <c r="I1" s="118">
        <v>3.74</v>
      </c>
      <c r="J1" s="119" t="s">
        <v>153</v>
      </c>
      <c r="K1" s="119"/>
      <c r="L1" s="97">
        <v>29</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19" t="s">
        <v>87</v>
      </c>
      <c r="B2" s="119"/>
      <c r="C2" s="142" t="str">
        <f>Secanim!C2:D2</f>
        <v>KP3594VE</v>
      </c>
      <c r="D2" s="143"/>
      <c r="E2" s="93" t="s">
        <v>109</v>
      </c>
      <c r="F2" s="96" t="s">
        <v>176</v>
      </c>
      <c r="G2" s="138" t="s">
        <v>110</v>
      </c>
      <c r="H2" s="139"/>
      <c r="I2" s="118">
        <v>471</v>
      </c>
      <c r="J2" s="119" t="s">
        <v>158</v>
      </c>
      <c r="K2" s="119"/>
      <c r="L2" s="97">
        <v>7.0000000000000007E-2</v>
      </c>
      <c r="AB2" s="30" t="s">
        <v>56</v>
      </c>
      <c r="AC2" s="17"/>
      <c r="AD2" s="30" t="s">
        <v>70</v>
      </c>
      <c r="AE2" s="17"/>
      <c r="AF2" s="17"/>
      <c r="AG2" s="44" t="s">
        <v>76</v>
      </c>
      <c r="AH2" s="18"/>
      <c r="AI2" s="45" t="s">
        <v>126</v>
      </c>
      <c r="AJ2" s="46">
        <v>0</v>
      </c>
      <c r="AK2" s="47">
        <v>0</v>
      </c>
      <c r="AL2" s="10">
        <v>0</v>
      </c>
      <c r="AM2" s="11">
        <v>0</v>
      </c>
      <c r="AN2" s="11">
        <v>0</v>
      </c>
    </row>
    <row r="3" spans="1:41" x14ac:dyDescent="0.2">
      <c r="A3" s="120" t="s">
        <v>42</v>
      </c>
      <c r="B3" s="121"/>
      <c r="C3" s="142" t="str">
        <f>Secanim!C3:D3</f>
        <v>Trade Effluent Services Limited</v>
      </c>
      <c r="D3" s="143"/>
      <c r="E3" s="93" t="s">
        <v>108</v>
      </c>
      <c r="F3" s="31"/>
      <c r="G3" s="119" t="s">
        <v>159</v>
      </c>
      <c r="H3" s="119"/>
      <c r="I3" s="118"/>
      <c r="J3" s="120" t="s">
        <v>154</v>
      </c>
      <c r="K3" s="121"/>
      <c r="L3" s="97">
        <f>(L1/(L2*10000))*100</f>
        <v>4.1428571428571415</v>
      </c>
      <c r="AB3" s="30" t="s">
        <v>57</v>
      </c>
      <c r="AC3" s="17"/>
      <c r="AD3" s="30" t="s">
        <v>71</v>
      </c>
      <c r="AE3" s="17"/>
      <c r="AF3" s="17"/>
      <c r="AG3" s="44" t="s">
        <v>77</v>
      </c>
      <c r="AH3" s="18"/>
      <c r="AI3" s="48" t="s">
        <v>113</v>
      </c>
      <c r="AJ3" s="49">
        <v>1.7</v>
      </c>
      <c r="AK3" s="50">
        <v>6</v>
      </c>
      <c r="AL3" s="51">
        <v>1</v>
      </c>
      <c r="AM3" s="11">
        <v>6.2</v>
      </c>
      <c r="AN3" s="11" t="s">
        <v>112</v>
      </c>
    </row>
    <row r="4" spans="1:41" x14ac:dyDescent="0.2">
      <c r="A4" s="119" t="s">
        <v>0</v>
      </c>
      <c r="B4" s="119"/>
      <c r="C4" s="140" t="str">
        <f>Secanim!C4:D4</f>
        <v>Gwaenynog Bach Farm, Pentrefoelas Road, Bryn Ynys, Denbigh, Y Groes, Denbighshire, LL16 5RP</v>
      </c>
      <c r="D4" s="141"/>
      <c r="E4" s="94" t="s">
        <v>1</v>
      </c>
      <c r="F4" s="96" t="s">
        <v>175</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x14ac:dyDescent="0.2">
      <c r="A5" s="119" t="s">
        <v>47</v>
      </c>
      <c r="B5" s="119"/>
      <c r="C5" s="140" t="str">
        <f>Secanim!C5:D5</f>
        <v>Louise Bailey</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19" t="s">
        <v>2</v>
      </c>
      <c r="B8" s="119"/>
      <c r="C8" s="60">
        <f>Secanim!C8</f>
        <v>5905</v>
      </c>
      <c r="D8" s="60">
        <f>Secanim!D8</f>
        <v>4279</v>
      </c>
      <c r="E8" s="60">
        <f>Secanim!E8</f>
        <v>7605</v>
      </c>
      <c r="F8" s="60">
        <f>Secanim!F8</f>
        <v>3851</v>
      </c>
      <c r="G8" s="60">
        <f>Secanim!G8</f>
        <v>6418</v>
      </c>
      <c r="H8" s="60">
        <f>Secanim!H8</f>
        <v>1843</v>
      </c>
      <c r="I8" s="60">
        <f>Secanim!I8</f>
        <v>5974</v>
      </c>
      <c r="J8" s="60">
        <f>Secanim!J8</f>
        <v>5490</v>
      </c>
      <c r="K8" s="60">
        <f>Secanim!K8</f>
        <v>2565</v>
      </c>
      <c r="L8" s="60">
        <f>Secanim!L8</f>
        <v>7887</v>
      </c>
      <c r="M8" s="60">
        <f>Secanim!M8</f>
        <v>2946</v>
      </c>
      <c r="N8" s="60">
        <f>Secanim!N8</f>
        <v>2881</v>
      </c>
      <c r="O8" s="60">
        <f>Secanim!O8</f>
        <v>3398</v>
      </c>
      <c r="P8" s="60">
        <f>Secanim!P8</f>
        <v>5694</v>
      </c>
      <c r="Q8" s="60">
        <f>Secanim!Q8</f>
        <v>2991</v>
      </c>
      <c r="R8" s="60">
        <f>Secanim!R8</f>
        <v>3799</v>
      </c>
      <c r="S8" s="60">
        <f>Secanim!S8</f>
        <v>5813</v>
      </c>
      <c r="T8" s="60">
        <f>Secanim!T8</f>
        <v>1390</v>
      </c>
      <c r="U8" s="60">
        <f>Secanim!U8</f>
        <v>9596</v>
      </c>
      <c r="V8" s="60">
        <f>Secanim!V8</f>
        <v>716</v>
      </c>
      <c r="AB8" s="61"/>
      <c r="AC8" s="61"/>
      <c r="AD8" s="18"/>
      <c r="AE8" s="17" t="s">
        <v>139</v>
      </c>
      <c r="AF8" s="17"/>
      <c r="AG8" s="18"/>
      <c r="AH8" s="18"/>
      <c r="AI8" s="53" t="s">
        <v>105</v>
      </c>
      <c r="AJ8" s="62">
        <v>1.4</v>
      </c>
      <c r="AK8" s="55">
        <v>4.4000000000000004</v>
      </c>
      <c r="AL8" s="11">
        <v>6</v>
      </c>
      <c r="AM8" s="11">
        <v>6.7</v>
      </c>
      <c r="AN8" s="11" t="s">
        <v>135</v>
      </c>
      <c r="AO8" s="79"/>
    </row>
    <row r="9" spans="1:41" x14ac:dyDescent="0.2">
      <c r="A9" s="119" t="s">
        <v>3</v>
      </c>
      <c r="B9" s="119"/>
      <c r="C9" s="60" t="str">
        <f>Secanim!C9</f>
        <v>Moderate</v>
      </c>
      <c r="D9" s="60" t="str">
        <f>Secanim!D9</f>
        <v>Moderate</v>
      </c>
      <c r="E9" s="60" t="str">
        <f>Secanim!E9</f>
        <v>Moderate</v>
      </c>
      <c r="F9" s="60" t="str">
        <f>Secanim!F9</f>
        <v>Moderate</v>
      </c>
      <c r="G9" s="60" t="str">
        <f>Secanim!G9</f>
        <v>Moderate</v>
      </c>
      <c r="H9" s="60" t="str">
        <f>Secanim!H9</f>
        <v>Moderate</v>
      </c>
      <c r="I9" s="60" t="str">
        <f>Secanim!I9</f>
        <v>Moderate</v>
      </c>
      <c r="J9" s="60" t="str">
        <f>Secanim!J9</f>
        <v>Moderate</v>
      </c>
      <c r="K9" s="60" t="str">
        <f>Secanim!K9</f>
        <v>Moderate</v>
      </c>
      <c r="L9" s="60" t="str">
        <f>Secanim!L9</f>
        <v>Moderate</v>
      </c>
      <c r="M9" s="60" t="str">
        <f>Secanim!M9</f>
        <v>Moderate</v>
      </c>
      <c r="N9" s="60" t="str">
        <f>Secanim!N9</f>
        <v>Moderate</v>
      </c>
      <c r="O9" s="60" t="str">
        <f>Secanim!O9</f>
        <v>Moderate</v>
      </c>
      <c r="P9" s="60" t="str">
        <f>Secanim!P9</f>
        <v>Moderate</v>
      </c>
      <c r="Q9" s="60" t="str">
        <f>Secanim!Q9</f>
        <v>Moderate</v>
      </c>
      <c r="R9" s="60" t="str">
        <f>Secanim!R9</f>
        <v>Moderate</v>
      </c>
      <c r="S9" s="60" t="str">
        <f>Secanim!S9</f>
        <v>Moderate</v>
      </c>
      <c r="T9" s="60" t="str">
        <f>Secanim!T9</f>
        <v>Moderate</v>
      </c>
      <c r="U9" s="60" t="str">
        <f>Secanim!U9</f>
        <v>Moderate</v>
      </c>
      <c r="V9" s="60" t="str">
        <f>Secanim!V9</f>
        <v>Moderate</v>
      </c>
      <c r="AB9" s="17"/>
      <c r="AC9" s="17"/>
      <c r="AD9" s="30" t="s">
        <v>137</v>
      </c>
      <c r="AE9" s="30">
        <v>4.5</v>
      </c>
      <c r="AF9" s="17"/>
      <c r="AG9" s="18"/>
      <c r="AH9" s="18"/>
      <c r="AI9" s="63" t="s">
        <v>103</v>
      </c>
      <c r="AJ9" s="64">
        <v>0.7</v>
      </c>
      <c r="AK9" s="65">
        <v>4</v>
      </c>
      <c r="AL9" s="29">
        <v>7</v>
      </c>
      <c r="AM9" s="11">
        <v>6.7</v>
      </c>
      <c r="AN9" s="11" t="s">
        <v>135</v>
      </c>
      <c r="AO9" s="99"/>
    </row>
    <row r="10" spans="1:41" x14ac:dyDescent="0.2">
      <c r="A10" s="119" t="s">
        <v>4</v>
      </c>
      <c r="B10" s="119"/>
      <c r="C10" s="60">
        <f>Secanim!C10</f>
        <v>6.2</v>
      </c>
      <c r="D10" s="60">
        <f>Secanim!D10</f>
        <v>5.6</v>
      </c>
      <c r="E10" s="60">
        <f>Secanim!E10</f>
        <v>6.3</v>
      </c>
      <c r="F10" s="60">
        <f>Secanim!F10</f>
        <v>6</v>
      </c>
      <c r="G10" s="60">
        <f>Secanim!G10</f>
        <v>5.8</v>
      </c>
      <c r="H10" s="60">
        <f>Secanim!H10</f>
        <v>5.3</v>
      </c>
      <c r="I10" s="60">
        <f>Secanim!I10</f>
        <v>6</v>
      </c>
      <c r="J10" s="60">
        <f>Secanim!J10</f>
        <v>6.1</v>
      </c>
      <c r="K10" s="60">
        <f>Secanim!K10</f>
        <v>5.5</v>
      </c>
      <c r="L10" s="60">
        <f>Secanim!L10</f>
        <v>6.1</v>
      </c>
      <c r="M10" s="60">
        <f>Secanim!M10</f>
        <v>5.5</v>
      </c>
      <c r="N10" s="60">
        <f>Secanim!N10</f>
        <v>5.6</v>
      </c>
      <c r="O10" s="60">
        <f>Secanim!O10</f>
        <v>5.9</v>
      </c>
      <c r="P10" s="60">
        <f>Secanim!P10</f>
        <v>6.5</v>
      </c>
      <c r="Q10" s="60">
        <f>Secanim!Q10</f>
        <v>5.7</v>
      </c>
      <c r="R10" s="60">
        <f>Secanim!R10</f>
        <v>6.4</v>
      </c>
      <c r="S10" s="60">
        <f>Secanim!S10</f>
        <v>6.7</v>
      </c>
      <c r="T10" s="60">
        <f>Secanim!T10</f>
        <v>5.4</v>
      </c>
      <c r="U10" s="60">
        <f>Secanim!U10</f>
        <v>5.5</v>
      </c>
      <c r="V10" s="60">
        <f>Secanim!V10</f>
        <v>6.4</v>
      </c>
      <c r="AB10" s="17"/>
      <c r="AC10" s="17"/>
      <c r="AD10" s="30" t="s">
        <v>140</v>
      </c>
      <c r="AE10" s="30">
        <v>5</v>
      </c>
      <c r="AF10" s="17"/>
      <c r="AG10" s="18"/>
      <c r="AH10" s="18"/>
      <c r="AI10" s="53" t="s">
        <v>97</v>
      </c>
      <c r="AJ10" s="54">
        <v>9</v>
      </c>
      <c r="AK10" s="55">
        <v>16.5</v>
      </c>
      <c r="AL10" s="11">
        <v>8</v>
      </c>
      <c r="AM10" s="11">
        <v>6.7</v>
      </c>
      <c r="AN10" s="11" t="s">
        <v>135</v>
      </c>
    </row>
    <row r="11" spans="1:41" x14ac:dyDescent="0.2">
      <c r="A11" s="119" t="s">
        <v>5</v>
      </c>
      <c r="B11" s="119"/>
      <c r="C11" s="60">
        <f>Secanim!C11</f>
        <v>2</v>
      </c>
      <c r="D11" s="60">
        <f>Secanim!D11</f>
        <v>3</v>
      </c>
      <c r="E11" s="60">
        <f>Secanim!E11</f>
        <v>2</v>
      </c>
      <c r="F11" s="60">
        <f>Secanim!F11</f>
        <v>3</v>
      </c>
      <c r="G11" s="60">
        <f>Secanim!G11</f>
        <v>2</v>
      </c>
      <c r="H11" s="60">
        <f>Secanim!H11</f>
        <v>3</v>
      </c>
      <c r="I11" s="60">
        <f>Secanim!I11</f>
        <v>3</v>
      </c>
      <c r="J11" s="60">
        <f>Secanim!J11</f>
        <v>2</v>
      </c>
      <c r="K11" s="60">
        <f>Secanim!K11</f>
        <v>3</v>
      </c>
      <c r="L11" s="60">
        <f>Secanim!L11</f>
        <v>1</v>
      </c>
      <c r="M11" s="60">
        <f>Secanim!M11</f>
        <v>3</v>
      </c>
      <c r="N11" s="60">
        <f>Secanim!N11</f>
        <v>2</v>
      </c>
      <c r="O11" s="60">
        <f>Secanim!O11</f>
        <v>2</v>
      </c>
      <c r="P11" s="60">
        <f>Secanim!P11</f>
        <v>2</v>
      </c>
      <c r="Q11" s="60">
        <f>Secanim!Q11</f>
        <v>2</v>
      </c>
      <c r="R11" s="60">
        <f>Secanim!R11</f>
        <v>2</v>
      </c>
      <c r="S11" s="60">
        <f>Secanim!S11</f>
        <v>2</v>
      </c>
      <c r="T11" s="60">
        <f>Secanim!T11</f>
        <v>3</v>
      </c>
      <c r="U11" s="60">
        <f>Secanim!U11</f>
        <v>2</v>
      </c>
      <c r="V11" s="60">
        <f>Secanim!V11</f>
        <v>2</v>
      </c>
      <c r="AB11" s="17"/>
      <c r="AC11" s="17"/>
      <c r="AD11" s="52" t="s">
        <v>141</v>
      </c>
      <c r="AE11" s="30">
        <v>6</v>
      </c>
      <c r="AF11" s="17"/>
      <c r="AG11" s="18"/>
      <c r="AH11" s="18"/>
      <c r="AI11" s="53" t="s">
        <v>122</v>
      </c>
      <c r="AJ11" s="54">
        <v>15</v>
      </c>
      <c r="AK11" s="55">
        <v>17.5</v>
      </c>
      <c r="AL11" s="11">
        <v>9</v>
      </c>
      <c r="AM11" s="11">
        <v>7</v>
      </c>
      <c r="AN11" s="11" t="s">
        <v>135</v>
      </c>
    </row>
    <row r="12" spans="1:41" x14ac:dyDescent="0.2">
      <c r="A12" s="119" t="s">
        <v>6</v>
      </c>
      <c r="B12" s="119"/>
      <c r="C12" s="60" t="str">
        <f>Secanim!C12</f>
        <v>2-</v>
      </c>
      <c r="D12" s="60">
        <f>Secanim!D12</f>
        <v>3</v>
      </c>
      <c r="E12" s="60" t="str">
        <f>Secanim!E12</f>
        <v>2-</v>
      </c>
      <c r="F12" s="60" t="str">
        <f>Secanim!F12</f>
        <v>2+</v>
      </c>
      <c r="G12" s="60">
        <f>Secanim!G12</f>
        <v>3</v>
      </c>
      <c r="H12" s="60" t="str">
        <f>Secanim!H12</f>
        <v>2+</v>
      </c>
      <c r="I12" s="60">
        <f>Secanim!I12</f>
        <v>4</v>
      </c>
      <c r="J12" s="60" t="str">
        <f>Secanim!J12</f>
        <v>2+</v>
      </c>
      <c r="K12" s="60">
        <f>Secanim!K12</f>
        <v>4</v>
      </c>
      <c r="L12" s="60" t="str">
        <f>Secanim!L12</f>
        <v>2-</v>
      </c>
      <c r="M12" s="60" t="str">
        <f>Secanim!M12</f>
        <v>2-</v>
      </c>
      <c r="N12" s="60">
        <f>Secanim!N12</f>
        <v>3</v>
      </c>
      <c r="O12" s="60">
        <f>Secanim!O12</f>
        <v>3</v>
      </c>
      <c r="P12" s="60" t="str">
        <f>Secanim!P12</f>
        <v>2-</v>
      </c>
      <c r="Q12" s="60">
        <f>Secanim!Q12</f>
        <v>1</v>
      </c>
      <c r="R12" s="60">
        <f>Secanim!R12</f>
        <v>1</v>
      </c>
      <c r="S12" s="60">
        <f>Secanim!S12</f>
        <v>1</v>
      </c>
      <c r="T12" s="60" t="str">
        <f>Secanim!T12</f>
        <v>2+</v>
      </c>
      <c r="U12" s="60">
        <f>Secanim!U12</f>
        <v>1</v>
      </c>
      <c r="V12" s="60" t="str">
        <f>Secanim!V12</f>
        <v>2-</v>
      </c>
      <c r="AB12" s="17"/>
      <c r="AC12" s="17"/>
      <c r="AD12" s="52" t="s">
        <v>142</v>
      </c>
      <c r="AE12" s="30">
        <v>7.5</v>
      </c>
      <c r="AF12" s="17"/>
      <c r="AG12" s="18"/>
      <c r="AH12" s="18"/>
      <c r="AI12" s="53" t="s">
        <v>121</v>
      </c>
      <c r="AJ12" s="54">
        <v>14</v>
      </c>
      <c r="AK12" s="55">
        <v>11</v>
      </c>
      <c r="AL12" s="11">
        <v>10</v>
      </c>
      <c r="AM12" s="11">
        <v>7</v>
      </c>
      <c r="AN12" s="11" t="s">
        <v>135</v>
      </c>
    </row>
    <row r="13" spans="1:41" x14ac:dyDescent="0.2">
      <c r="A13" s="119" t="s">
        <v>7</v>
      </c>
      <c r="B13" s="119"/>
      <c r="C13" s="60">
        <f>Secanim!C13</f>
        <v>3</v>
      </c>
      <c r="D13" s="60">
        <f>Secanim!D13</f>
        <v>3</v>
      </c>
      <c r="E13" s="60">
        <f>Secanim!E13</f>
        <v>3</v>
      </c>
      <c r="F13" s="60">
        <f>Secanim!F13</f>
        <v>3</v>
      </c>
      <c r="G13" s="60">
        <f>Secanim!G13</f>
        <v>3</v>
      </c>
      <c r="H13" s="60">
        <f>Secanim!H13</f>
        <v>2</v>
      </c>
      <c r="I13" s="60">
        <f>Secanim!I13</f>
        <v>4</v>
      </c>
      <c r="J13" s="60">
        <f>Secanim!J13</f>
        <v>3</v>
      </c>
      <c r="K13" s="60">
        <f>Secanim!K13</f>
        <v>3</v>
      </c>
      <c r="L13" s="60">
        <f>Secanim!L13</f>
        <v>3</v>
      </c>
      <c r="M13" s="60">
        <f>Secanim!M13</f>
        <v>2</v>
      </c>
      <c r="N13" s="60">
        <f>Secanim!N13</f>
        <v>2</v>
      </c>
      <c r="O13" s="60">
        <f>Secanim!O13</f>
        <v>3</v>
      </c>
      <c r="P13" s="60">
        <f>Secanim!P13</f>
        <v>2</v>
      </c>
      <c r="Q13" s="60">
        <f>Secanim!Q13</f>
        <v>3</v>
      </c>
      <c r="R13" s="60">
        <f>Secanim!R13</f>
        <v>2</v>
      </c>
      <c r="S13" s="60">
        <f>Secanim!S13</f>
        <v>1</v>
      </c>
      <c r="T13" s="60">
        <f>Secanim!T13</f>
        <v>3</v>
      </c>
      <c r="U13" s="60">
        <f>Secanim!U13</f>
        <v>1</v>
      </c>
      <c r="V13" s="60">
        <f>Secanim!V13</f>
        <v>2</v>
      </c>
      <c r="AB13" s="17"/>
      <c r="AC13" s="17"/>
      <c r="AD13" s="52" t="s">
        <v>143</v>
      </c>
      <c r="AE13" s="30">
        <v>12</v>
      </c>
      <c r="AF13" s="17"/>
      <c r="AG13" s="18"/>
      <c r="AH13" s="18"/>
      <c r="AI13" s="53" t="s">
        <v>120</v>
      </c>
      <c r="AJ13" s="54">
        <v>1.9</v>
      </c>
      <c r="AK13" s="55">
        <v>7.5</v>
      </c>
      <c r="AL13" s="11">
        <v>11</v>
      </c>
      <c r="AM13" s="11">
        <v>6.7</v>
      </c>
      <c r="AN13" s="11" t="s">
        <v>135</v>
      </c>
    </row>
    <row r="14" spans="1:41" x14ac:dyDescent="0.2">
      <c r="A14" s="131" t="s">
        <v>8</v>
      </c>
      <c r="B14" s="131"/>
      <c r="C14" s="102" t="str">
        <f>Secanim!C14</f>
        <v xml:space="preserve">Grass Silage (25% DM) </v>
      </c>
      <c r="D14" s="102" t="str">
        <f>Secanim!D14</f>
        <v xml:space="preserve">Grass Silage (25% DM) </v>
      </c>
      <c r="E14" s="102" t="str">
        <f>Secanim!E14</f>
        <v xml:space="preserve">Grass Silage (25% DM) </v>
      </c>
      <c r="F14" s="102" t="str">
        <f>Secanim!F14</f>
        <v xml:space="preserve">Grass Silage (25% DM) </v>
      </c>
      <c r="G14" s="102" t="str">
        <f>Secanim!G14</f>
        <v xml:space="preserve">Grass Silage (25% DM) </v>
      </c>
      <c r="H14" s="102" t="str">
        <f>Secanim!H14</f>
        <v xml:space="preserve">Grass Silage (25% DM) </v>
      </c>
      <c r="I14" s="102" t="str">
        <f>Secanim!I14</f>
        <v xml:space="preserve">Grass Silage (25% DM) </v>
      </c>
      <c r="J14" s="102" t="str">
        <f>Secanim!J14</f>
        <v xml:space="preserve">Grass Silage (25% DM) </v>
      </c>
      <c r="K14" s="102" t="str">
        <f>Secanim!K14</f>
        <v xml:space="preserve">Grass Silage (25% DM) </v>
      </c>
      <c r="L14" s="102" t="str">
        <f>Secanim!L14</f>
        <v xml:space="preserve">Grass Silage (25% DM) </v>
      </c>
      <c r="M14" s="102" t="str">
        <f>Secanim!M14</f>
        <v xml:space="preserve">Grass Silage (25% DM) </v>
      </c>
      <c r="N14" s="102" t="str">
        <f>Secanim!N14</f>
        <v xml:space="preserve">Grass Silage (25% DM) </v>
      </c>
      <c r="O14" s="102" t="str">
        <f>Secanim!O14</f>
        <v xml:space="preserve">Grass Silage (25% DM) </v>
      </c>
      <c r="P14" s="102" t="str">
        <f>Secanim!P14</f>
        <v xml:space="preserve">Grass Silage (25% DM) </v>
      </c>
      <c r="Q14" s="102" t="str">
        <f>Secanim!Q14</f>
        <v xml:space="preserve">Grass Silage (25% DM) </v>
      </c>
      <c r="R14" s="102" t="str">
        <f>Secanim!R14</f>
        <v xml:space="preserve">Grass Silage (25% DM) </v>
      </c>
      <c r="S14" s="102" t="str">
        <f>Secanim!S14</f>
        <v xml:space="preserve">Grass Silage (25% DM) </v>
      </c>
      <c r="T14" s="102" t="str">
        <f>Secanim!T14</f>
        <v xml:space="preserve">Grass Silage (25% DM) </v>
      </c>
      <c r="U14" s="102" t="str">
        <f>Secanim!U14</f>
        <v xml:space="preserve">Grass Silage (25% DM) </v>
      </c>
      <c r="V14" s="102" t="str">
        <f>Secanim!V14</f>
        <v xml:space="preserve">Grass Silage (25% DM) </v>
      </c>
      <c r="AD14" s="30" t="s">
        <v>138</v>
      </c>
      <c r="AE14" s="30">
        <v>6</v>
      </c>
      <c r="AI14" s="53" t="s">
        <v>119</v>
      </c>
      <c r="AJ14" s="54">
        <v>0.8</v>
      </c>
      <c r="AK14" s="55">
        <v>1.7</v>
      </c>
      <c r="AL14" s="11">
        <v>12</v>
      </c>
      <c r="AM14" s="11">
        <v>6.7</v>
      </c>
      <c r="AN14" s="11" t="s">
        <v>135</v>
      </c>
    </row>
    <row r="15" spans="1:41" x14ac:dyDescent="0.2">
      <c r="A15" s="130" t="s">
        <v>9</v>
      </c>
      <c r="B15" s="130"/>
      <c r="C15" s="60">
        <f>Secanim!C15</f>
        <v>38</v>
      </c>
      <c r="D15" s="60">
        <f>Secanim!D15</f>
        <v>38</v>
      </c>
      <c r="E15" s="60">
        <f>Secanim!E15</f>
        <v>38</v>
      </c>
      <c r="F15" s="60">
        <f>Secanim!F15</f>
        <v>38</v>
      </c>
      <c r="G15" s="60">
        <f>Secanim!G15</f>
        <v>38</v>
      </c>
      <c r="H15" s="60">
        <f>Secanim!H15</f>
        <v>38</v>
      </c>
      <c r="I15" s="60">
        <f>Secanim!I15</f>
        <v>38</v>
      </c>
      <c r="J15" s="60">
        <f>Secanim!J15</f>
        <v>38</v>
      </c>
      <c r="K15" s="60">
        <f>Secanim!K15</f>
        <v>38</v>
      </c>
      <c r="L15" s="60">
        <f>Secanim!L15</f>
        <v>38</v>
      </c>
      <c r="M15" s="60">
        <f>Secanim!M15</f>
        <v>38</v>
      </c>
      <c r="N15" s="60">
        <f>Secanim!N15</f>
        <v>38</v>
      </c>
      <c r="O15" s="60">
        <f>Secanim!O15</f>
        <v>38</v>
      </c>
      <c r="P15" s="60">
        <f>Secanim!P15</f>
        <v>38</v>
      </c>
      <c r="Q15" s="60">
        <f>Secanim!Q15</f>
        <v>38</v>
      </c>
      <c r="R15" s="60">
        <f>Secanim!R15</f>
        <v>38</v>
      </c>
      <c r="S15" s="60">
        <f>Secanim!S15</f>
        <v>38</v>
      </c>
      <c r="T15" s="60">
        <f>Secanim!T15</f>
        <v>38</v>
      </c>
      <c r="U15" s="60">
        <f>Secanim!U15</f>
        <v>38</v>
      </c>
      <c r="V15" s="60">
        <f>Secanim!V15</f>
        <v>38</v>
      </c>
      <c r="AD15" s="30" t="s">
        <v>144</v>
      </c>
      <c r="AE15" s="30">
        <v>7</v>
      </c>
      <c r="AI15" s="53" t="s">
        <v>101</v>
      </c>
      <c r="AJ15" s="62">
        <v>1.8</v>
      </c>
      <c r="AK15" s="55">
        <v>5.4</v>
      </c>
      <c r="AL15" s="11">
        <v>13</v>
      </c>
      <c r="AM15" s="11">
        <v>6.7</v>
      </c>
      <c r="AN15" s="11" t="s">
        <v>135</v>
      </c>
    </row>
    <row r="16" spans="1:41" ht="13.5" thickBot="1" x14ac:dyDescent="0.25">
      <c r="A16" s="132" t="s">
        <v>44</v>
      </c>
      <c r="B16" s="132"/>
      <c r="C16" s="103" t="str">
        <f>Secanim!C16</f>
        <v>Medium/Clay</v>
      </c>
      <c r="D16" s="103" t="str">
        <f>Secanim!D16</f>
        <v>Medium/Clay</v>
      </c>
      <c r="E16" s="103" t="str">
        <f>Secanim!E16</f>
        <v>Medium/Clay</v>
      </c>
      <c r="F16" s="103" t="str">
        <f>Secanim!F16</f>
        <v>Medium/Clay</v>
      </c>
      <c r="G16" s="103" t="str">
        <f>Secanim!G16</f>
        <v>Medium/Clay</v>
      </c>
      <c r="H16" s="103" t="str">
        <f>Secanim!H16</f>
        <v>Medium/Clay</v>
      </c>
      <c r="I16" s="103" t="str">
        <f>Secanim!I16</f>
        <v>Medium/Clay</v>
      </c>
      <c r="J16" s="103" t="str">
        <f>Secanim!J16</f>
        <v>Medium/Clay</v>
      </c>
      <c r="K16" s="103" t="str">
        <f>Secanim!K16</f>
        <v>Medium/Clay</v>
      </c>
      <c r="L16" s="103" t="str">
        <f>Secanim!L16</f>
        <v>Medium/Clay</v>
      </c>
      <c r="M16" s="103" t="str">
        <f>Secanim!M16</f>
        <v>Medium/Clay</v>
      </c>
      <c r="N16" s="103" t="str">
        <f>Secanim!N16</f>
        <v>Medium/Clay</v>
      </c>
      <c r="O16" s="103" t="str">
        <f>Secanim!O16</f>
        <v>Medium/Clay</v>
      </c>
      <c r="P16" s="103" t="str">
        <f>Secanim!P16</f>
        <v>Medium/Clay</v>
      </c>
      <c r="Q16" s="103" t="str">
        <f>Secanim!Q16</f>
        <v>Medium/Clay</v>
      </c>
      <c r="R16" s="103" t="str">
        <f>Secanim!R16</f>
        <v>Medium/Clay</v>
      </c>
      <c r="S16" s="103" t="str">
        <f>Secanim!S16</f>
        <v>Medium/Clay</v>
      </c>
      <c r="T16" s="103" t="str">
        <f>Secanim!T16</f>
        <v>Medium/Clay</v>
      </c>
      <c r="U16" s="103" t="str">
        <f>Secanim!U16</f>
        <v>Medium/Clay</v>
      </c>
      <c r="V16" s="103" t="str">
        <f>Secanim!V16</f>
        <v>Medium/Clay</v>
      </c>
      <c r="AD16" s="52" t="s">
        <v>145</v>
      </c>
      <c r="AE16" s="30">
        <v>8</v>
      </c>
      <c r="AI16" s="53" t="s">
        <v>118</v>
      </c>
      <c r="AJ16" s="54">
        <v>8</v>
      </c>
      <c r="AK16" s="55">
        <v>5.5</v>
      </c>
      <c r="AL16" s="12">
        <v>14</v>
      </c>
      <c r="AM16" s="11">
        <v>6.7</v>
      </c>
      <c r="AN16" s="11" t="s">
        <v>135</v>
      </c>
    </row>
    <row r="17" spans="1:40" x14ac:dyDescent="0.2">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64.599999999999994</v>
      </c>
      <c r="R17" s="28">
        <f t="shared" si="0"/>
        <v>64.599999999999994</v>
      </c>
      <c r="S17" s="28">
        <f t="shared" si="0"/>
        <v>64.599999999999994</v>
      </c>
      <c r="T17" s="28">
        <f t="shared" si="0"/>
        <v>64.599999999999994</v>
      </c>
      <c r="U17" s="28">
        <f t="shared" si="0"/>
        <v>64.599999999999994</v>
      </c>
      <c r="V17" s="28">
        <f t="shared" si="0"/>
        <v>64.599999999999994</v>
      </c>
      <c r="AD17" s="52" t="s">
        <v>146</v>
      </c>
      <c r="AE17" s="30">
        <v>10</v>
      </c>
      <c r="AI17" s="48" t="s">
        <v>115</v>
      </c>
      <c r="AJ17" s="49">
        <v>1.4</v>
      </c>
      <c r="AK17" s="50">
        <v>4.8</v>
      </c>
      <c r="AL17" s="51">
        <v>15</v>
      </c>
      <c r="AM17" s="11">
        <v>6.2</v>
      </c>
      <c r="AN17" s="11" t="s">
        <v>112</v>
      </c>
    </row>
    <row r="18" spans="1:40" x14ac:dyDescent="0.2">
      <c r="A18" s="124" t="s">
        <v>23</v>
      </c>
      <c r="B18" s="125"/>
      <c r="C18" s="16">
        <f>$D31</f>
        <v>64.413755999999992</v>
      </c>
      <c r="D18" s="16">
        <f>$D32</f>
        <v>64.413755999999992</v>
      </c>
      <c r="E18" s="16">
        <f>$D33</f>
        <v>64.413755999999992</v>
      </c>
      <c r="F18" s="16">
        <f>$D34</f>
        <v>64.413755999999992</v>
      </c>
      <c r="G18" s="16">
        <f>$D35</f>
        <v>64.413755999999992</v>
      </c>
      <c r="H18" s="16">
        <f>$D36</f>
        <v>64.413755999999992</v>
      </c>
      <c r="I18" s="16">
        <f>$D37</f>
        <v>64.413755999999992</v>
      </c>
      <c r="J18" s="16">
        <f>$D38</f>
        <v>64.413755999999992</v>
      </c>
      <c r="K18" s="16">
        <f>$D39</f>
        <v>64.413755999999992</v>
      </c>
      <c r="L18" s="16">
        <f>$D40</f>
        <v>64.413755999999992</v>
      </c>
      <c r="M18" s="16">
        <f>$D41</f>
        <v>64.413755999999992</v>
      </c>
      <c r="N18" s="16">
        <f>$D42</f>
        <v>64.413755999999992</v>
      </c>
      <c r="O18" s="16">
        <f>$D43</f>
        <v>64.413755999999992</v>
      </c>
      <c r="P18" s="16">
        <f>$D44</f>
        <v>64.413755999999992</v>
      </c>
      <c r="Q18" s="16">
        <f>$D45</f>
        <v>64.413755999999992</v>
      </c>
      <c r="R18" s="16">
        <f>$D46</f>
        <v>64.413755999999992</v>
      </c>
      <c r="S18" s="16">
        <f>$D47</f>
        <v>64.413755999999992</v>
      </c>
      <c r="T18" s="16">
        <f>$D48</f>
        <v>64.413755999999992</v>
      </c>
      <c r="U18" s="16">
        <f>$D49</f>
        <v>64.413755999999992</v>
      </c>
      <c r="V18" s="25">
        <f>$D50</f>
        <v>64.413755999999992</v>
      </c>
      <c r="AD18" s="52" t="s">
        <v>147</v>
      </c>
      <c r="AE18" s="30">
        <v>16</v>
      </c>
      <c r="AI18" s="48" t="s">
        <v>106</v>
      </c>
      <c r="AJ18" s="49">
        <v>5.9</v>
      </c>
      <c r="AK18" s="50">
        <v>18</v>
      </c>
      <c r="AL18" s="51">
        <v>16</v>
      </c>
      <c r="AM18" s="11">
        <v>6.2</v>
      </c>
      <c r="AN18" s="11" t="s">
        <v>112</v>
      </c>
    </row>
    <row r="19" spans="1:40" x14ac:dyDescent="0.2">
      <c r="A19" s="124" t="s">
        <v>90</v>
      </c>
      <c r="B19" s="125"/>
      <c r="C19" s="16">
        <f>C18-C17</f>
        <v>-0.18624400000000207</v>
      </c>
      <c r="D19" s="16">
        <f t="shared" ref="D19:V19" si="1">D18-D17</f>
        <v>-0.18624400000000207</v>
      </c>
      <c r="E19" s="16">
        <f t="shared" si="1"/>
        <v>-0.18624400000000207</v>
      </c>
      <c r="F19" s="16">
        <f t="shared" si="1"/>
        <v>-0.18624400000000207</v>
      </c>
      <c r="G19" s="16">
        <f t="shared" si="1"/>
        <v>-0.18624400000000207</v>
      </c>
      <c r="H19" s="16">
        <f t="shared" si="1"/>
        <v>-0.18624400000000207</v>
      </c>
      <c r="I19" s="16">
        <f t="shared" si="1"/>
        <v>-0.18624400000000207</v>
      </c>
      <c r="J19" s="16">
        <f t="shared" si="1"/>
        <v>-0.18624400000000207</v>
      </c>
      <c r="K19" s="16">
        <f t="shared" si="1"/>
        <v>-0.18624400000000207</v>
      </c>
      <c r="L19" s="16">
        <f t="shared" si="1"/>
        <v>-0.18624400000000207</v>
      </c>
      <c r="M19" s="16">
        <f t="shared" si="1"/>
        <v>-0.18624400000000207</v>
      </c>
      <c r="N19" s="16">
        <f t="shared" si="1"/>
        <v>-0.18624400000000207</v>
      </c>
      <c r="O19" s="16">
        <f t="shared" si="1"/>
        <v>-0.18624400000000207</v>
      </c>
      <c r="P19" s="16">
        <f t="shared" si="1"/>
        <v>-0.18624400000000207</v>
      </c>
      <c r="Q19" s="16">
        <f t="shared" si="1"/>
        <v>-0.18624400000000207</v>
      </c>
      <c r="R19" s="16">
        <f t="shared" si="1"/>
        <v>-0.18624400000000207</v>
      </c>
      <c r="S19" s="16">
        <f t="shared" si="1"/>
        <v>-0.18624400000000207</v>
      </c>
      <c r="T19" s="16">
        <f t="shared" si="1"/>
        <v>-0.18624400000000207</v>
      </c>
      <c r="U19" s="16">
        <f t="shared" si="1"/>
        <v>-0.18624400000000207</v>
      </c>
      <c r="V19" s="25">
        <f t="shared" si="1"/>
        <v>-0.18624400000000207</v>
      </c>
      <c r="AI19" s="48" t="s">
        <v>107</v>
      </c>
      <c r="AJ19" s="49">
        <v>3.2</v>
      </c>
      <c r="AK19" s="50">
        <v>10.5</v>
      </c>
      <c r="AL19" s="51">
        <v>17</v>
      </c>
      <c r="AM19" s="11">
        <v>6.2</v>
      </c>
      <c r="AN19" s="11" t="s">
        <v>112</v>
      </c>
    </row>
    <row r="20" spans="1:40" ht="13.5" thickBot="1" x14ac:dyDescent="0.25">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DECREASE</v>
      </c>
      <c r="S20" s="26" t="str">
        <f>IF($B47="","",IF(S$19&gt;=0,"INCREASE","DECREASE"))</f>
        <v>DECREASE</v>
      </c>
      <c r="T20" s="26" t="str">
        <f>IF($B48="","",IF(T$19&gt;=0,"INCREASE","DECREASE"))</f>
        <v>DECREASE</v>
      </c>
      <c r="U20" s="26" t="str">
        <f>IF($B49="","",IF(U$19&gt;=0,"INCREASE","DECREASE"))</f>
        <v>DECREASE</v>
      </c>
      <c r="V20" s="27" t="str">
        <f>IF($B50="","",IF(V$19&gt;=0,"INCREASE","DECREASE"))</f>
        <v>DECREASE</v>
      </c>
      <c r="AI20" s="48" t="s">
        <v>114</v>
      </c>
      <c r="AJ20" s="49">
        <v>2.1</v>
      </c>
      <c r="AK20" s="50">
        <v>7.2</v>
      </c>
      <c r="AL20" s="51">
        <v>18</v>
      </c>
      <c r="AM20" s="11">
        <v>6.2</v>
      </c>
      <c r="AN20" s="11" t="s">
        <v>112</v>
      </c>
    </row>
    <row r="21" spans="1:40" x14ac:dyDescent="0.2">
      <c r="A21" s="122" t="s">
        <v>88</v>
      </c>
      <c r="B21" s="123"/>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228</v>
      </c>
      <c r="Q21" s="28">
        <f t="shared" si="2"/>
        <v>228</v>
      </c>
      <c r="R21" s="28">
        <f t="shared" si="2"/>
        <v>228</v>
      </c>
      <c r="S21" s="28">
        <f t="shared" si="2"/>
        <v>228</v>
      </c>
      <c r="T21" s="28">
        <f t="shared" si="2"/>
        <v>228</v>
      </c>
      <c r="U21" s="28">
        <f t="shared" si="2"/>
        <v>228</v>
      </c>
      <c r="V21" s="28">
        <f t="shared" si="2"/>
        <v>228</v>
      </c>
      <c r="AI21" s="63" t="s">
        <v>100</v>
      </c>
      <c r="AJ21" s="66">
        <v>11</v>
      </c>
      <c r="AK21" s="65">
        <v>12</v>
      </c>
      <c r="AL21" s="29">
        <v>19</v>
      </c>
      <c r="AM21" s="11">
        <v>6.7</v>
      </c>
      <c r="AN21" s="11" t="s">
        <v>135</v>
      </c>
    </row>
    <row r="22" spans="1:40" x14ac:dyDescent="0.2">
      <c r="A22" s="124" t="s">
        <v>89</v>
      </c>
      <c r="B22" s="125"/>
      <c r="C22" s="16">
        <f>$E31</f>
        <v>85.726110000000006</v>
      </c>
      <c r="D22" s="16">
        <f>$E32</f>
        <v>85.726110000000006</v>
      </c>
      <c r="E22" s="16">
        <f>$E33</f>
        <v>85.726110000000006</v>
      </c>
      <c r="F22" s="16">
        <f>$E34</f>
        <v>85.726110000000006</v>
      </c>
      <c r="G22" s="16">
        <f>$E35</f>
        <v>85.726110000000006</v>
      </c>
      <c r="H22" s="16">
        <f>$E36</f>
        <v>85.726110000000006</v>
      </c>
      <c r="I22" s="16">
        <f>$E37</f>
        <v>85.726110000000006</v>
      </c>
      <c r="J22" s="16">
        <f>$E38</f>
        <v>85.726110000000006</v>
      </c>
      <c r="K22" s="16">
        <f>$E39</f>
        <v>85.726110000000006</v>
      </c>
      <c r="L22" s="16">
        <f>$E40</f>
        <v>85.726110000000006</v>
      </c>
      <c r="M22" s="16">
        <f>$E41</f>
        <v>85.726110000000006</v>
      </c>
      <c r="N22" s="16">
        <f>$E42</f>
        <v>85.726110000000006</v>
      </c>
      <c r="O22" s="16">
        <f>$E43</f>
        <v>85.726110000000006</v>
      </c>
      <c r="P22" s="16">
        <f>$E44</f>
        <v>85.726110000000006</v>
      </c>
      <c r="Q22" s="16">
        <f>$E45</f>
        <v>85.726110000000006</v>
      </c>
      <c r="R22" s="16">
        <f>$E46</f>
        <v>85.726110000000006</v>
      </c>
      <c r="S22" s="16">
        <f>$E47</f>
        <v>85.726110000000006</v>
      </c>
      <c r="T22" s="16">
        <f>$E48</f>
        <v>85.726110000000006</v>
      </c>
      <c r="U22" s="16">
        <f>$E49</f>
        <v>85.726110000000006</v>
      </c>
      <c r="V22" s="16">
        <f>$E50</f>
        <v>85.726110000000006</v>
      </c>
      <c r="AI22" s="63" t="s">
        <v>102</v>
      </c>
      <c r="AJ22" s="64">
        <v>1.2</v>
      </c>
      <c r="AK22" s="65">
        <v>5</v>
      </c>
      <c r="AL22" s="29">
        <v>20</v>
      </c>
      <c r="AM22" s="11">
        <v>6.7</v>
      </c>
      <c r="AN22" s="11" t="s">
        <v>135</v>
      </c>
    </row>
    <row r="23" spans="1:40" x14ac:dyDescent="0.2">
      <c r="A23" s="124" t="s">
        <v>92</v>
      </c>
      <c r="B23" s="125"/>
      <c r="C23" s="16">
        <f>C22-C21</f>
        <v>-142.27388999999999</v>
      </c>
      <c r="D23" s="16">
        <f t="shared" ref="D23:V23" si="3">D22-D21</f>
        <v>-142.27388999999999</v>
      </c>
      <c r="E23" s="16">
        <f t="shared" si="3"/>
        <v>-142.27388999999999</v>
      </c>
      <c r="F23" s="16">
        <f t="shared" si="3"/>
        <v>-142.27388999999999</v>
      </c>
      <c r="G23" s="16">
        <f t="shared" si="3"/>
        <v>-142.27388999999999</v>
      </c>
      <c r="H23" s="16">
        <f t="shared" si="3"/>
        <v>-142.27388999999999</v>
      </c>
      <c r="I23" s="16">
        <f t="shared" si="3"/>
        <v>-142.27388999999999</v>
      </c>
      <c r="J23" s="16">
        <f t="shared" si="3"/>
        <v>-142.27388999999999</v>
      </c>
      <c r="K23" s="16">
        <f t="shared" si="3"/>
        <v>-142.27388999999999</v>
      </c>
      <c r="L23" s="16">
        <f t="shared" si="3"/>
        <v>-142.27388999999999</v>
      </c>
      <c r="M23" s="16">
        <f t="shared" si="3"/>
        <v>-142.27388999999999</v>
      </c>
      <c r="N23" s="16">
        <f t="shared" si="3"/>
        <v>-142.27388999999999</v>
      </c>
      <c r="O23" s="16">
        <f t="shared" si="3"/>
        <v>-142.27388999999999</v>
      </c>
      <c r="P23" s="16">
        <f t="shared" si="3"/>
        <v>-142.27388999999999</v>
      </c>
      <c r="Q23" s="16">
        <f t="shared" si="3"/>
        <v>-142.27388999999999</v>
      </c>
      <c r="R23" s="16">
        <f t="shared" si="3"/>
        <v>-142.27388999999999</v>
      </c>
      <c r="S23" s="16">
        <f t="shared" si="3"/>
        <v>-142.27388999999999</v>
      </c>
      <c r="T23" s="16">
        <f t="shared" si="3"/>
        <v>-142.27388999999999</v>
      </c>
      <c r="U23" s="16">
        <f t="shared" si="3"/>
        <v>-142.27388999999999</v>
      </c>
      <c r="V23" s="16">
        <f t="shared" si="3"/>
        <v>-142.27388999999999</v>
      </c>
      <c r="AI23" s="63" t="s">
        <v>98</v>
      </c>
      <c r="AJ23" s="66">
        <v>9</v>
      </c>
      <c r="AK23" s="65">
        <v>10</v>
      </c>
      <c r="AL23" s="29">
        <v>21</v>
      </c>
      <c r="AM23" s="11">
        <v>6.7</v>
      </c>
      <c r="AN23" s="11" t="s">
        <v>135</v>
      </c>
    </row>
    <row r="24" spans="1:40" ht="13.5" thickBot="1" x14ac:dyDescent="0.25">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str">
        <f t="shared" si="4"/>
        <v>DECREASE</v>
      </c>
      <c r="T24" s="26" t="str">
        <f t="shared" si="4"/>
        <v>DECREASE</v>
      </c>
      <c r="U24" s="26" t="str">
        <f t="shared" si="4"/>
        <v>DECREASE</v>
      </c>
      <c r="V24" s="26" t="str">
        <f t="shared" si="4"/>
        <v>DECREASE</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25">
      <c r="A28" s="108"/>
      <c r="B28" s="24">
        <v>1.23</v>
      </c>
      <c r="C28" s="15">
        <v>7.0000000000000007E-2</v>
      </c>
      <c r="D28" s="15">
        <v>198</v>
      </c>
      <c r="E28" s="15">
        <v>501</v>
      </c>
      <c r="F28" s="15">
        <v>69.8</v>
      </c>
      <c r="G28" s="15">
        <v>4.72</v>
      </c>
      <c r="H28" s="15">
        <v>2.02</v>
      </c>
      <c r="I28" s="15">
        <v>0.5</v>
      </c>
      <c r="J28" s="15">
        <v>0.01</v>
      </c>
      <c r="K28" s="23">
        <v>0.05</v>
      </c>
      <c r="L28" s="15">
        <v>0.2</v>
      </c>
      <c r="M28" s="15">
        <v>0.2</v>
      </c>
      <c r="N28" s="15"/>
      <c r="O28" s="15"/>
      <c r="P28" s="15">
        <v>26.3</v>
      </c>
      <c r="Q28" s="15">
        <v>90.3</v>
      </c>
      <c r="R28" s="15"/>
      <c r="S28" s="15"/>
      <c r="T28" s="15"/>
      <c r="U28" s="15"/>
    </row>
    <row r="29" spans="1:40" s="7" customFormat="1" ht="27" x14ac:dyDescent="0.2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5905</v>
      </c>
      <c r="B31" s="15">
        <v>142</v>
      </c>
      <c r="C31" s="77">
        <f>IF(C$27="%w/w SAR",((C$28*10)*$B31),IF(C$27="%w/w DM",(((C$28*10)*($B$28/100))*$B31),IF(C$27="kg/t SAR",(C$28*$B31),IF(C$27="kg/t DM",((C$28*($B$28/100))*$B31),IF(C$27="mg/kg SAR",((C$28*0.001)*$B31),IF(C$27="mg/kg DM",(((C$28*0.001)*($B$28/100))*$B31),0))))))</f>
        <v>99.4</v>
      </c>
      <c r="D31" s="77">
        <f>(IF(D$27="%w/w SAR",((D$28*10)*$B31),IF(D$27="%w/w DM",(((D$28*10)*($B$28/100))*$B31),IF(D$27="kg/t SAR",(D$28*$B31),IF(D$27="kg/t DM",((D$28*($B$28/100))*$B31),IF(D$27="mg/kg SAR",((D$28*0.001)*$B31),IF(D$27="mg/kg DM",(((D$28*0.001)*($B$28/100))*$B31),"0")))))))*2.291</f>
        <v>64.413755999999992</v>
      </c>
      <c r="E31" s="77">
        <f>(IF(E$27="%w/w SAR",((E$28*10)*$B31),IF(E$27="%w/w DM",(((E$28*10)*($B$28/100))*$B31),IF(E$27="kg/t SAR",(E$28*$B31),IF(E$27="kg/t DM",((E$28*($B$28/100))*$B31),IF(E$27="mg/kg SAR",((E$28*0.001)*$B31),IF(E$27="mg/kg DM",(((E$28*0.001)*($B$28/100))*$B31),"0")))))))*1.205</f>
        <v>85.726110000000006</v>
      </c>
      <c r="F31" s="77">
        <f>(IF(F$27="%w/w SAR",((F$28*10)*$B31),IF(F$27="%w/w DM",(((F$28*10)*($B$28/100))*$B31),IF(F$27="kg/t SAR",(F$28*$B31),IF(F$27="kg/t DM",((F$28*($B$28/100))*$B31),IF(F$27="mg/kg SAR",((F$28*0.001)*$B31),IF(F$27="mg/kg DM",(((F$28*0.001)*($B$28/100))*$B31),"0")))))))*1.658</f>
        <v>16.433432799999999</v>
      </c>
      <c r="G31" s="77">
        <f t="shared" ref="G31:P46" si="5">IF(G$27="%w/w SAR",((G$28*10)*$B31),IF(G$27="%w/w DM",(((G$28*10)*($B$28/100))*$B31),IF(G$27="kg/t SAR",(G$28*$B31),IF(G$27="kg/t DM",((G$28*($B$28/100))*$B31),IF(G$27="mg/kg SAR",((G$28*0.001)*$B31),IF(G$27="mg/kg DM",(((G$28*0.001)*($B$28/100))*$B31),0))))))</f>
        <v>0.67024000000000006</v>
      </c>
      <c r="H31" s="77">
        <f t="shared" si="5"/>
        <v>0.28684000000000004</v>
      </c>
      <c r="I31" s="77">
        <f t="shared" si="5"/>
        <v>7.1000000000000008E-2</v>
      </c>
      <c r="J31" s="77">
        <f t="shared" si="5"/>
        <v>1.42E-3</v>
      </c>
      <c r="K31" s="77">
        <f t="shared" si="5"/>
        <v>7.1000000000000004E-3</v>
      </c>
      <c r="L31" s="77">
        <f t="shared" si="5"/>
        <v>2.8400000000000002E-2</v>
      </c>
      <c r="M31" s="77">
        <f t="shared" si="5"/>
        <v>2.8400000000000002E-2</v>
      </c>
      <c r="N31" s="77">
        <f t="shared" si="5"/>
        <v>0</v>
      </c>
      <c r="O31" s="77">
        <f t="shared" si="5"/>
        <v>0</v>
      </c>
      <c r="P31" s="77">
        <f t="shared" si="5"/>
        <v>3.7345999999999999</v>
      </c>
      <c r="Q31" s="77">
        <f>(IF(Q$27="%w/w SAR",((Q$28*10)*$B31),IF(Q$27="%w/w DM",(((Q$28*10)*($B$28/100))*$B31),IF(Q$27="kg/t SAR",(Q$28*$B31),IF(Q$27="kg/t DM",((Q$28*($B$28/100))*$B31),IF(Q$27="mg/kg SAR",((Q$28*0.001)*$B31),IF(Q$27="mg/kg DM",(((Q$28*0.001)*($B$28/100))*$B31),0)))))))*2.5</f>
        <v>32.0565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4279</v>
      </c>
      <c r="B32" s="15">
        <v>142</v>
      </c>
      <c r="C32" s="77">
        <f t="shared" ref="C32:C50" si="6">IF(C$27="%w/w SAR",((C$28*10)*$B32),IF(C$27="%w/w DM",(((C$28*10)*($B$28/100))*$B32),IF(C$27="kg/t SAR",(C$28*$B32),IF(C$27="kg/t DM",((C$28*($B$28/100))*$B32),IF(C$27="mg/kg SAR",((C$28*0.001)*$B32),IF(C$27="mg/kg DM",(((C$28*0.001)*($B$28/100))*$B32),0))))))</f>
        <v>99.4</v>
      </c>
      <c r="D32" s="77">
        <f t="shared" ref="D32:D50" si="7">(IF(D$27="%w/w SAR",((D$28*10)*$B32),IF(D$27="%w/w DM",(((D$28*10)*($B$28/100))*$B32),IF(D$27="kg/t SAR",(D$28*$B32),IF(D$27="kg/t DM",((D$28*($B$28/100))*$B32),IF(D$27="mg/kg SAR",((D$28*0.001)*$B32),IF(D$27="mg/kg DM",(((D$28*0.001)*($B$28/100))*$B32),"0")))))))*2.291</f>
        <v>64.413755999999992</v>
      </c>
      <c r="E32" s="77">
        <f t="shared" ref="E32:E50" si="8">(IF(E$27="%w/w SAR",((E$28*10)*$B32),IF(E$27="%w/w DM",(((E$28*10)*($B$28/100))*$B32),IF(E$27="kg/t SAR",(E$28*$B32),IF(E$27="kg/t DM",((E$28*($B$28/100))*$B32),IF(E$27="mg/kg SAR",((E$28*0.001)*$B32),IF(E$27="mg/kg DM",(((E$28*0.001)*($B$28/100))*$B32),"0")))))))*1.205</f>
        <v>85.726110000000006</v>
      </c>
      <c r="F32" s="77">
        <f t="shared" ref="F32:F50" si="9">(IF(F$27="%w/w SAR",((F$28*10)*$B32),IF(F$27="%w/w DM",(((F$28*10)*($B$28/100))*$B32),IF(F$27="kg/t SAR",(F$28*$B32),IF(F$27="kg/t DM",((F$28*($B$28/100))*$B32),IF(F$27="mg/kg SAR",((F$28*0.001)*$B32),IF(F$27="mg/kg DM",(((F$28*0.001)*($B$28/100))*$B32),"0")))))))*1.658</f>
        <v>16.433432799999999</v>
      </c>
      <c r="G32" s="77">
        <f t="shared" si="5"/>
        <v>0.67024000000000006</v>
      </c>
      <c r="H32" s="77">
        <f t="shared" si="5"/>
        <v>0.28684000000000004</v>
      </c>
      <c r="I32" s="77">
        <f t="shared" si="5"/>
        <v>7.1000000000000008E-2</v>
      </c>
      <c r="J32" s="77">
        <f t="shared" si="5"/>
        <v>1.42E-3</v>
      </c>
      <c r="K32" s="77">
        <f t="shared" si="5"/>
        <v>7.1000000000000004E-3</v>
      </c>
      <c r="L32" s="77">
        <f t="shared" si="5"/>
        <v>2.8400000000000002E-2</v>
      </c>
      <c r="M32" s="77">
        <f t="shared" si="5"/>
        <v>2.8400000000000002E-2</v>
      </c>
      <c r="N32" s="77">
        <f t="shared" si="5"/>
        <v>0</v>
      </c>
      <c r="O32" s="77">
        <f t="shared" si="5"/>
        <v>0</v>
      </c>
      <c r="P32" s="77">
        <f t="shared" si="5"/>
        <v>3.7345999999999999</v>
      </c>
      <c r="Q32" s="77">
        <f t="shared" ref="Q32:Q50" si="10">(IF(Q$27="%w/w SAR",((Q$28*10)*$B32),IF(Q$27="%w/w DM",(((Q$28*10)*($B$28/100))*$B32),IF(Q$27="kg/t SAR",(Q$28*$B32),IF(Q$27="kg/t DM",((Q$28*($B$28/100))*$B32),IF(Q$27="mg/kg SAR",((Q$28*0.001)*$B32),IF(Q$27="mg/kg DM",(((Q$28*0.001)*($B$28/100))*$B32),0)))))))*2.5</f>
        <v>32.0565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7605</v>
      </c>
      <c r="B33" s="15">
        <v>142</v>
      </c>
      <c r="C33" s="77">
        <f t="shared" si="6"/>
        <v>99.4</v>
      </c>
      <c r="D33" s="77">
        <f t="shared" si="7"/>
        <v>64.413755999999992</v>
      </c>
      <c r="E33" s="77">
        <f t="shared" si="8"/>
        <v>85.726110000000006</v>
      </c>
      <c r="F33" s="77">
        <f t="shared" si="9"/>
        <v>16.433432799999999</v>
      </c>
      <c r="G33" s="77">
        <f t="shared" si="5"/>
        <v>0.67024000000000006</v>
      </c>
      <c r="H33" s="77">
        <f t="shared" si="5"/>
        <v>0.28684000000000004</v>
      </c>
      <c r="I33" s="77">
        <f t="shared" si="5"/>
        <v>7.1000000000000008E-2</v>
      </c>
      <c r="J33" s="77">
        <f t="shared" si="5"/>
        <v>1.42E-3</v>
      </c>
      <c r="K33" s="77">
        <f t="shared" si="5"/>
        <v>7.1000000000000004E-3</v>
      </c>
      <c r="L33" s="77">
        <f t="shared" si="5"/>
        <v>2.8400000000000002E-2</v>
      </c>
      <c r="M33" s="77">
        <f t="shared" si="5"/>
        <v>2.8400000000000002E-2</v>
      </c>
      <c r="N33" s="77">
        <f t="shared" si="5"/>
        <v>0</v>
      </c>
      <c r="O33" s="77">
        <f t="shared" si="5"/>
        <v>0</v>
      </c>
      <c r="P33" s="77">
        <f t="shared" si="5"/>
        <v>3.7345999999999999</v>
      </c>
      <c r="Q33" s="77">
        <f t="shared" si="10"/>
        <v>32.0565</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3851</v>
      </c>
      <c r="B34" s="15">
        <v>142</v>
      </c>
      <c r="C34" s="77">
        <f t="shared" si="6"/>
        <v>99.4</v>
      </c>
      <c r="D34" s="77">
        <f t="shared" si="7"/>
        <v>64.413755999999992</v>
      </c>
      <c r="E34" s="77">
        <f t="shared" si="8"/>
        <v>85.726110000000006</v>
      </c>
      <c r="F34" s="77">
        <f t="shared" si="9"/>
        <v>16.433432799999999</v>
      </c>
      <c r="G34" s="77">
        <f t="shared" si="5"/>
        <v>0.67024000000000006</v>
      </c>
      <c r="H34" s="77">
        <f t="shared" si="5"/>
        <v>0.28684000000000004</v>
      </c>
      <c r="I34" s="77">
        <f t="shared" si="5"/>
        <v>7.1000000000000008E-2</v>
      </c>
      <c r="J34" s="77">
        <f t="shared" si="5"/>
        <v>1.42E-3</v>
      </c>
      <c r="K34" s="77">
        <f t="shared" si="5"/>
        <v>7.1000000000000004E-3</v>
      </c>
      <c r="L34" s="77">
        <f t="shared" si="5"/>
        <v>2.8400000000000002E-2</v>
      </c>
      <c r="M34" s="77">
        <f t="shared" si="5"/>
        <v>2.8400000000000002E-2</v>
      </c>
      <c r="N34" s="77">
        <f t="shared" si="5"/>
        <v>0</v>
      </c>
      <c r="O34" s="77">
        <f t="shared" si="5"/>
        <v>0</v>
      </c>
      <c r="P34" s="77">
        <f t="shared" si="5"/>
        <v>3.7345999999999999</v>
      </c>
      <c r="Q34" s="77">
        <f t="shared" si="10"/>
        <v>32.0565</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6418</v>
      </c>
      <c r="B35" s="15">
        <v>142</v>
      </c>
      <c r="C35" s="77">
        <f t="shared" si="6"/>
        <v>99.4</v>
      </c>
      <c r="D35" s="77">
        <f t="shared" si="7"/>
        <v>64.413755999999992</v>
      </c>
      <c r="E35" s="77">
        <f t="shared" si="8"/>
        <v>85.726110000000006</v>
      </c>
      <c r="F35" s="77">
        <f t="shared" si="9"/>
        <v>16.433432799999999</v>
      </c>
      <c r="G35" s="77">
        <f t="shared" si="5"/>
        <v>0.67024000000000006</v>
      </c>
      <c r="H35" s="77">
        <f t="shared" si="5"/>
        <v>0.28684000000000004</v>
      </c>
      <c r="I35" s="77">
        <f t="shared" si="5"/>
        <v>7.1000000000000008E-2</v>
      </c>
      <c r="J35" s="77">
        <f t="shared" si="5"/>
        <v>1.42E-3</v>
      </c>
      <c r="K35" s="77">
        <f t="shared" si="5"/>
        <v>7.1000000000000004E-3</v>
      </c>
      <c r="L35" s="77">
        <f t="shared" si="5"/>
        <v>2.8400000000000002E-2</v>
      </c>
      <c r="M35" s="77">
        <f t="shared" si="5"/>
        <v>2.8400000000000002E-2</v>
      </c>
      <c r="N35" s="77">
        <f t="shared" si="5"/>
        <v>0</v>
      </c>
      <c r="O35" s="77">
        <f t="shared" si="5"/>
        <v>0</v>
      </c>
      <c r="P35" s="77">
        <f t="shared" si="5"/>
        <v>3.7345999999999999</v>
      </c>
      <c r="Q35" s="77">
        <f t="shared" si="10"/>
        <v>32.0565</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1843</v>
      </c>
      <c r="B36" s="15">
        <v>142</v>
      </c>
      <c r="C36" s="77">
        <f t="shared" si="6"/>
        <v>99.4</v>
      </c>
      <c r="D36" s="77">
        <f t="shared" si="7"/>
        <v>64.413755999999992</v>
      </c>
      <c r="E36" s="77">
        <f t="shared" si="8"/>
        <v>85.726110000000006</v>
      </c>
      <c r="F36" s="77">
        <f t="shared" si="9"/>
        <v>16.433432799999999</v>
      </c>
      <c r="G36" s="77">
        <f t="shared" si="5"/>
        <v>0.67024000000000006</v>
      </c>
      <c r="H36" s="77">
        <f t="shared" si="5"/>
        <v>0.28684000000000004</v>
      </c>
      <c r="I36" s="77">
        <f t="shared" si="5"/>
        <v>7.1000000000000008E-2</v>
      </c>
      <c r="J36" s="77">
        <f t="shared" si="5"/>
        <v>1.42E-3</v>
      </c>
      <c r="K36" s="77">
        <f t="shared" si="5"/>
        <v>7.1000000000000004E-3</v>
      </c>
      <c r="L36" s="77">
        <f t="shared" si="5"/>
        <v>2.8400000000000002E-2</v>
      </c>
      <c r="M36" s="77">
        <f t="shared" si="5"/>
        <v>2.8400000000000002E-2</v>
      </c>
      <c r="N36" s="77">
        <f t="shared" si="5"/>
        <v>0</v>
      </c>
      <c r="O36" s="77">
        <f t="shared" si="5"/>
        <v>0</v>
      </c>
      <c r="P36" s="77">
        <f t="shared" si="5"/>
        <v>3.7345999999999999</v>
      </c>
      <c r="Q36" s="77">
        <f t="shared" si="10"/>
        <v>32.0565</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5974</v>
      </c>
      <c r="B37" s="15">
        <v>142</v>
      </c>
      <c r="C37" s="77">
        <f t="shared" si="6"/>
        <v>99.4</v>
      </c>
      <c r="D37" s="77">
        <f t="shared" si="7"/>
        <v>64.413755999999992</v>
      </c>
      <c r="E37" s="77">
        <f t="shared" si="8"/>
        <v>85.726110000000006</v>
      </c>
      <c r="F37" s="77">
        <f t="shared" si="9"/>
        <v>16.433432799999999</v>
      </c>
      <c r="G37" s="77">
        <f t="shared" si="5"/>
        <v>0.67024000000000006</v>
      </c>
      <c r="H37" s="77">
        <f t="shared" si="5"/>
        <v>0.28684000000000004</v>
      </c>
      <c r="I37" s="77">
        <f t="shared" si="5"/>
        <v>7.1000000000000008E-2</v>
      </c>
      <c r="J37" s="77">
        <f t="shared" si="5"/>
        <v>1.42E-3</v>
      </c>
      <c r="K37" s="77">
        <f t="shared" si="5"/>
        <v>7.1000000000000004E-3</v>
      </c>
      <c r="L37" s="77">
        <f t="shared" si="5"/>
        <v>2.8400000000000002E-2</v>
      </c>
      <c r="M37" s="77">
        <f t="shared" si="5"/>
        <v>2.8400000000000002E-2</v>
      </c>
      <c r="N37" s="77">
        <f t="shared" si="5"/>
        <v>0</v>
      </c>
      <c r="O37" s="77">
        <f t="shared" si="5"/>
        <v>0</v>
      </c>
      <c r="P37" s="77">
        <f t="shared" si="5"/>
        <v>3.7345999999999999</v>
      </c>
      <c r="Q37" s="77">
        <f t="shared" si="10"/>
        <v>32.0565</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5490</v>
      </c>
      <c r="B38" s="15">
        <v>142</v>
      </c>
      <c r="C38" s="77">
        <f t="shared" si="6"/>
        <v>99.4</v>
      </c>
      <c r="D38" s="77">
        <f t="shared" si="7"/>
        <v>64.413755999999992</v>
      </c>
      <c r="E38" s="77">
        <f t="shared" si="8"/>
        <v>85.726110000000006</v>
      </c>
      <c r="F38" s="77">
        <f t="shared" si="9"/>
        <v>16.433432799999999</v>
      </c>
      <c r="G38" s="77">
        <f t="shared" si="5"/>
        <v>0.67024000000000006</v>
      </c>
      <c r="H38" s="77">
        <f t="shared" si="5"/>
        <v>0.28684000000000004</v>
      </c>
      <c r="I38" s="77">
        <f t="shared" si="5"/>
        <v>7.1000000000000008E-2</v>
      </c>
      <c r="J38" s="77">
        <f t="shared" si="5"/>
        <v>1.42E-3</v>
      </c>
      <c r="K38" s="77">
        <f t="shared" si="5"/>
        <v>7.1000000000000004E-3</v>
      </c>
      <c r="L38" s="77">
        <f t="shared" si="5"/>
        <v>2.8400000000000002E-2</v>
      </c>
      <c r="M38" s="77">
        <f t="shared" si="5"/>
        <v>2.8400000000000002E-2</v>
      </c>
      <c r="N38" s="77">
        <f t="shared" si="5"/>
        <v>0</v>
      </c>
      <c r="O38" s="77">
        <f t="shared" si="5"/>
        <v>0</v>
      </c>
      <c r="P38" s="77">
        <f t="shared" si="5"/>
        <v>3.7345999999999999</v>
      </c>
      <c r="Q38" s="77">
        <f t="shared" si="10"/>
        <v>32.0565</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2565</v>
      </c>
      <c r="B39" s="15">
        <v>142</v>
      </c>
      <c r="C39" s="77">
        <f t="shared" si="6"/>
        <v>99.4</v>
      </c>
      <c r="D39" s="77">
        <f t="shared" si="7"/>
        <v>64.413755999999992</v>
      </c>
      <c r="E39" s="77">
        <f t="shared" si="8"/>
        <v>85.726110000000006</v>
      </c>
      <c r="F39" s="77">
        <f t="shared" si="9"/>
        <v>16.433432799999999</v>
      </c>
      <c r="G39" s="77">
        <f t="shared" si="5"/>
        <v>0.67024000000000006</v>
      </c>
      <c r="H39" s="77">
        <f t="shared" si="5"/>
        <v>0.28684000000000004</v>
      </c>
      <c r="I39" s="77">
        <f t="shared" si="5"/>
        <v>7.1000000000000008E-2</v>
      </c>
      <c r="J39" s="77">
        <f t="shared" si="5"/>
        <v>1.42E-3</v>
      </c>
      <c r="K39" s="77">
        <f t="shared" si="5"/>
        <v>7.1000000000000004E-3</v>
      </c>
      <c r="L39" s="77">
        <f t="shared" si="5"/>
        <v>2.8400000000000002E-2</v>
      </c>
      <c r="M39" s="77">
        <f t="shared" si="5"/>
        <v>2.8400000000000002E-2</v>
      </c>
      <c r="N39" s="77">
        <f t="shared" si="5"/>
        <v>0</v>
      </c>
      <c r="O39" s="77">
        <f t="shared" si="5"/>
        <v>0</v>
      </c>
      <c r="P39" s="77">
        <f t="shared" si="5"/>
        <v>3.7345999999999999</v>
      </c>
      <c r="Q39" s="77">
        <f t="shared" si="10"/>
        <v>32.0565</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7887</v>
      </c>
      <c r="B40" s="15">
        <v>142</v>
      </c>
      <c r="C40" s="77">
        <f t="shared" si="6"/>
        <v>99.4</v>
      </c>
      <c r="D40" s="77">
        <f t="shared" si="7"/>
        <v>64.413755999999992</v>
      </c>
      <c r="E40" s="77">
        <f t="shared" si="8"/>
        <v>85.726110000000006</v>
      </c>
      <c r="F40" s="77">
        <f t="shared" si="9"/>
        <v>16.433432799999999</v>
      </c>
      <c r="G40" s="77">
        <f t="shared" si="5"/>
        <v>0.67024000000000006</v>
      </c>
      <c r="H40" s="77">
        <f t="shared" si="5"/>
        <v>0.28684000000000004</v>
      </c>
      <c r="I40" s="77">
        <f t="shared" si="5"/>
        <v>7.1000000000000008E-2</v>
      </c>
      <c r="J40" s="77">
        <f t="shared" si="5"/>
        <v>1.42E-3</v>
      </c>
      <c r="K40" s="77">
        <f t="shared" si="5"/>
        <v>7.1000000000000004E-3</v>
      </c>
      <c r="L40" s="77">
        <f t="shared" si="5"/>
        <v>2.8400000000000002E-2</v>
      </c>
      <c r="M40" s="77">
        <f t="shared" si="5"/>
        <v>2.8400000000000002E-2</v>
      </c>
      <c r="N40" s="77">
        <f t="shared" si="5"/>
        <v>0</v>
      </c>
      <c r="O40" s="77">
        <f t="shared" si="5"/>
        <v>0</v>
      </c>
      <c r="P40" s="77">
        <f t="shared" si="5"/>
        <v>3.7345999999999999</v>
      </c>
      <c r="Q40" s="77">
        <f t="shared" si="10"/>
        <v>32.0565</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2946</v>
      </c>
      <c r="B41" s="15">
        <v>142</v>
      </c>
      <c r="C41" s="77">
        <f t="shared" si="6"/>
        <v>99.4</v>
      </c>
      <c r="D41" s="77">
        <f t="shared" si="7"/>
        <v>64.413755999999992</v>
      </c>
      <c r="E41" s="77">
        <f t="shared" si="8"/>
        <v>85.726110000000006</v>
      </c>
      <c r="F41" s="77">
        <f t="shared" si="9"/>
        <v>16.433432799999999</v>
      </c>
      <c r="G41" s="77">
        <f t="shared" si="5"/>
        <v>0.67024000000000006</v>
      </c>
      <c r="H41" s="77">
        <f t="shared" si="5"/>
        <v>0.28684000000000004</v>
      </c>
      <c r="I41" s="77">
        <f t="shared" si="5"/>
        <v>7.1000000000000008E-2</v>
      </c>
      <c r="J41" s="77">
        <f t="shared" si="5"/>
        <v>1.42E-3</v>
      </c>
      <c r="K41" s="77">
        <f t="shared" si="5"/>
        <v>7.1000000000000004E-3</v>
      </c>
      <c r="L41" s="77">
        <f t="shared" si="5"/>
        <v>2.8400000000000002E-2</v>
      </c>
      <c r="M41" s="77">
        <f t="shared" si="5"/>
        <v>2.8400000000000002E-2</v>
      </c>
      <c r="N41" s="77">
        <f t="shared" si="5"/>
        <v>0</v>
      </c>
      <c r="O41" s="77">
        <f t="shared" si="5"/>
        <v>0</v>
      </c>
      <c r="P41" s="77">
        <f t="shared" si="5"/>
        <v>3.7345999999999999</v>
      </c>
      <c r="Q41" s="77">
        <f t="shared" si="10"/>
        <v>32.0565</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2881</v>
      </c>
      <c r="B42" s="15">
        <v>142</v>
      </c>
      <c r="C42" s="77">
        <f t="shared" si="6"/>
        <v>99.4</v>
      </c>
      <c r="D42" s="77">
        <f t="shared" si="7"/>
        <v>64.413755999999992</v>
      </c>
      <c r="E42" s="77">
        <f t="shared" si="8"/>
        <v>85.726110000000006</v>
      </c>
      <c r="F42" s="77">
        <f t="shared" si="9"/>
        <v>16.433432799999999</v>
      </c>
      <c r="G42" s="77">
        <f t="shared" si="5"/>
        <v>0.67024000000000006</v>
      </c>
      <c r="H42" s="77">
        <f t="shared" si="5"/>
        <v>0.28684000000000004</v>
      </c>
      <c r="I42" s="77">
        <f t="shared" si="5"/>
        <v>7.1000000000000008E-2</v>
      </c>
      <c r="J42" s="77">
        <f t="shared" si="5"/>
        <v>1.42E-3</v>
      </c>
      <c r="K42" s="77">
        <f t="shared" si="5"/>
        <v>7.1000000000000004E-3</v>
      </c>
      <c r="L42" s="77">
        <f t="shared" si="5"/>
        <v>2.8400000000000002E-2</v>
      </c>
      <c r="M42" s="77">
        <f t="shared" si="5"/>
        <v>2.8400000000000002E-2</v>
      </c>
      <c r="N42" s="77">
        <f t="shared" si="5"/>
        <v>0</v>
      </c>
      <c r="O42" s="77">
        <f t="shared" si="5"/>
        <v>0</v>
      </c>
      <c r="P42" s="77">
        <f t="shared" si="5"/>
        <v>3.7345999999999999</v>
      </c>
      <c r="Q42" s="77">
        <f t="shared" si="10"/>
        <v>32.0565</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3398</v>
      </c>
      <c r="B43" s="15">
        <v>142</v>
      </c>
      <c r="C43" s="77">
        <f t="shared" si="6"/>
        <v>99.4</v>
      </c>
      <c r="D43" s="77">
        <f t="shared" si="7"/>
        <v>64.413755999999992</v>
      </c>
      <c r="E43" s="77">
        <f t="shared" si="8"/>
        <v>85.726110000000006</v>
      </c>
      <c r="F43" s="77">
        <f t="shared" si="9"/>
        <v>16.433432799999999</v>
      </c>
      <c r="G43" s="77">
        <f t="shared" si="5"/>
        <v>0.67024000000000006</v>
      </c>
      <c r="H43" s="77">
        <f t="shared" si="5"/>
        <v>0.28684000000000004</v>
      </c>
      <c r="I43" s="77">
        <f t="shared" si="5"/>
        <v>7.1000000000000008E-2</v>
      </c>
      <c r="J43" s="77">
        <f t="shared" si="5"/>
        <v>1.42E-3</v>
      </c>
      <c r="K43" s="77">
        <f t="shared" si="5"/>
        <v>7.1000000000000004E-3</v>
      </c>
      <c r="L43" s="77">
        <f t="shared" si="5"/>
        <v>2.8400000000000002E-2</v>
      </c>
      <c r="M43" s="77">
        <f t="shared" si="5"/>
        <v>2.8400000000000002E-2</v>
      </c>
      <c r="N43" s="77">
        <f t="shared" si="5"/>
        <v>0</v>
      </c>
      <c r="O43" s="77">
        <f t="shared" si="5"/>
        <v>0</v>
      </c>
      <c r="P43" s="77">
        <f t="shared" si="5"/>
        <v>3.7345999999999999</v>
      </c>
      <c r="Q43" s="77">
        <f t="shared" si="10"/>
        <v>32.0565</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5694</v>
      </c>
      <c r="B44" s="15">
        <v>142</v>
      </c>
      <c r="C44" s="77">
        <f t="shared" si="6"/>
        <v>99.4</v>
      </c>
      <c r="D44" s="77">
        <f t="shared" si="7"/>
        <v>64.413755999999992</v>
      </c>
      <c r="E44" s="77">
        <f t="shared" si="8"/>
        <v>85.726110000000006</v>
      </c>
      <c r="F44" s="77">
        <f t="shared" si="9"/>
        <v>16.433432799999999</v>
      </c>
      <c r="G44" s="77">
        <f t="shared" si="5"/>
        <v>0.67024000000000006</v>
      </c>
      <c r="H44" s="77">
        <f t="shared" si="5"/>
        <v>0.28684000000000004</v>
      </c>
      <c r="I44" s="77">
        <f t="shared" si="5"/>
        <v>7.1000000000000008E-2</v>
      </c>
      <c r="J44" s="77">
        <f t="shared" si="5"/>
        <v>1.42E-3</v>
      </c>
      <c r="K44" s="77">
        <f t="shared" si="5"/>
        <v>7.1000000000000004E-3</v>
      </c>
      <c r="L44" s="77">
        <f t="shared" si="5"/>
        <v>2.8400000000000002E-2</v>
      </c>
      <c r="M44" s="77">
        <f t="shared" si="5"/>
        <v>2.8400000000000002E-2</v>
      </c>
      <c r="N44" s="77">
        <f t="shared" si="5"/>
        <v>0</v>
      </c>
      <c r="O44" s="77">
        <f t="shared" si="5"/>
        <v>0</v>
      </c>
      <c r="P44" s="77">
        <f t="shared" si="5"/>
        <v>3.7345999999999999</v>
      </c>
      <c r="Q44" s="77">
        <f t="shared" si="10"/>
        <v>32.0565</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2991</v>
      </c>
      <c r="B45" s="15">
        <v>142</v>
      </c>
      <c r="C45" s="77">
        <f t="shared" si="6"/>
        <v>99.4</v>
      </c>
      <c r="D45" s="77">
        <f t="shared" si="7"/>
        <v>64.413755999999992</v>
      </c>
      <c r="E45" s="77">
        <f t="shared" si="8"/>
        <v>85.726110000000006</v>
      </c>
      <c r="F45" s="77">
        <f t="shared" si="9"/>
        <v>16.433432799999999</v>
      </c>
      <c r="G45" s="77">
        <f t="shared" si="5"/>
        <v>0.67024000000000006</v>
      </c>
      <c r="H45" s="77">
        <f t="shared" si="5"/>
        <v>0.28684000000000004</v>
      </c>
      <c r="I45" s="77">
        <f t="shared" si="5"/>
        <v>7.1000000000000008E-2</v>
      </c>
      <c r="J45" s="77">
        <f t="shared" si="5"/>
        <v>1.42E-3</v>
      </c>
      <c r="K45" s="77">
        <f t="shared" si="5"/>
        <v>7.1000000000000004E-3</v>
      </c>
      <c r="L45" s="77">
        <f t="shared" si="5"/>
        <v>2.8400000000000002E-2</v>
      </c>
      <c r="M45" s="77">
        <f t="shared" si="5"/>
        <v>2.8400000000000002E-2</v>
      </c>
      <c r="N45" s="77">
        <f t="shared" si="5"/>
        <v>0</v>
      </c>
      <c r="O45" s="77">
        <f t="shared" si="5"/>
        <v>0</v>
      </c>
      <c r="P45" s="77">
        <f t="shared" si="5"/>
        <v>3.7345999999999999</v>
      </c>
      <c r="Q45" s="77">
        <f t="shared" si="10"/>
        <v>32.0565</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3799</v>
      </c>
      <c r="B46" s="15">
        <v>142</v>
      </c>
      <c r="C46" s="77">
        <f t="shared" si="6"/>
        <v>99.4</v>
      </c>
      <c r="D46" s="77">
        <f t="shared" si="7"/>
        <v>64.413755999999992</v>
      </c>
      <c r="E46" s="77">
        <f t="shared" si="8"/>
        <v>85.726110000000006</v>
      </c>
      <c r="F46" s="77">
        <f t="shared" si="9"/>
        <v>16.433432799999999</v>
      </c>
      <c r="G46" s="77">
        <f t="shared" si="5"/>
        <v>0.67024000000000006</v>
      </c>
      <c r="H46" s="77">
        <f t="shared" si="5"/>
        <v>0.28684000000000004</v>
      </c>
      <c r="I46" s="77">
        <f t="shared" si="5"/>
        <v>7.1000000000000008E-2</v>
      </c>
      <c r="J46" s="77">
        <f t="shared" si="5"/>
        <v>1.42E-3</v>
      </c>
      <c r="K46" s="77">
        <f t="shared" si="5"/>
        <v>7.1000000000000004E-3</v>
      </c>
      <c r="L46" s="77">
        <f t="shared" si="5"/>
        <v>2.8400000000000002E-2</v>
      </c>
      <c r="M46" s="77">
        <f t="shared" si="5"/>
        <v>2.8400000000000002E-2</v>
      </c>
      <c r="N46" s="77">
        <f t="shared" si="5"/>
        <v>0</v>
      </c>
      <c r="O46" s="77">
        <f t="shared" si="5"/>
        <v>0</v>
      </c>
      <c r="P46" s="77">
        <f t="shared" si="5"/>
        <v>3.7345999999999999</v>
      </c>
      <c r="Q46" s="77">
        <f t="shared" si="10"/>
        <v>32.0565</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5813</v>
      </c>
      <c r="B47" s="15">
        <v>142</v>
      </c>
      <c r="C47" s="77">
        <f t="shared" si="6"/>
        <v>99.4</v>
      </c>
      <c r="D47" s="77">
        <f t="shared" si="7"/>
        <v>64.413755999999992</v>
      </c>
      <c r="E47" s="77">
        <f t="shared" si="8"/>
        <v>85.726110000000006</v>
      </c>
      <c r="F47" s="77">
        <f t="shared" si="9"/>
        <v>16.433432799999999</v>
      </c>
      <c r="G47" s="77">
        <f t="shared" ref="G47:P50" si="12">IF(G$27="%w/w SAR",((G$28*10)*$B47),IF(G$27="%w/w DM",(((G$28*10)*($B$28/100))*$B47),IF(G$27="kg/t SAR",(G$28*$B47),IF(G$27="kg/t DM",((G$28*($B$28/100))*$B47),IF(G$27="mg/kg SAR",((G$28*0.001)*$B47),IF(G$27="mg/kg DM",(((G$28*0.001)*($B$28/100))*$B47),0))))))</f>
        <v>0.67024000000000006</v>
      </c>
      <c r="H47" s="77">
        <f t="shared" si="12"/>
        <v>0.28684000000000004</v>
      </c>
      <c r="I47" s="77">
        <f t="shared" si="12"/>
        <v>7.1000000000000008E-2</v>
      </c>
      <c r="J47" s="77">
        <f t="shared" si="12"/>
        <v>1.42E-3</v>
      </c>
      <c r="K47" s="77">
        <f t="shared" si="12"/>
        <v>7.1000000000000004E-3</v>
      </c>
      <c r="L47" s="77">
        <f t="shared" si="12"/>
        <v>2.8400000000000002E-2</v>
      </c>
      <c r="M47" s="77">
        <f t="shared" si="12"/>
        <v>2.8400000000000002E-2</v>
      </c>
      <c r="N47" s="77">
        <f t="shared" si="12"/>
        <v>0</v>
      </c>
      <c r="O47" s="77">
        <f t="shared" si="12"/>
        <v>0</v>
      </c>
      <c r="P47" s="77">
        <f t="shared" si="12"/>
        <v>3.7345999999999999</v>
      </c>
      <c r="Q47" s="77">
        <f t="shared" si="10"/>
        <v>32.0565</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1390</v>
      </c>
      <c r="B48" s="15">
        <v>142</v>
      </c>
      <c r="C48" s="77">
        <f t="shared" si="6"/>
        <v>99.4</v>
      </c>
      <c r="D48" s="77">
        <f t="shared" si="7"/>
        <v>64.413755999999992</v>
      </c>
      <c r="E48" s="77">
        <f t="shared" si="8"/>
        <v>85.726110000000006</v>
      </c>
      <c r="F48" s="77">
        <f t="shared" si="9"/>
        <v>16.433432799999999</v>
      </c>
      <c r="G48" s="77">
        <f t="shared" si="12"/>
        <v>0.67024000000000006</v>
      </c>
      <c r="H48" s="77">
        <f t="shared" si="12"/>
        <v>0.28684000000000004</v>
      </c>
      <c r="I48" s="77">
        <f t="shared" si="12"/>
        <v>7.1000000000000008E-2</v>
      </c>
      <c r="J48" s="77">
        <f t="shared" si="12"/>
        <v>1.42E-3</v>
      </c>
      <c r="K48" s="77">
        <f t="shared" si="12"/>
        <v>7.1000000000000004E-3</v>
      </c>
      <c r="L48" s="77">
        <f t="shared" si="12"/>
        <v>2.8400000000000002E-2</v>
      </c>
      <c r="M48" s="77">
        <f t="shared" si="12"/>
        <v>2.8400000000000002E-2</v>
      </c>
      <c r="N48" s="77">
        <f t="shared" si="12"/>
        <v>0</v>
      </c>
      <c r="O48" s="77">
        <f t="shared" si="12"/>
        <v>0</v>
      </c>
      <c r="P48" s="77">
        <f t="shared" si="12"/>
        <v>3.7345999999999999</v>
      </c>
      <c r="Q48" s="77">
        <f t="shared" si="10"/>
        <v>32.0565</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9596</v>
      </c>
      <c r="B49" s="15">
        <v>142</v>
      </c>
      <c r="C49" s="77">
        <f t="shared" si="6"/>
        <v>99.4</v>
      </c>
      <c r="D49" s="77">
        <f t="shared" si="7"/>
        <v>64.413755999999992</v>
      </c>
      <c r="E49" s="77">
        <f t="shared" si="8"/>
        <v>85.726110000000006</v>
      </c>
      <c r="F49" s="77">
        <f t="shared" si="9"/>
        <v>16.433432799999999</v>
      </c>
      <c r="G49" s="77">
        <f t="shared" si="12"/>
        <v>0.67024000000000006</v>
      </c>
      <c r="H49" s="77">
        <f t="shared" si="12"/>
        <v>0.28684000000000004</v>
      </c>
      <c r="I49" s="77">
        <f t="shared" si="12"/>
        <v>7.1000000000000008E-2</v>
      </c>
      <c r="J49" s="77">
        <f t="shared" si="12"/>
        <v>1.42E-3</v>
      </c>
      <c r="K49" s="77">
        <f t="shared" si="12"/>
        <v>7.1000000000000004E-3</v>
      </c>
      <c r="L49" s="77">
        <f t="shared" si="12"/>
        <v>2.8400000000000002E-2</v>
      </c>
      <c r="M49" s="77">
        <f t="shared" si="12"/>
        <v>2.8400000000000002E-2</v>
      </c>
      <c r="N49" s="77">
        <f t="shared" si="12"/>
        <v>0</v>
      </c>
      <c r="O49" s="77">
        <f t="shared" si="12"/>
        <v>0</v>
      </c>
      <c r="P49" s="77">
        <f t="shared" si="12"/>
        <v>3.7345999999999999</v>
      </c>
      <c r="Q49" s="77">
        <f t="shared" si="10"/>
        <v>32.0565</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716</v>
      </c>
      <c r="B50" s="15">
        <v>142</v>
      </c>
      <c r="C50" s="98">
        <f t="shared" si="6"/>
        <v>99.4</v>
      </c>
      <c r="D50" s="98">
        <f t="shared" si="7"/>
        <v>64.413755999999992</v>
      </c>
      <c r="E50" s="98">
        <f t="shared" si="8"/>
        <v>85.726110000000006</v>
      </c>
      <c r="F50" s="98">
        <f t="shared" si="9"/>
        <v>16.433432799999999</v>
      </c>
      <c r="G50" s="98">
        <f t="shared" si="12"/>
        <v>0.67024000000000006</v>
      </c>
      <c r="H50" s="98">
        <f t="shared" si="12"/>
        <v>0.28684000000000004</v>
      </c>
      <c r="I50" s="98">
        <f t="shared" si="12"/>
        <v>7.1000000000000008E-2</v>
      </c>
      <c r="J50" s="98">
        <f t="shared" si="12"/>
        <v>1.42E-3</v>
      </c>
      <c r="K50" s="98">
        <f t="shared" si="12"/>
        <v>7.1000000000000004E-3</v>
      </c>
      <c r="L50" s="98">
        <f t="shared" si="12"/>
        <v>2.8400000000000002E-2</v>
      </c>
      <c r="M50" s="98">
        <f t="shared" si="12"/>
        <v>2.8400000000000002E-2</v>
      </c>
      <c r="N50" s="98">
        <f t="shared" si="12"/>
        <v>0</v>
      </c>
      <c r="O50" s="98">
        <f t="shared" si="12"/>
        <v>0</v>
      </c>
      <c r="P50" s="98">
        <f t="shared" si="12"/>
        <v>3.7345999999999999</v>
      </c>
      <c r="Q50" s="98">
        <f t="shared" si="10"/>
        <v>32.0565</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5905</v>
      </c>
      <c r="C57" s="8">
        <f t="shared" ref="C57:U57" si="13">D8</f>
        <v>4279</v>
      </c>
      <c r="D57" s="8">
        <f t="shared" si="13"/>
        <v>7605</v>
      </c>
      <c r="E57" s="8">
        <f t="shared" si="13"/>
        <v>3851</v>
      </c>
      <c r="F57" s="8">
        <f t="shared" si="13"/>
        <v>6418</v>
      </c>
      <c r="G57" s="8">
        <f t="shared" si="13"/>
        <v>1843</v>
      </c>
      <c r="H57" s="8">
        <f t="shared" si="13"/>
        <v>5974</v>
      </c>
      <c r="I57" s="8">
        <f t="shared" si="13"/>
        <v>5490</v>
      </c>
      <c r="J57" s="8">
        <f t="shared" si="13"/>
        <v>2565</v>
      </c>
      <c r="K57" s="8">
        <f t="shared" si="13"/>
        <v>7887</v>
      </c>
      <c r="L57" s="8">
        <f t="shared" si="13"/>
        <v>2946</v>
      </c>
      <c r="M57" s="8">
        <f t="shared" si="13"/>
        <v>2881</v>
      </c>
      <c r="N57" s="8">
        <f t="shared" si="13"/>
        <v>3398</v>
      </c>
      <c r="O57" s="8">
        <f t="shared" si="13"/>
        <v>5694</v>
      </c>
      <c r="P57" s="8">
        <f t="shared" si="13"/>
        <v>2991</v>
      </c>
      <c r="Q57" s="8">
        <f t="shared" si="13"/>
        <v>3799</v>
      </c>
      <c r="R57" s="8">
        <f t="shared" si="13"/>
        <v>5813</v>
      </c>
      <c r="S57" s="8">
        <f t="shared" si="13"/>
        <v>1390</v>
      </c>
      <c r="T57" s="8">
        <f t="shared" si="13"/>
        <v>9596</v>
      </c>
      <c r="U57" s="8">
        <f t="shared" si="13"/>
        <v>716</v>
      </c>
    </row>
    <row r="58" spans="1:35" s="19" customFormat="1" x14ac:dyDescent="0.25">
      <c r="A58" s="92" t="s">
        <v>136</v>
      </c>
      <c r="B58" s="13" t="str">
        <f>C16&amp;" I "&amp;(VLOOKUP(C14,Table2458[],6,FALSE))</f>
        <v>Medium/Clay I Grass</v>
      </c>
      <c r="C58" s="13" t="str">
        <f>D16&amp;" I "&amp;(VLOOKUP(D14,Table2458[],6,FALSE))</f>
        <v>Medium/Clay I Grass</v>
      </c>
      <c r="D58" s="13" t="str">
        <f>E16&amp;" I "&amp;(VLOOKUP(E14,Table2458[],6,FALSE))</f>
        <v>Medium/Clay I Grass</v>
      </c>
      <c r="E58" s="13" t="str">
        <f>F16&amp;" I "&amp;(VLOOKUP(F14,Table2458[],6,FALSE))</f>
        <v>Medium/Clay I Grass</v>
      </c>
      <c r="F58" s="13" t="str">
        <f>G16&amp;" I "&amp;(VLOOKUP(G14,Table2458[],6,FALSE))</f>
        <v>Medium/Clay I Grass</v>
      </c>
      <c r="G58" s="13" t="str">
        <f>H16&amp;" I "&amp;(VLOOKUP(H14,Table2458[],6,FALSE))</f>
        <v>Medium/Clay I Grass</v>
      </c>
      <c r="H58" s="13" t="str">
        <f>I16&amp;" I "&amp;(VLOOKUP(I14,Table2458[],6,FALSE))</f>
        <v>Medium/Clay I Grass</v>
      </c>
      <c r="I58" s="13" t="str">
        <f>J16&amp;" I "&amp;(VLOOKUP(J14,Table2458[],6,FALSE))</f>
        <v>Medium/Clay I Grass</v>
      </c>
      <c r="J58" s="13" t="str">
        <f>K16&amp;" I "&amp;(VLOOKUP(K14,Table2458[],6,FALSE))</f>
        <v>Medium/Clay I Grass</v>
      </c>
      <c r="K58" s="13" t="str">
        <f>L16&amp;" I "&amp;(VLOOKUP(L14,Table2458[],6,FALSE))</f>
        <v>Medium/Clay I Grass</v>
      </c>
      <c r="L58" s="13" t="str">
        <f>M16&amp;" I "&amp;(VLOOKUP(M14,Table2458[],6,FALSE))</f>
        <v>Medium/Clay I Grass</v>
      </c>
      <c r="M58" s="13" t="str">
        <f>N16&amp;" I "&amp;(VLOOKUP(N14,Table2458[],6,FALSE))</f>
        <v>Medium/Clay I Grass</v>
      </c>
      <c r="N58" s="13" t="str">
        <f>O16&amp;" I "&amp;(VLOOKUP(O14,Table2458[],6,FALSE))</f>
        <v>Medium/Clay I Grass</v>
      </c>
      <c r="O58" s="13" t="str">
        <f>P16&amp;" I "&amp;(VLOOKUP(P14,Table2458[],6,FALSE))</f>
        <v>Medium/Clay I Grass</v>
      </c>
      <c r="P58" s="13" t="str">
        <f>Q16&amp;" I "&amp;(VLOOKUP(Q14,Table2458[],6,FALSE))</f>
        <v>Medium/Clay I Grass</v>
      </c>
      <c r="Q58" s="13" t="str">
        <f>R16&amp;" I "&amp;(VLOOKUP(R14,Table2458[],6,FALSE))</f>
        <v>Medium/Clay I Grass</v>
      </c>
      <c r="R58" s="13" t="str">
        <f>S16&amp;" I "&amp;(VLOOKUP(S14,Table2458[],6,FALSE))</f>
        <v>Medium/Clay I Grass</v>
      </c>
      <c r="S58" s="13" t="str">
        <f>T16&amp;" I "&amp;(VLOOKUP(T14,Table2458[],6,FALSE))</f>
        <v>Medium/Clay I Grass</v>
      </c>
      <c r="T58" s="13" t="str">
        <f>U16&amp;" I "&amp;(VLOOKUP(U14,Table2458[],6,FALSE))</f>
        <v>Medium/Clay I Grass</v>
      </c>
      <c r="U58" s="13" t="str">
        <f>V16&amp;" I "&amp;(VLOOKUP(V14,Table2458[],6,FALSE))</f>
        <v>Medium/Clay I Grass</v>
      </c>
    </row>
    <row r="59" spans="1:35" s="19" customFormat="1" x14ac:dyDescent="0.2">
      <c r="A59" s="111" t="s">
        <v>132</v>
      </c>
      <c r="B59" s="76">
        <f>VLOOKUP(C$14,Table2458[],5,FALSE)</f>
        <v>6.2</v>
      </c>
      <c r="C59" s="76">
        <f>VLOOKUP(D$14,Table2458[],5,FALSE)</f>
        <v>6.2</v>
      </c>
      <c r="D59" s="76">
        <f>VLOOKUP(E$14,Table2458[],5,FALSE)</f>
        <v>6.2</v>
      </c>
      <c r="E59" s="76">
        <f>VLOOKUP(F$14,Table2458[],5,FALSE)</f>
        <v>6.2</v>
      </c>
      <c r="F59" s="76">
        <f>VLOOKUP(G$14,Table2458[],5,FALSE)</f>
        <v>6.2</v>
      </c>
      <c r="G59" s="76">
        <f>VLOOKUP(H$14,Table2458[],5,FALSE)</f>
        <v>6.2</v>
      </c>
      <c r="H59" s="76">
        <f>VLOOKUP(I$14,Table2458[],5,FALSE)</f>
        <v>6.2</v>
      </c>
      <c r="I59" s="76">
        <f>VLOOKUP(J$14,Table2458[],5,FALSE)</f>
        <v>6.2</v>
      </c>
      <c r="J59" s="76">
        <f>VLOOKUP(K$14,Table2458[],5,FALSE)</f>
        <v>6.2</v>
      </c>
      <c r="K59" s="76">
        <f>VLOOKUP(L$14,Table2458[],5,FALSE)</f>
        <v>6.2</v>
      </c>
      <c r="L59" s="76">
        <f>VLOOKUP(M$14,Table2458[],5,FALSE)</f>
        <v>6.2</v>
      </c>
      <c r="M59" s="76">
        <f>VLOOKUP(N$14,Table2458[],5,FALSE)</f>
        <v>6.2</v>
      </c>
      <c r="N59" s="76">
        <f>VLOOKUP(O$14,Table2458[],5,FALSE)</f>
        <v>6.2</v>
      </c>
      <c r="O59" s="76">
        <f>VLOOKUP(P$14,Table2458[],5,FALSE)</f>
        <v>6.2</v>
      </c>
      <c r="P59" s="76">
        <f>VLOOKUP(Q$14,Table2458[],5,FALSE)</f>
        <v>6.2</v>
      </c>
      <c r="Q59" s="76">
        <f>VLOOKUP(R$14,Table2458[],5,FALSE)</f>
        <v>6.2</v>
      </c>
      <c r="R59" s="76">
        <f>VLOOKUP(S$14,Table2458[],5,FALSE)</f>
        <v>6.2</v>
      </c>
      <c r="S59" s="76">
        <f>VLOOKUP(T$14,Table2458[],5,FALSE)</f>
        <v>6.2</v>
      </c>
      <c r="T59" s="76">
        <f>VLOOKUP(U$14,Table2458[],5,FALSE)</f>
        <v>6.2</v>
      </c>
      <c r="U59" s="76">
        <f>VLOOKUP(V$14,Table2458[],5,FALSE)</f>
        <v>6.2</v>
      </c>
    </row>
    <row r="60" spans="1:35" s="19" customFormat="1" x14ac:dyDescent="0.2">
      <c r="A60" s="111" t="s">
        <v>4</v>
      </c>
      <c r="B60" s="76">
        <f>C10</f>
        <v>6.2</v>
      </c>
      <c r="C60" s="76">
        <f t="shared" ref="C60:U60" si="14">D10</f>
        <v>5.6</v>
      </c>
      <c r="D60" s="76">
        <f t="shared" si="14"/>
        <v>6.3</v>
      </c>
      <c r="E60" s="76">
        <f t="shared" si="14"/>
        <v>6</v>
      </c>
      <c r="F60" s="76">
        <f t="shared" si="14"/>
        <v>5.8</v>
      </c>
      <c r="G60" s="76">
        <f t="shared" si="14"/>
        <v>5.3</v>
      </c>
      <c r="H60" s="76">
        <f t="shared" si="14"/>
        <v>6</v>
      </c>
      <c r="I60" s="76">
        <f t="shared" si="14"/>
        <v>6.1</v>
      </c>
      <c r="J60" s="76">
        <f t="shared" si="14"/>
        <v>5.5</v>
      </c>
      <c r="K60" s="76">
        <f t="shared" si="14"/>
        <v>6.1</v>
      </c>
      <c r="L60" s="76">
        <f t="shared" si="14"/>
        <v>5.5</v>
      </c>
      <c r="M60" s="76">
        <f t="shared" si="14"/>
        <v>5.6</v>
      </c>
      <c r="N60" s="76">
        <f t="shared" si="14"/>
        <v>5.9</v>
      </c>
      <c r="O60" s="76">
        <f t="shared" si="14"/>
        <v>6.5</v>
      </c>
      <c r="P60" s="76">
        <f t="shared" si="14"/>
        <v>5.7</v>
      </c>
      <c r="Q60" s="76">
        <f t="shared" si="14"/>
        <v>6.4</v>
      </c>
      <c r="R60" s="76">
        <f t="shared" si="14"/>
        <v>6.7</v>
      </c>
      <c r="S60" s="76">
        <f t="shared" si="14"/>
        <v>5.4</v>
      </c>
      <c r="T60" s="76">
        <f t="shared" si="14"/>
        <v>5.5</v>
      </c>
      <c r="U60" s="76">
        <f t="shared" si="14"/>
        <v>6.4</v>
      </c>
    </row>
    <row r="61" spans="1:35" s="19" customFormat="1" x14ac:dyDescent="0.2">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f t="shared" si="15"/>
        <v>6</v>
      </c>
      <c r="R61" s="76">
        <f t="shared" si="15"/>
        <v>6</v>
      </c>
      <c r="S61" s="76">
        <f t="shared" si="15"/>
        <v>6</v>
      </c>
      <c r="T61" s="76">
        <f t="shared" si="15"/>
        <v>6</v>
      </c>
      <c r="U61" s="76">
        <f t="shared" si="15"/>
        <v>6</v>
      </c>
    </row>
    <row r="62" spans="1:35" s="19" customFormat="1" x14ac:dyDescent="0.2">
      <c r="A62" s="111" t="s">
        <v>134</v>
      </c>
      <c r="B62" s="77">
        <f>B31</f>
        <v>142</v>
      </c>
      <c r="C62" s="77">
        <f>B32</f>
        <v>142</v>
      </c>
      <c r="D62" s="77">
        <f>B33</f>
        <v>142</v>
      </c>
      <c r="E62" s="77">
        <f>B34</f>
        <v>142</v>
      </c>
      <c r="F62" s="77">
        <f>B35</f>
        <v>142</v>
      </c>
      <c r="G62" s="77">
        <f>B36</f>
        <v>142</v>
      </c>
      <c r="H62" s="77">
        <f>B37</f>
        <v>142</v>
      </c>
      <c r="I62" s="77">
        <f>B38</f>
        <v>142</v>
      </c>
      <c r="J62" s="77">
        <f>B39</f>
        <v>142</v>
      </c>
      <c r="K62" s="77">
        <f>B40</f>
        <v>142</v>
      </c>
      <c r="L62" s="77">
        <f>B41</f>
        <v>142</v>
      </c>
      <c r="M62" s="77">
        <f>B42</f>
        <v>142</v>
      </c>
      <c r="N62" s="77">
        <f>B43</f>
        <v>142</v>
      </c>
      <c r="O62" s="77">
        <f>B44</f>
        <v>142</v>
      </c>
      <c r="P62" s="77">
        <f>B45</f>
        <v>142</v>
      </c>
      <c r="Q62" s="77">
        <f>B46</f>
        <v>142</v>
      </c>
      <c r="R62" s="77">
        <f>B47</f>
        <v>142</v>
      </c>
      <c r="S62" s="77">
        <f>B48</f>
        <v>142</v>
      </c>
      <c r="T62" s="77">
        <f>B49</f>
        <v>142</v>
      </c>
      <c r="U62" s="77">
        <f>B50</f>
        <v>142</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0</v>
      </c>
      <c r="C64" s="77">
        <f t="shared" ref="C64:U64" si="17">(C59-C60)*C61</f>
        <v>3.6000000000000032</v>
      </c>
      <c r="D64" s="77">
        <f t="shared" si="17"/>
        <v>-0.59999999999999787</v>
      </c>
      <c r="E64" s="77">
        <f t="shared" si="17"/>
        <v>1.2000000000000011</v>
      </c>
      <c r="F64" s="77">
        <f t="shared" si="17"/>
        <v>2.4000000000000021</v>
      </c>
      <c r="G64" s="77">
        <f t="shared" si="17"/>
        <v>5.4000000000000021</v>
      </c>
      <c r="H64" s="77">
        <f t="shared" si="17"/>
        <v>1.2000000000000011</v>
      </c>
      <c r="I64" s="77">
        <f t="shared" si="17"/>
        <v>0.6000000000000032</v>
      </c>
      <c r="J64" s="77">
        <f t="shared" si="17"/>
        <v>4.2000000000000011</v>
      </c>
      <c r="K64" s="77">
        <f t="shared" si="17"/>
        <v>0.6000000000000032</v>
      </c>
      <c r="L64" s="77">
        <f t="shared" si="17"/>
        <v>4.2000000000000011</v>
      </c>
      <c r="M64" s="77">
        <f t="shared" si="17"/>
        <v>3.6000000000000032</v>
      </c>
      <c r="N64" s="77">
        <f t="shared" si="17"/>
        <v>1.7999999999999989</v>
      </c>
      <c r="O64" s="77">
        <f t="shared" si="17"/>
        <v>-1.7999999999999989</v>
      </c>
      <c r="P64" s="77">
        <f t="shared" si="17"/>
        <v>3</v>
      </c>
      <c r="Q64" s="77">
        <f t="shared" si="17"/>
        <v>-1.2000000000000011</v>
      </c>
      <c r="R64" s="77">
        <f t="shared" si="17"/>
        <v>-3</v>
      </c>
      <c r="S64" s="77">
        <f t="shared" si="17"/>
        <v>4.7999999999999989</v>
      </c>
      <c r="T64" s="77">
        <f t="shared" si="17"/>
        <v>4.2000000000000011</v>
      </c>
      <c r="U64" s="77">
        <f t="shared" si="17"/>
        <v>-1.2000000000000011</v>
      </c>
    </row>
    <row r="65" spans="1:21" s="19" customFormat="1" ht="51" x14ac:dyDescent="0.2">
      <c r="A65" s="112" t="s">
        <v>157</v>
      </c>
      <c r="B65" s="77">
        <f>B63-B64</f>
        <v>0</v>
      </c>
      <c r="C65" s="77">
        <f t="shared" ref="C65:U65" si="18">C63-C64</f>
        <v>-3.6000000000000032</v>
      </c>
      <c r="D65" s="77">
        <f t="shared" si="18"/>
        <v>0.59999999999999787</v>
      </c>
      <c r="E65" s="77">
        <f t="shared" si="18"/>
        <v>-1.2000000000000011</v>
      </c>
      <c r="F65" s="77">
        <f t="shared" si="18"/>
        <v>-2.4000000000000021</v>
      </c>
      <c r="G65" s="77">
        <f t="shared" si="18"/>
        <v>-5.4000000000000021</v>
      </c>
      <c r="H65" s="77">
        <f t="shared" si="18"/>
        <v>-1.2000000000000011</v>
      </c>
      <c r="I65" s="77">
        <f t="shared" si="18"/>
        <v>-0.6000000000000032</v>
      </c>
      <c r="J65" s="77">
        <f t="shared" si="18"/>
        <v>-4.2000000000000011</v>
      </c>
      <c r="K65" s="77">
        <f t="shared" si="18"/>
        <v>-0.6000000000000032</v>
      </c>
      <c r="L65" s="77">
        <f t="shared" si="18"/>
        <v>-4.2000000000000011</v>
      </c>
      <c r="M65" s="77">
        <f t="shared" si="18"/>
        <v>-3.6000000000000032</v>
      </c>
      <c r="N65" s="77">
        <f t="shared" si="18"/>
        <v>-1.7999999999999989</v>
      </c>
      <c r="O65" s="77">
        <f t="shared" si="18"/>
        <v>1.7999999999999989</v>
      </c>
      <c r="P65" s="77">
        <f t="shared" si="18"/>
        <v>-3</v>
      </c>
      <c r="Q65" s="77">
        <f t="shared" si="18"/>
        <v>1.2000000000000011</v>
      </c>
      <c r="R65" s="77">
        <f t="shared" si="18"/>
        <v>3</v>
      </c>
      <c r="S65" s="77">
        <f t="shared" si="18"/>
        <v>-4.7999999999999989</v>
      </c>
      <c r="T65" s="77">
        <f t="shared" si="18"/>
        <v>-4.2000000000000011</v>
      </c>
      <c r="U65" s="77">
        <f t="shared" si="18"/>
        <v>1.2000000000000011</v>
      </c>
    </row>
    <row r="66" spans="1:21" s="19" customFormat="1" ht="38.25" x14ac:dyDescent="0.2">
      <c r="A66" s="112" t="s">
        <v>148</v>
      </c>
      <c r="B66" s="78" t="str">
        <f>IF(B64&lt;=B63,"OVER","UNDER")</f>
        <v>OVER</v>
      </c>
      <c r="C66" s="78" t="str">
        <f t="shared" ref="C66:U66" si="19">IF(C64&lt;=C63,"OVER","UNDER")</f>
        <v>UNDER</v>
      </c>
      <c r="D66" s="78" t="str">
        <f t="shared" si="19"/>
        <v>OVER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str">
        <f t="shared" si="19"/>
        <v>UNDER</v>
      </c>
      <c r="N66" s="78" t="str">
        <f t="shared" si="19"/>
        <v>UNDER</v>
      </c>
      <c r="O66" s="78" t="str">
        <f t="shared" si="19"/>
        <v>OVER</v>
      </c>
      <c r="P66" s="78" t="str">
        <f t="shared" si="19"/>
        <v>UNDER</v>
      </c>
      <c r="Q66" s="78" t="str">
        <f t="shared" si="19"/>
        <v>OVER</v>
      </c>
      <c r="R66" s="78" t="str">
        <f t="shared" si="19"/>
        <v>OVER</v>
      </c>
      <c r="S66" s="78" t="str">
        <f t="shared" si="19"/>
        <v>UNDER</v>
      </c>
      <c r="T66" s="78" t="str">
        <f t="shared" si="19"/>
        <v>UNDER</v>
      </c>
      <c r="U66" s="78" t="str">
        <f t="shared" si="19"/>
        <v>OVER</v>
      </c>
    </row>
  </sheetData>
  <sheetProtection algorithmName="SHA-512" hashValue="T1CP9GJjsQ0aRYY67W7r+EonZfTOcxe22OgC34x6QR5LhZc6lP9jcw8fiDgBZddNoIm+ZwA0GJblYsgeQcs/Aw==" saltValue="7U6PR/TzQ9D7NSQ76UrGJ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67" priority="37" operator="equal">
      <formula>"DECREASE"</formula>
    </cfRule>
    <cfRule type="cellIs" dxfId="166" priority="38" operator="equal">
      <formula>"INCREASE"</formula>
    </cfRule>
  </conditionalFormatting>
  <conditionalFormatting sqref="B62:U66 B31:B50">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tabSelected="1" zoomScale="90" zoomScaleNormal="90" workbookViewId="0">
      <selection activeCell="B31" sqref="B31:B50"/>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19" t="s">
        <v>41</v>
      </c>
      <c r="B1" s="119"/>
      <c r="C1" s="140" t="str">
        <f>Secanim!C1:D1</f>
        <v>PAN-021626</v>
      </c>
      <c r="D1" s="141"/>
      <c r="E1" s="93" t="s">
        <v>45</v>
      </c>
      <c r="F1" s="39">
        <f>Secanim!F1</f>
        <v>48.6</v>
      </c>
      <c r="G1" s="120" t="s">
        <v>43</v>
      </c>
      <c r="H1" s="121"/>
      <c r="I1" s="118">
        <v>4.0199999999999996</v>
      </c>
      <c r="J1" s="119" t="s">
        <v>153</v>
      </c>
      <c r="K1" s="119"/>
      <c r="L1" s="97">
        <v>50</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19" t="s">
        <v>87</v>
      </c>
      <c r="B2" s="119"/>
      <c r="C2" s="142" t="str">
        <f>Secanim!C2:D2</f>
        <v>KP3594VE</v>
      </c>
      <c r="D2" s="143"/>
      <c r="E2" s="93" t="s">
        <v>109</v>
      </c>
      <c r="F2" s="96" t="s">
        <v>170</v>
      </c>
      <c r="G2" s="138" t="s">
        <v>110</v>
      </c>
      <c r="H2" s="139"/>
      <c r="I2" s="118">
        <v>299</v>
      </c>
      <c r="J2" s="119" t="s">
        <v>158</v>
      </c>
      <c r="K2" s="119"/>
      <c r="L2" s="97">
        <v>0.32</v>
      </c>
      <c r="AB2" s="30" t="s">
        <v>56</v>
      </c>
      <c r="AC2" s="17"/>
      <c r="AD2" s="30" t="s">
        <v>70</v>
      </c>
      <c r="AE2" s="17"/>
      <c r="AF2" s="17"/>
      <c r="AG2" s="44" t="s">
        <v>76</v>
      </c>
      <c r="AH2" s="18"/>
      <c r="AI2" s="45" t="s">
        <v>126</v>
      </c>
      <c r="AJ2" s="46">
        <v>0</v>
      </c>
      <c r="AK2" s="47">
        <v>0</v>
      </c>
      <c r="AL2" s="10">
        <v>0</v>
      </c>
      <c r="AM2" s="11">
        <v>0</v>
      </c>
      <c r="AN2" s="11">
        <v>0</v>
      </c>
    </row>
    <row r="3" spans="1:41" x14ac:dyDescent="0.2">
      <c r="A3" s="120" t="s">
        <v>42</v>
      </c>
      <c r="B3" s="121"/>
      <c r="C3" s="142" t="str">
        <f>Secanim!C3:D3</f>
        <v>Trade Effluent Services Limited</v>
      </c>
      <c r="D3" s="143"/>
      <c r="E3" s="93" t="s">
        <v>108</v>
      </c>
      <c r="F3" s="31"/>
      <c r="G3" s="119" t="s">
        <v>159</v>
      </c>
      <c r="H3" s="119"/>
      <c r="I3" s="118">
        <v>200</v>
      </c>
      <c r="J3" s="120" t="s">
        <v>154</v>
      </c>
      <c r="K3" s="121"/>
      <c r="L3" s="97">
        <f>(L1/(L2*10000))*100</f>
        <v>1.5625</v>
      </c>
      <c r="AB3" s="30" t="s">
        <v>57</v>
      </c>
      <c r="AC3" s="17"/>
      <c r="AD3" s="30" t="s">
        <v>71</v>
      </c>
      <c r="AE3" s="17"/>
      <c r="AF3" s="17"/>
      <c r="AG3" s="44" t="s">
        <v>77</v>
      </c>
      <c r="AH3" s="18"/>
      <c r="AI3" s="48" t="s">
        <v>113</v>
      </c>
      <c r="AJ3" s="49">
        <v>1.7</v>
      </c>
      <c r="AK3" s="50">
        <v>6</v>
      </c>
      <c r="AL3" s="51">
        <v>1</v>
      </c>
      <c r="AM3" s="11">
        <v>6.2</v>
      </c>
      <c r="AN3" s="11" t="s">
        <v>112</v>
      </c>
    </row>
    <row r="4" spans="1:41" x14ac:dyDescent="0.2">
      <c r="A4" s="119" t="s">
        <v>0</v>
      </c>
      <c r="B4" s="119"/>
      <c r="C4" s="140" t="str">
        <f>Secanim!C4:D4</f>
        <v>Gwaenynog Bach Farm, Pentrefoelas Road, Bryn Ynys, Denbigh, Y Groes, Denbighshire, LL16 5RP</v>
      </c>
      <c r="D4" s="141"/>
      <c r="E4" s="94" t="s">
        <v>1</v>
      </c>
      <c r="F4" s="96" t="s">
        <v>177</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x14ac:dyDescent="0.2">
      <c r="A5" s="119" t="s">
        <v>47</v>
      </c>
      <c r="B5" s="119"/>
      <c r="C5" s="140" t="str">
        <f>Secanim!C5:D5</f>
        <v>Louise Bailey</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19" t="s">
        <v>2</v>
      </c>
      <c r="B8" s="119"/>
      <c r="C8" s="60">
        <f>Secanim!C8</f>
        <v>5905</v>
      </c>
      <c r="D8" s="60">
        <f>Secanim!D8</f>
        <v>4279</v>
      </c>
      <c r="E8" s="60">
        <f>Secanim!E8</f>
        <v>7605</v>
      </c>
      <c r="F8" s="60">
        <f>Secanim!F8</f>
        <v>3851</v>
      </c>
      <c r="G8" s="60">
        <f>Secanim!G8</f>
        <v>6418</v>
      </c>
      <c r="H8" s="60">
        <f>Secanim!H8</f>
        <v>1843</v>
      </c>
      <c r="I8" s="60">
        <f>Secanim!I8</f>
        <v>5974</v>
      </c>
      <c r="J8" s="60">
        <f>Secanim!J8</f>
        <v>5490</v>
      </c>
      <c r="K8" s="60">
        <f>Secanim!K8</f>
        <v>2565</v>
      </c>
      <c r="L8" s="60">
        <f>Secanim!L8</f>
        <v>7887</v>
      </c>
      <c r="M8" s="60">
        <f>Secanim!M8</f>
        <v>2946</v>
      </c>
      <c r="N8" s="60">
        <f>Secanim!N8</f>
        <v>2881</v>
      </c>
      <c r="O8" s="60">
        <f>Secanim!O8</f>
        <v>3398</v>
      </c>
      <c r="P8" s="60">
        <f>Secanim!P8</f>
        <v>5694</v>
      </c>
      <c r="Q8" s="60">
        <f>Secanim!Q8</f>
        <v>2991</v>
      </c>
      <c r="R8" s="60">
        <f>Secanim!R8</f>
        <v>3799</v>
      </c>
      <c r="S8" s="60">
        <f>Secanim!S8</f>
        <v>5813</v>
      </c>
      <c r="T8" s="60">
        <f>Secanim!T8</f>
        <v>1390</v>
      </c>
      <c r="U8" s="60">
        <f>Secanim!U8</f>
        <v>9596</v>
      </c>
      <c r="V8" s="60">
        <f>Secanim!V8</f>
        <v>716</v>
      </c>
      <c r="AB8" s="61"/>
      <c r="AC8" s="61"/>
      <c r="AD8" s="18"/>
      <c r="AE8" s="17" t="s">
        <v>139</v>
      </c>
      <c r="AF8" s="17"/>
      <c r="AG8" s="18"/>
      <c r="AH8" s="18"/>
      <c r="AI8" s="53" t="s">
        <v>105</v>
      </c>
      <c r="AJ8" s="62">
        <v>1.4</v>
      </c>
      <c r="AK8" s="55">
        <v>4.4000000000000004</v>
      </c>
      <c r="AL8" s="11">
        <v>6</v>
      </c>
      <c r="AM8" s="11">
        <v>6.7</v>
      </c>
      <c r="AN8" s="11" t="s">
        <v>135</v>
      </c>
      <c r="AO8" s="79"/>
    </row>
    <row r="9" spans="1:41" x14ac:dyDescent="0.2">
      <c r="A9" s="119" t="s">
        <v>3</v>
      </c>
      <c r="B9" s="119"/>
      <c r="C9" s="60" t="str">
        <f>Secanim!C9</f>
        <v>Moderate</v>
      </c>
      <c r="D9" s="60" t="str">
        <f>Secanim!D9</f>
        <v>Moderate</v>
      </c>
      <c r="E9" s="60" t="str">
        <f>Secanim!E9</f>
        <v>Moderate</v>
      </c>
      <c r="F9" s="60" t="str">
        <f>Secanim!F9</f>
        <v>Moderate</v>
      </c>
      <c r="G9" s="60" t="str">
        <f>Secanim!G9</f>
        <v>Moderate</v>
      </c>
      <c r="H9" s="60" t="str">
        <f>Secanim!H9</f>
        <v>Moderate</v>
      </c>
      <c r="I9" s="60" t="str">
        <f>Secanim!I9</f>
        <v>Moderate</v>
      </c>
      <c r="J9" s="60" t="str">
        <f>Secanim!J9</f>
        <v>Moderate</v>
      </c>
      <c r="K9" s="60" t="str">
        <f>Secanim!K9</f>
        <v>Moderate</v>
      </c>
      <c r="L9" s="60" t="str">
        <f>Secanim!L9</f>
        <v>Moderate</v>
      </c>
      <c r="M9" s="60" t="str">
        <f>Secanim!M9</f>
        <v>Moderate</v>
      </c>
      <c r="N9" s="60" t="str">
        <f>Secanim!N9</f>
        <v>Moderate</v>
      </c>
      <c r="O9" s="60" t="str">
        <f>Secanim!O9</f>
        <v>Moderate</v>
      </c>
      <c r="P9" s="60" t="str">
        <f>Secanim!P9</f>
        <v>Moderate</v>
      </c>
      <c r="Q9" s="60" t="str">
        <f>Secanim!Q9</f>
        <v>Moderate</v>
      </c>
      <c r="R9" s="60" t="str">
        <f>Secanim!R9</f>
        <v>Moderate</v>
      </c>
      <c r="S9" s="60" t="str">
        <f>Secanim!S9</f>
        <v>Moderate</v>
      </c>
      <c r="T9" s="60" t="str">
        <f>Secanim!T9</f>
        <v>Moderate</v>
      </c>
      <c r="U9" s="60" t="str">
        <f>Secanim!U9</f>
        <v>Moderate</v>
      </c>
      <c r="V9" s="60" t="str">
        <f>Secanim!V9</f>
        <v>Moderate</v>
      </c>
      <c r="AB9" s="17"/>
      <c r="AC9" s="17"/>
      <c r="AD9" s="30" t="s">
        <v>137</v>
      </c>
      <c r="AE9" s="30">
        <v>4.5</v>
      </c>
      <c r="AF9" s="17"/>
      <c r="AG9" s="18"/>
      <c r="AH9" s="18"/>
      <c r="AI9" s="63" t="s">
        <v>103</v>
      </c>
      <c r="AJ9" s="64">
        <v>0.7</v>
      </c>
      <c r="AK9" s="65">
        <v>4</v>
      </c>
      <c r="AL9" s="29">
        <v>7</v>
      </c>
      <c r="AM9" s="11">
        <v>6.7</v>
      </c>
      <c r="AN9" s="11" t="s">
        <v>135</v>
      </c>
      <c r="AO9" s="99"/>
    </row>
    <row r="10" spans="1:41" x14ac:dyDescent="0.2">
      <c r="A10" s="119" t="s">
        <v>4</v>
      </c>
      <c r="B10" s="119"/>
      <c r="C10" s="60">
        <f>Secanim!C10</f>
        <v>6.2</v>
      </c>
      <c r="D10" s="60">
        <f>Secanim!D10</f>
        <v>5.6</v>
      </c>
      <c r="E10" s="60">
        <f>Secanim!E10</f>
        <v>6.3</v>
      </c>
      <c r="F10" s="60">
        <f>Secanim!F10</f>
        <v>6</v>
      </c>
      <c r="G10" s="60">
        <f>Secanim!G10</f>
        <v>5.8</v>
      </c>
      <c r="H10" s="60">
        <f>Secanim!H10</f>
        <v>5.3</v>
      </c>
      <c r="I10" s="60">
        <f>Secanim!I10</f>
        <v>6</v>
      </c>
      <c r="J10" s="60">
        <f>Secanim!J10</f>
        <v>6.1</v>
      </c>
      <c r="K10" s="60">
        <f>Secanim!K10</f>
        <v>5.5</v>
      </c>
      <c r="L10" s="60">
        <f>Secanim!L10</f>
        <v>6.1</v>
      </c>
      <c r="M10" s="60">
        <f>Secanim!M10</f>
        <v>5.5</v>
      </c>
      <c r="N10" s="60">
        <f>Secanim!N10</f>
        <v>5.6</v>
      </c>
      <c r="O10" s="60">
        <f>Secanim!O10</f>
        <v>5.9</v>
      </c>
      <c r="P10" s="60">
        <f>Secanim!P10</f>
        <v>6.5</v>
      </c>
      <c r="Q10" s="60">
        <f>Secanim!Q10</f>
        <v>5.7</v>
      </c>
      <c r="R10" s="60">
        <f>Secanim!R10</f>
        <v>6.4</v>
      </c>
      <c r="S10" s="60">
        <f>Secanim!S10</f>
        <v>6.7</v>
      </c>
      <c r="T10" s="60">
        <f>Secanim!T10</f>
        <v>5.4</v>
      </c>
      <c r="U10" s="60">
        <f>Secanim!U10</f>
        <v>5.5</v>
      </c>
      <c r="V10" s="60">
        <f>Secanim!V10</f>
        <v>6.4</v>
      </c>
      <c r="AB10" s="17"/>
      <c r="AC10" s="17"/>
      <c r="AD10" s="30" t="s">
        <v>140</v>
      </c>
      <c r="AE10" s="30">
        <v>5</v>
      </c>
      <c r="AF10" s="17"/>
      <c r="AG10" s="18"/>
      <c r="AH10" s="18"/>
      <c r="AI10" s="53" t="s">
        <v>97</v>
      </c>
      <c r="AJ10" s="54">
        <v>9</v>
      </c>
      <c r="AK10" s="55">
        <v>16.5</v>
      </c>
      <c r="AL10" s="11">
        <v>8</v>
      </c>
      <c r="AM10" s="11">
        <v>6.7</v>
      </c>
      <c r="AN10" s="11" t="s">
        <v>135</v>
      </c>
    </row>
    <row r="11" spans="1:41" x14ac:dyDescent="0.2">
      <c r="A11" s="119" t="s">
        <v>5</v>
      </c>
      <c r="B11" s="119"/>
      <c r="C11" s="60">
        <f>Secanim!C11</f>
        <v>2</v>
      </c>
      <c r="D11" s="60">
        <f>Secanim!D11</f>
        <v>3</v>
      </c>
      <c r="E11" s="60">
        <f>Secanim!E11</f>
        <v>2</v>
      </c>
      <c r="F11" s="60">
        <f>Secanim!F11</f>
        <v>3</v>
      </c>
      <c r="G11" s="60">
        <f>Secanim!G11</f>
        <v>2</v>
      </c>
      <c r="H11" s="60">
        <f>Secanim!H11</f>
        <v>3</v>
      </c>
      <c r="I11" s="60">
        <f>Secanim!I11</f>
        <v>3</v>
      </c>
      <c r="J11" s="60">
        <f>Secanim!J11</f>
        <v>2</v>
      </c>
      <c r="K11" s="60">
        <f>Secanim!K11</f>
        <v>3</v>
      </c>
      <c r="L11" s="60">
        <f>Secanim!L11</f>
        <v>1</v>
      </c>
      <c r="M11" s="60">
        <f>Secanim!M11</f>
        <v>3</v>
      </c>
      <c r="N11" s="60">
        <f>Secanim!N11</f>
        <v>2</v>
      </c>
      <c r="O11" s="60">
        <f>Secanim!O11</f>
        <v>2</v>
      </c>
      <c r="P11" s="60">
        <f>Secanim!P11</f>
        <v>2</v>
      </c>
      <c r="Q11" s="60">
        <f>Secanim!Q11</f>
        <v>2</v>
      </c>
      <c r="R11" s="60">
        <f>Secanim!R11</f>
        <v>2</v>
      </c>
      <c r="S11" s="60">
        <f>Secanim!S11</f>
        <v>2</v>
      </c>
      <c r="T11" s="60">
        <f>Secanim!T11</f>
        <v>3</v>
      </c>
      <c r="U11" s="60">
        <f>Secanim!U11</f>
        <v>2</v>
      </c>
      <c r="V11" s="60">
        <f>Secanim!V11</f>
        <v>2</v>
      </c>
      <c r="AB11" s="17"/>
      <c r="AC11" s="17"/>
      <c r="AD11" s="52" t="s">
        <v>141</v>
      </c>
      <c r="AE11" s="30">
        <v>6</v>
      </c>
      <c r="AF11" s="17"/>
      <c r="AG11" s="18"/>
      <c r="AH11" s="18"/>
      <c r="AI11" s="53" t="s">
        <v>122</v>
      </c>
      <c r="AJ11" s="54">
        <v>15</v>
      </c>
      <c r="AK11" s="55">
        <v>17.5</v>
      </c>
      <c r="AL11" s="11">
        <v>9</v>
      </c>
      <c r="AM11" s="11">
        <v>7</v>
      </c>
      <c r="AN11" s="11" t="s">
        <v>135</v>
      </c>
    </row>
    <row r="12" spans="1:41" x14ac:dyDescent="0.2">
      <c r="A12" s="119" t="s">
        <v>6</v>
      </c>
      <c r="B12" s="119"/>
      <c r="C12" s="60" t="str">
        <f>Secanim!C12</f>
        <v>2-</v>
      </c>
      <c r="D12" s="60">
        <f>Secanim!D12</f>
        <v>3</v>
      </c>
      <c r="E12" s="60" t="str">
        <f>Secanim!E12</f>
        <v>2-</v>
      </c>
      <c r="F12" s="60" t="str">
        <f>Secanim!F12</f>
        <v>2+</v>
      </c>
      <c r="G12" s="60">
        <f>Secanim!G12</f>
        <v>3</v>
      </c>
      <c r="H12" s="60" t="str">
        <f>Secanim!H12</f>
        <v>2+</v>
      </c>
      <c r="I12" s="60">
        <f>Secanim!I12</f>
        <v>4</v>
      </c>
      <c r="J12" s="60" t="str">
        <f>Secanim!J12</f>
        <v>2+</v>
      </c>
      <c r="K12" s="60">
        <f>Secanim!K12</f>
        <v>4</v>
      </c>
      <c r="L12" s="60" t="str">
        <f>Secanim!L12</f>
        <v>2-</v>
      </c>
      <c r="M12" s="60" t="str">
        <f>Secanim!M12</f>
        <v>2-</v>
      </c>
      <c r="N12" s="60">
        <f>Secanim!N12</f>
        <v>3</v>
      </c>
      <c r="O12" s="60">
        <f>Secanim!O12</f>
        <v>3</v>
      </c>
      <c r="P12" s="60" t="str">
        <f>Secanim!P12</f>
        <v>2-</v>
      </c>
      <c r="Q12" s="60">
        <f>Secanim!Q12</f>
        <v>1</v>
      </c>
      <c r="R12" s="60">
        <f>Secanim!R12</f>
        <v>1</v>
      </c>
      <c r="S12" s="60">
        <f>Secanim!S12</f>
        <v>1</v>
      </c>
      <c r="T12" s="60" t="str">
        <f>Secanim!T12</f>
        <v>2+</v>
      </c>
      <c r="U12" s="60">
        <f>Secanim!U12</f>
        <v>1</v>
      </c>
      <c r="V12" s="60" t="str">
        <f>Secanim!V12</f>
        <v>2-</v>
      </c>
      <c r="AB12" s="17"/>
      <c r="AC12" s="17"/>
      <c r="AD12" s="52" t="s">
        <v>142</v>
      </c>
      <c r="AE12" s="30">
        <v>7.5</v>
      </c>
      <c r="AF12" s="17"/>
      <c r="AG12" s="18"/>
      <c r="AH12" s="18"/>
      <c r="AI12" s="53" t="s">
        <v>121</v>
      </c>
      <c r="AJ12" s="54">
        <v>14</v>
      </c>
      <c r="AK12" s="55">
        <v>11</v>
      </c>
      <c r="AL12" s="11">
        <v>10</v>
      </c>
      <c r="AM12" s="11">
        <v>7</v>
      </c>
      <c r="AN12" s="11" t="s">
        <v>135</v>
      </c>
    </row>
    <row r="13" spans="1:41" x14ac:dyDescent="0.2">
      <c r="A13" s="119" t="s">
        <v>7</v>
      </c>
      <c r="B13" s="119"/>
      <c r="C13" s="60">
        <f>Secanim!C13</f>
        <v>3</v>
      </c>
      <c r="D13" s="60">
        <f>Secanim!D13</f>
        <v>3</v>
      </c>
      <c r="E13" s="60">
        <f>Secanim!E13</f>
        <v>3</v>
      </c>
      <c r="F13" s="60">
        <f>Secanim!F13</f>
        <v>3</v>
      </c>
      <c r="G13" s="60">
        <f>Secanim!G13</f>
        <v>3</v>
      </c>
      <c r="H13" s="60">
        <f>Secanim!H13</f>
        <v>2</v>
      </c>
      <c r="I13" s="60">
        <f>Secanim!I13</f>
        <v>4</v>
      </c>
      <c r="J13" s="60">
        <f>Secanim!J13</f>
        <v>3</v>
      </c>
      <c r="K13" s="60">
        <f>Secanim!K13</f>
        <v>3</v>
      </c>
      <c r="L13" s="60">
        <f>Secanim!L13</f>
        <v>3</v>
      </c>
      <c r="M13" s="60">
        <f>Secanim!M13</f>
        <v>2</v>
      </c>
      <c r="N13" s="60">
        <f>Secanim!N13</f>
        <v>2</v>
      </c>
      <c r="O13" s="60">
        <f>Secanim!O13</f>
        <v>3</v>
      </c>
      <c r="P13" s="60">
        <f>Secanim!P13</f>
        <v>2</v>
      </c>
      <c r="Q13" s="60">
        <f>Secanim!Q13</f>
        <v>3</v>
      </c>
      <c r="R13" s="60">
        <f>Secanim!R13</f>
        <v>2</v>
      </c>
      <c r="S13" s="60">
        <f>Secanim!S13</f>
        <v>1</v>
      </c>
      <c r="T13" s="60">
        <f>Secanim!T13</f>
        <v>3</v>
      </c>
      <c r="U13" s="60">
        <f>Secanim!U13</f>
        <v>1</v>
      </c>
      <c r="V13" s="60">
        <f>Secanim!V13</f>
        <v>2</v>
      </c>
      <c r="AB13" s="17"/>
      <c r="AC13" s="17"/>
      <c r="AD13" s="52" t="s">
        <v>143</v>
      </c>
      <c r="AE13" s="30">
        <v>12</v>
      </c>
      <c r="AF13" s="17"/>
      <c r="AG13" s="18"/>
      <c r="AH13" s="18"/>
      <c r="AI13" s="53" t="s">
        <v>120</v>
      </c>
      <c r="AJ13" s="54">
        <v>1.9</v>
      </c>
      <c r="AK13" s="55">
        <v>7.5</v>
      </c>
      <c r="AL13" s="11">
        <v>11</v>
      </c>
      <c r="AM13" s="11">
        <v>6.7</v>
      </c>
      <c r="AN13" s="11" t="s">
        <v>135</v>
      </c>
    </row>
    <row r="14" spans="1:41" x14ac:dyDescent="0.2">
      <c r="A14" s="131" t="s">
        <v>8</v>
      </c>
      <c r="B14" s="131"/>
      <c r="C14" s="102" t="str">
        <f>Secanim!C14</f>
        <v xml:space="preserve">Grass Silage (25% DM) </v>
      </c>
      <c r="D14" s="102" t="str">
        <f>Secanim!D14</f>
        <v xml:space="preserve">Grass Silage (25% DM) </v>
      </c>
      <c r="E14" s="102" t="str">
        <f>Secanim!E14</f>
        <v xml:space="preserve">Grass Silage (25% DM) </v>
      </c>
      <c r="F14" s="102" t="str">
        <f>Secanim!F14</f>
        <v xml:space="preserve">Grass Silage (25% DM) </v>
      </c>
      <c r="G14" s="102" t="str">
        <f>Secanim!G14</f>
        <v xml:space="preserve">Grass Silage (25% DM) </v>
      </c>
      <c r="H14" s="102" t="str">
        <f>Secanim!H14</f>
        <v xml:space="preserve">Grass Silage (25% DM) </v>
      </c>
      <c r="I14" s="102" t="str">
        <f>Secanim!I14</f>
        <v xml:space="preserve">Grass Silage (25% DM) </v>
      </c>
      <c r="J14" s="102" t="str">
        <f>Secanim!J14</f>
        <v xml:space="preserve">Grass Silage (25% DM) </v>
      </c>
      <c r="K14" s="102" t="str">
        <f>Secanim!K14</f>
        <v xml:space="preserve">Grass Silage (25% DM) </v>
      </c>
      <c r="L14" s="102" t="str">
        <f>Secanim!L14</f>
        <v xml:space="preserve">Grass Silage (25% DM) </v>
      </c>
      <c r="M14" s="102" t="str">
        <f>Secanim!M14</f>
        <v xml:space="preserve">Grass Silage (25% DM) </v>
      </c>
      <c r="N14" s="102" t="str">
        <f>Secanim!N14</f>
        <v xml:space="preserve">Grass Silage (25% DM) </v>
      </c>
      <c r="O14" s="102" t="str">
        <f>Secanim!O14</f>
        <v xml:space="preserve">Grass Silage (25% DM) </v>
      </c>
      <c r="P14" s="102" t="str">
        <f>Secanim!P14</f>
        <v xml:space="preserve">Grass Silage (25% DM) </v>
      </c>
      <c r="Q14" s="102" t="str">
        <f>Secanim!Q14</f>
        <v xml:space="preserve">Grass Silage (25% DM) </v>
      </c>
      <c r="R14" s="102" t="str">
        <f>Secanim!R14</f>
        <v xml:space="preserve">Grass Silage (25% DM) </v>
      </c>
      <c r="S14" s="102" t="str">
        <f>Secanim!S14</f>
        <v xml:space="preserve">Grass Silage (25% DM) </v>
      </c>
      <c r="T14" s="102" t="str">
        <f>Secanim!T14</f>
        <v xml:space="preserve">Grass Silage (25% DM) </v>
      </c>
      <c r="U14" s="102" t="str">
        <f>Secanim!U14</f>
        <v xml:space="preserve">Grass Silage (25% DM) </v>
      </c>
      <c r="V14" s="102" t="str">
        <f>Secanim!V14</f>
        <v xml:space="preserve">Grass Silage (25% DM) </v>
      </c>
      <c r="AD14" s="30" t="s">
        <v>138</v>
      </c>
      <c r="AE14" s="30">
        <v>6</v>
      </c>
      <c r="AI14" s="53" t="s">
        <v>119</v>
      </c>
      <c r="AJ14" s="54">
        <v>0.8</v>
      </c>
      <c r="AK14" s="55">
        <v>1.7</v>
      </c>
      <c r="AL14" s="11">
        <v>12</v>
      </c>
      <c r="AM14" s="11">
        <v>6.7</v>
      </c>
      <c r="AN14" s="11" t="s">
        <v>135</v>
      </c>
    </row>
    <row r="15" spans="1:41" x14ac:dyDescent="0.2">
      <c r="A15" s="130" t="s">
        <v>9</v>
      </c>
      <c r="B15" s="130"/>
      <c r="C15" s="60">
        <f>Secanim!C15</f>
        <v>38</v>
      </c>
      <c r="D15" s="60">
        <f>Secanim!D15</f>
        <v>38</v>
      </c>
      <c r="E15" s="60">
        <f>Secanim!E15</f>
        <v>38</v>
      </c>
      <c r="F15" s="60">
        <f>Secanim!F15</f>
        <v>38</v>
      </c>
      <c r="G15" s="60">
        <f>Secanim!G15</f>
        <v>38</v>
      </c>
      <c r="H15" s="60">
        <f>Secanim!H15</f>
        <v>38</v>
      </c>
      <c r="I15" s="60">
        <f>Secanim!I15</f>
        <v>38</v>
      </c>
      <c r="J15" s="60">
        <f>Secanim!J15</f>
        <v>38</v>
      </c>
      <c r="K15" s="60">
        <f>Secanim!K15</f>
        <v>38</v>
      </c>
      <c r="L15" s="60">
        <f>Secanim!L15</f>
        <v>38</v>
      </c>
      <c r="M15" s="60">
        <f>Secanim!M15</f>
        <v>38</v>
      </c>
      <c r="N15" s="60">
        <f>Secanim!N15</f>
        <v>38</v>
      </c>
      <c r="O15" s="60">
        <f>Secanim!O15</f>
        <v>38</v>
      </c>
      <c r="P15" s="60">
        <f>Secanim!P15</f>
        <v>38</v>
      </c>
      <c r="Q15" s="60">
        <f>Secanim!Q15</f>
        <v>38</v>
      </c>
      <c r="R15" s="60">
        <f>Secanim!R15</f>
        <v>38</v>
      </c>
      <c r="S15" s="60">
        <f>Secanim!S15</f>
        <v>38</v>
      </c>
      <c r="T15" s="60">
        <f>Secanim!T15</f>
        <v>38</v>
      </c>
      <c r="U15" s="60">
        <f>Secanim!U15</f>
        <v>38</v>
      </c>
      <c r="V15" s="60">
        <f>Secanim!V15</f>
        <v>38</v>
      </c>
      <c r="AD15" s="30" t="s">
        <v>144</v>
      </c>
      <c r="AE15" s="30">
        <v>7</v>
      </c>
      <c r="AI15" s="53" t="s">
        <v>101</v>
      </c>
      <c r="AJ15" s="62">
        <v>1.8</v>
      </c>
      <c r="AK15" s="55">
        <v>5.4</v>
      </c>
      <c r="AL15" s="11">
        <v>13</v>
      </c>
      <c r="AM15" s="11">
        <v>6.7</v>
      </c>
      <c r="AN15" s="11" t="s">
        <v>135</v>
      </c>
    </row>
    <row r="16" spans="1:41" ht="13.5" thickBot="1" x14ac:dyDescent="0.25">
      <c r="A16" s="132" t="s">
        <v>44</v>
      </c>
      <c r="B16" s="132"/>
      <c r="C16" s="103" t="str">
        <f>Secanim!C16</f>
        <v>Medium/Clay</v>
      </c>
      <c r="D16" s="103" t="str">
        <f>Secanim!D16</f>
        <v>Medium/Clay</v>
      </c>
      <c r="E16" s="103" t="str">
        <f>Secanim!E16</f>
        <v>Medium/Clay</v>
      </c>
      <c r="F16" s="103" t="str">
        <f>Secanim!F16</f>
        <v>Medium/Clay</v>
      </c>
      <c r="G16" s="103" t="str">
        <f>Secanim!G16</f>
        <v>Medium/Clay</v>
      </c>
      <c r="H16" s="103" t="str">
        <f>Secanim!H16</f>
        <v>Medium/Clay</v>
      </c>
      <c r="I16" s="103" t="str">
        <f>Secanim!I16</f>
        <v>Medium/Clay</v>
      </c>
      <c r="J16" s="103" t="str">
        <f>Secanim!J16</f>
        <v>Medium/Clay</v>
      </c>
      <c r="K16" s="103" t="str">
        <f>Secanim!K16</f>
        <v>Medium/Clay</v>
      </c>
      <c r="L16" s="103" t="str">
        <f>Secanim!L16</f>
        <v>Medium/Clay</v>
      </c>
      <c r="M16" s="103" t="str">
        <f>Secanim!M16</f>
        <v>Medium/Clay</v>
      </c>
      <c r="N16" s="103" t="str">
        <f>Secanim!N16</f>
        <v>Medium/Clay</v>
      </c>
      <c r="O16" s="103" t="str">
        <f>Secanim!O16</f>
        <v>Medium/Clay</v>
      </c>
      <c r="P16" s="103" t="str">
        <f>Secanim!P16</f>
        <v>Medium/Clay</v>
      </c>
      <c r="Q16" s="103" t="str">
        <f>Secanim!Q16</f>
        <v>Medium/Clay</v>
      </c>
      <c r="R16" s="103" t="str">
        <f>Secanim!R16</f>
        <v>Medium/Clay</v>
      </c>
      <c r="S16" s="103" t="str">
        <f>Secanim!S16</f>
        <v>Medium/Clay</v>
      </c>
      <c r="T16" s="103" t="str">
        <f>Secanim!T16</f>
        <v>Medium/Clay</v>
      </c>
      <c r="U16" s="103" t="str">
        <f>Secanim!U16</f>
        <v>Medium/Clay</v>
      </c>
      <c r="V16" s="103" t="str">
        <f>Secanim!V16</f>
        <v>Medium/Clay</v>
      </c>
      <c r="AD16" s="52" t="s">
        <v>145</v>
      </c>
      <c r="AE16" s="30">
        <v>8</v>
      </c>
      <c r="AI16" s="53" t="s">
        <v>118</v>
      </c>
      <c r="AJ16" s="54">
        <v>8</v>
      </c>
      <c r="AK16" s="55">
        <v>5.5</v>
      </c>
      <c r="AL16" s="12">
        <v>14</v>
      </c>
      <c r="AM16" s="11">
        <v>6.7</v>
      </c>
      <c r="AN16" s="11" t="s">
        <v>135</v>
      </c>
    </row>
    <row r="17" spans="1:40" x14ac:dyDescent="0.2">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64.599999999999994</v>
      </c>
      <c r="R17" s="28">
        <f t="shared" si="0"/>
        <v>64.599999999999994</v>
      </c>
      <c r="S17" s="28">
        <f t="shared" si="0"/>
        <v>64.599999999999994</v>
      </c>
      <c r="T17" s="28">
        <f t="shared" si="0"/>
        <v>64.599999999999994</v>
      </c>
      <c r="U17" s="28">
        <f t="shared" si="0"/>
        <v>64.599999999999994</v>
      </c>
      <c r="V17" s="28">
        <f t="shared" si="0"/>
        <v>64.599999999999994</v>
      </c>
      <c r="AD17" s="52" t="s">
        <v>146</v>
      </c>
      <c r="AE17" s="30">
        <v>10</v>
      </c>
      <c r="AI17" s="48" t="s">
        <v>115</v>
      </c>
      <c r="AJ17" s="49">
        <v>1.4</v>
      </c>
      <c r="AK17" s="50">
        <v>4.8</v>
      </c>
      <c r="AL17" s="51">
        <v>15</v>
      </c>
      <c r="AM17" s="11">
        <v>6.2</v>
      </c>
      <c r="AN17" s="11" t="s">
        <v>112</v>
      </c>
    </row>
    <row r="18" spans="1:40" x14ac:dyDescent="0.2">
      <c r="A18" s="124" t="s">
        <v>23</v>
      </c>
      <c r="B18" s="125"/>
      <c r="C18" s="16">
        <f>$D31</f>
        <v>62.663432</v>
      </c>
      <c r="D18" s="16">
        <f>$D32</f>
        <v>62.663432</v>
      </c>
      <c r="E18" s="16">
        <f>$D33</f>
        <v>62.663432</v>
      </c>
      <c r="F18" s="16">
        <f>$D34</f>
        <v>62.663432</v>
      </c>
      <c r="G18" s="16">
        <f>$D35</f>
        <v>62.663432</v>
      </c>
      <c r="H18" s="16">
        <f>$D36</f>
        <v>62.663432</v>
      </c>
      <c r="I18" s="16">
        <f>$D37</f>
        <v>62.663432</v>
      </c>
      <c r="J18" s="16">
        <f>$D38</f>
        <v>62.663432</v>
      </c>
      <c r="K18" s="16">
        <f>$D39</f>
        <v>62.663432</v>
      </c>
      <c r="L18" s="16">
        <f>$D40</f>
        <v>62.663432</v>
      </c>
      <c r="M18" s="16">
        <f>$D41</f>
        <v>62.663432</v>
      </c>
      <c r="N18" s="16">
        <f>$D42</f>
        <v>62.663432</v>
      </c>
      <c r="O18" s="16">
        <f>$D43</f>
        <v>62.663432</v>
      </c>
      <c r="P18" s="16">
        <f>$D44</f>
        <v>62.663432</v>
      </c>
      <c r="Q18" s="16">
        <f>$D45</f>
        <v>62.663432</v>
      </c>
      <c r="R18" s="16">
        <f>$D46</f>
        <v>62.663432</v>
      </c>
      <c r="S18" s="16">
        <f>$D47</f>
        <v>62.663432</v>
      </c>
      <c r="T18" s="16">
        <f>$D48</f>
        <v>62.663432</v>
      </c>
      <c r="U18" s="16">
        <f>$D49</f>
        <v>62.663432</v>
      </c>
      <c r="V18" s="25">
        <f>$D50</f>
        <v>62.663432</v>
      </c>
      <c r="AD18" s="52" t="s">
        <v>147</v>
      </c>
      <c r="AE18" s="30">
        <v>16</v>
      </c>
      <c r="AI18" s="48" t="s">
        <v>106</v>
      </c>
      <c r="AJ18" s="49">
        <v>5.9</v>
      </c>
      <c r="AK18" s="50">
        <v>18</v>
      </c>
      <c r="AL18" s="51">
        <v>16</v>
      </c>
      <c r="AM18" s="11">
        <v>6.2</v>
      </c>
      <c r="AN18" s="11" t="s">
        <v>112</v>
      </c>
    </row>
    <row r="19" spans="1:40" x14ac:dyDescent="0.2">
      <c r="A19" s="124" t="s">
        <v>90</v>
      </c>
      <c r="B19" s="125"/>
      <c r="C19" s="16">
        <f>C18-C17</f>
        <v>-1.9365679999999941</v>
      </c>
      <c r="D19" s="16">
        <f t="shared" ref="D19:V19" si="1">D18-D17</f>
        <v>-1.9365679999999941</v>
      </c>
      <c r="E19" s="16">
        <f t="shared" si="1"/>
        <v>-1.9365679999999941</v>
      </c>
      <c r="F19" s="16">
        <f t="shared" si="1"/>
        <v>-1.9365679999999941</v>
      </c>
      <c r="G19" s="16">
        <f t="shared" si="1"/>
        <v>-1.9365679999999941</v>
      </c>
      <c r="H19" s="16">
        <f t="shared" si="1"/>
        <v>-1.9365679999999941</v>
      </c>
      <c r="I19" s="16">
        <f t="shared" si="1"/>
        <v>-1.9365679999999941</v>
      </c>
      <c r="J19" s="16">
        <f t="shared" si="1"/>
        <v>-1.9365679999999941</v>
      </c>
      <c r="K19" s="16">
        <f t="shared" si="1"/>
        <v>-1.9365679999999941</v>
      </c>
      <c r="L19" s="16">
        <f t="shared" si="1"/>
        <v>-1.9365679999999941</v>
      </c>
      <c r="M19" s="16">
        <f t="shared" si="1"/>
        <v>-1.9365679999999941</v>
      </c>
      <c r="N19" s="16">
        <f t="shared" si="1"/>
        <v>-1.9365679999999941</v>
      </c>
      <c r="O19" s="16">
        <f t="shared" si="1"/>
        <v>-1.9365679999999941</v>
      </c>
      <c r="P19" s="16">
        <f t="shared" si="1"/>
        <v>-1.9365679999999941</v>
      </c>
      <c r="Q19" s="16">
        <f t="shared" si="1"/>
        <v>-1.9365679999999941</v>
      </c>
      <c r="R19" s="16">
        <f t="shared" si="1"/>
        <v>-1.9365679999999941</v>
      </c>
      <c r="S19" s="16">
        <f t="shared" si="1"/>
        <v>-1.9365679999999941</v>
      </c>
      <c r="T19" s="16">
        <f t="shared" si="1"/>
        <v>-1.9365679999999941</v>
      </c>
      <c r="U19" s="16">
        <f t="shared" si="1"/>
        <v>-1.9365679999999941</v>
      </c>
      <c r="V19" s="25">
        <f t="shared" si="1"/>
        <v>-1.9365679999999941</v>
      </c>
      <c r="AI19" s="48" t="s">
        <v>107</v>
      </c>
      <c r="AJ19" s="49">
        <v>3.2</v>
      </c>
      <c r="AK19" s="50">
        <v>10.5</v>
      </c>
      <c r="AL19" s="51">
        <v>17</v>
      </c>
      <c r="AM19" s="11">
        <v>6.2</v>
      </c>
      <c r="AN19" s="11" t="s">
        <v>112</v>
      </c>
    </row>
    <row r="20" spans="1:40" ht="13.5" thickBot="1" x14ac:dyDescent="0.25">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DECREASE</v>
      </c>
      <c r="S20" s="26" t="str">
        <f>IF($B47="","",IF(S$19&gt;=0,"INCREASE","DECREASE"))</f>
        <v>DECREASE</v>
      </c>
      <c r="T20" s="26" t="str">
        <f>IF($B48="","",IF(T$19&gt;=0,"INCREASE","DECREASE"))</f>
        <v>DECREASE</v>
      </c>
      <c r="U20" s="26" t="str">
        <f>IF($B49="","",IF(U$19&gt;=0,"INCREASE","DECREASE"))</f>
        <v>DECREASE</v>
      </c>
      <c r="V20" s="27" t="str">
        <f>IF($B50="","",IF(V$19&gt;=0,"INCREASE","DECREASE"))</f>
        <v>DECREASE</v>
      </c>
      <c r="AI20" s="48" t="s">
        <v>114</v>
      </c>
      <c r="AJ20" s="49">
        <v>2.1</v>
      </c>
      <c r="AK20" s="50">
        <v>7.2</v>
      </c>
      <c r="AL20" s="51">
        <v>18</v>
      </c>
      <c r="AM20" s="11">
        <v>6.2</v>
      </c>
      <c r="AN20" s="11" t="s">
        <v>112</v>
      </c>
    </row>
    <row r="21" spans="1:40" x14ac:dyDescent="0.2">
      <c r="A21" s="122" t="s">
        <v>88</v>
      </c>
      <c r="B21" s="123"/>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228</v>
      </c>
      <c r="Q21" s="28">
        <f t="shared" si="2"/>
        <v>228</v>
      </c>
      <c r="R21" s="28">
        <f t="shared" si="2"/>
        <v>228</v>
      </c>
      <c r="S21" s="28">
        <f t="shared" si="2"/>
        <v>228</v>
      </c>
      <c r="T21" s="28">
        <f t="shared" si="2"/>
        <v>228</v>
      </c>
      <c r="U21" s="28">
        <f t="shared" si="2"/>
        <v>228</v>
      </c>
      <c r="V21" s="28">
        <f t="shared" si="2"/>
        <v>228</v>
      </c>
      <c r="AI21" s="63" t="s">
        <v>100</v>
      </c>
      <c r="AJ21" s="66">
        <v>11</v>
      </c>
      <c r="AK21" s="65">
        <v>12</v>
      </c>
      <c r="AL21" s="29">
        <v>19</v>
      </c>
      <c r="AM21" s="11">
        <v>6.7</v>
      </c>
      <c r="AN21" s="11" t="s">
        <v>135</v>
      </c>
    </row>
    <row r="22" spans="1:40" x14ac:dyDescent="0.2">
      <c r="A22" s="124" t="s">
        <v>89</v>
      </c>
      <c r="B22" s="125"/>
      <c r="C22" s="16">
        <f>$E31</f>
        <v>15.790319999999999</v>
      </c>
      <c r="D22" s="16">
        <f>$E32</f>
        <v>15.790319999999999</v>
      </c>
      <c r="E22" s="16">
        <f>$E33</f>
        <v>15.790319999999999</v>
      </c>
      <c r="F22" s="16">
        <f>$E34</f>
        <v>15.790319999999999</v>
      </c>
      <c r="G22" s="16">
        <f>$E35</f>
        <v>15.790319999999999</v>
      </c>
      <c r="H22" s="16">
        <f>$E36</f>
        <v>15.790319999999999</v>
      </c>
      <c r="I22" s="16">
        <f>$E37</f>
        <v>15.790319999999999</v>
      </c>
      <c r="J22" s="16">
        <f>$E38</f>
        <v>15.790319999999999</v>
      </c>
      <c r="K22" s="16">
        <f>$E39</f>
        <v>15.790319999999999</v>
      </c>
      <c r="L22" s="16">
        <f>$E40</f>
        <v>15.790319999999999</v>
      </c>
      <c r="M22" s="16">
        <f>$E41</f>
        <v>15.790319999999999</v>
      </c>
      <c r="N22" s="16">
        <f>$E42</f>
        <v>15.790319999999999</v>
      </c>
      <c r="O22" s="16">
        <f>$E43</f>
        <v>15.790319999999999</v>
      </c>
      <c r="P22" s="16">
        <f>$E44</f>
        <v>15.790319999999999</v>
      </c>
      <c r="Q22" s="16">
        <f>$E45</f>
        <v>15.790319999999999</v>
      </c>
      <c r="R22" s="16">
        <f>$E46</f>
        <v>15.790319999999999</v>
      </c>
      <c r="S22" s="16">
        <f>$E47</f>
        <v>15.790319999999999</v>
      </c>
      <c r="T22" s="16">
        <f>$E48</f>
        <v>15.790319999999999</v>
      </c>
      <c r="U22" s="16">
        <f>$E49</f>
        <v>15.790319999999999</v>
      </c>
      <c r="V22" s="16">
        <f>$E50</f>
        <v>15.790319999999999</v>
      </c>
      <c r="AI22" s="63" t="s">
        <v>102</v>
      </c>
      <c r="AJ22" s="64">
        <v>1.2</v>
      </c>
      <c r="AK22" s="65">
        <v>5</v>
      </c>
      <c r="AL22" s="29">
        <v>20</v>
      </c>
      <c r="AM22" s="11">
        <v>6.7</v>
      </c>
      <c r="AN22" s="11" t="s">
        <v>135</v>
      </c>
    </row>
    <row r="23" spans="1:40" x14ac:dyDescent="0.2">
      <c r="A23" s="124" t="s">
        <v>92</v>
      </c>
      <c r="B23" s="125"/>
      <c r="C23" s="16">
        <f>C22-C21</f>
        <v>-212.20967999999999</v>
      </c>
      <c r="D23" s="16">
        <f t="shared" ref="D23:V23" si="3">D22-D21</f>
        <v>-212.20967999999999</v>
      </c>
      <c r="E23" s="16">
        <f t="shared" si="3"/>
        <v>-212.20967999999999</v>
      </c>
      <c r="F23" s="16">
        <f t="shared" si="3"/>
        <v>-212.20967999999999</v>
      </c>
      <c r="G23" s="16">
        <f t="shared" si="3"/>
        <v>-212.20967999999999</v>
      </c>
      <c r="H23" s="16">
        <f t="shared" si="3"/>
        <v>-212.20967999999999</v>
      </c>
      <c r="I23" s="16">
        <f t="shared" si="3"/>
        <v>-212.20967999999999</v>
      </c>
      <c r="J23" s="16">
        <f t="shared" si="3"/>
        <v>-212.20967999999999</v>
      </c>
      <c r="K23" s="16">
        <f t="shared" si="3"/>
        <v>-212.20967999999999</v>
      </c>
      <c r="L23" s="16">
        <f t="shared" si="3"/>
        <v>-212.20967999999999</v>
      </c>
      <c r="M23" s="16">
        <f t="shared" si="3"/>
        <v>-212.20967999999999</v>
      </c>
      <c r="N23" s="16">
        <f t="shared" si="3"/>
        <v>-212.20967999999999</v>
      </c>
      <c r="O23" s="16">
        <f t="shared" si="3"/>
        <v>-212.20967999999999</v>
      </c>
      <c r="P23" s="16">
        <f t="shared" si="3"/>
        <v>-212.20967999999999</v>
      </c>
      <c r="Q23" s="16">
        <f t="shared" si="3"/>
        <v>-212.20967999999999</v>
      </c>
      <c r="R23" s="16">
        <f t="shared" si="3"/>
        <v>-212.20967999999999</v>
      </c>
      <c r="S23" s="16">
        <f t="shared" si="3"/>
        <v>-212.20967999999999</v>
      </c>
      <c r="T23" s="16">
        <f t="shared" si="3"/>
        <v>-212.20967999999999</v>
      </c>
      <c r="U23" s="16">
        <f t="shared" si="3"/>
        <v>-212.20967999999999</v>
      </c>
      <c r="V23" s="16">
        <f t="shared" si="3"/>
        <v>-212.20967999999999</v>
      </c>
      <c r="AI23" s="63" t="s">
        <v>98</v>
      </c>
      <c r="AJ23" s="66">
        <v>9</v>
      </c>
      <c r="AK23" s="65">
        <v>10</v>
      </c>
      <c r="AL23" s="29">
        <v>21</v>
      </c>
      <c r="AM23" s="11">
        <v>6.7</v>
      </c>
      <c r="AN23" s="11" t="s">
        <v>135</v>
      </c>
    </row>
    <row r="24" spans="1:40" ht="13.5" thickBot="1" x14ac:dyDescent="0.25">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str">
        <f t="shared" si="4"/>
        <v>DECREASE</v>
      </c>
      <c r="T24" s="26" t="str">
        <f t="shared" si="4"/>
        <v>DECREASE</v>
      </c>
      <c r="U24" s="26" t="str">
        <f t="shared" si="4"/>
        <v>DECREASE</v>
      </c>
      <c r="V24" s="26" t="str">
        <f t="shared" si="4"/>
        <v>DECREASE</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25">
      <c r="A28" s="108"/>
      <c r="B28" s="24">
        <v>5.99</v>
      </c>
      <c r="C28" s="15">
        <v>0.32</v>
      </c>
      <c r="D28" s="15">
        <v>526</v>
      </c>
      <c r="E28" s="15">
        <v>252</v>
      </c>
      <c r="F28" s="15">
        <v>64.5</v>
      </c>
      <c r="G28" s="15">
        <v>1.21</v>
      </c>
      <c r="H28" s="15">
        <v>2.33</v>
      </c>
      <c r="I28" s="15">
        <v>0.5</v>
      </c>
      <c r="J28" s="15">
        <v>0.01</v>
      </c>
      <c r="K28" s="23">
        <v>0.05</v>
      </c>
      <c r="L28" s="15">
        <v>0.2</v>
      </c>
      <c r="M28" s="15">
        <v>0.47299999999999998</v>
      </c>
      <c r="N28" s="15"/>
      <c r="O28" s="15"/>
      <c r="P28" s="15">
        <v>61.7</v>
      </c>
      <c r="Q28" s="15">
        <v>177</v>
      </c>
      <c r="R28" s="15"/>
      <c r="S28" s="15"/>
      <c r="T28" s="15"/>
      <c r="U28" s="15"/>
    </row>
    <row r="29" spans="1:40" s="7" customFormat="1" ht="27" x14ac:dyDescent="0.2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5905</v>
      </c>
      <c r="B31" s="15">
        <v>52</v>
      </c>
      <c r="C31" s="77">
        <f>IF(C$27="%w/w SAR",((C$28*10)*$B31),IF(C$27="%w/w DM",(((C$28*10)*($B$28/100))*$B31),IF(C$27="kg/t SAR",(C$28*$B31),IF(C$27="kg/t DM",((C$28*($B$28/100))*$B31),IF(C$27="mg/kg SAR",((C$28*0.001)*$B31),IF(C$27="mg/kg DM",(((C$28*0.001)*($B$28/100))*$B31),0))))))</f>
        <v>166.4</v>
      </c>
      <c r="D31" s="77">
        <f>(IF(D$27="%w/w SAR",((D$28*10)*$B31),IF(D$27="%w/w DM",(((D$28*10)*($B$28/100))*$B31),IF(D$27="kg/t SAR",(D$28*$B31),IF(D$27="kg/t DM",((D$28*($B$28/100))*$B31),IF(D$27="mg/kg SAR",((D$28*0.001)*$B31),IF(D$27="mg/kg DM",(((D$28*0.001)*($B$28/100))*$B31),"0")))))))*2.291</f>
        <v>62.663432</v>
      </c>
      <c r="E31" s="77">
        <f>(IF(E$27="%w/w SAR",((E$28*10)*$B31),IF(E$27="%w/w DM",(((E$28*10)*($B$28/100))*$B31),IF(E$27="kg/t SAR",(E$28*$B31),IF(E$27="kg/t DM",((E$28*($B$28/100))*$B31),IF(E$27="mg/kg SAR",((E$28*0.001)*$B31),IF(E$27="mg/kg DM",(((E$28*0.001)*($B$28/100))*$B31),"0")))))))*1.205</f>
        <v>15.790319999999999</v>
      </c>
      <c r="F31" s="77">
        <f>(IF(F$27="%w/w SAR",((F$28*10)*$B31),IF(F$27="%w/w DM",(((F$28*10)*($B$28/100))*$B31),IF(F$27="kg/t SAR",(F$28*$B31),IF(F$27="kg/t DM",((F$28*($B$28/100))*$B31),IF(F$27="mg/kg SAR",((F$28*0.001)*$B31),IF(F$27="mg/kg DM",(((F$28*0.001)*($B$28/100))*$B31),"0")))))))*1.658</f>
        <v>5.5609320000000002</v>
      </c>
      <c r="G31" s="77">
        <f t="shared" ref="G31:P46" si="5">IF(G$27="%w/w SAR",((G$28*10)*$B31),IF(G$27="%w/w DM",(((G$28*10)*($B$28/100))*$B31),IF(G$27="kg/t SAR",(G$28*$B31),IF(G$27="kg/t DM",((G$28*($B$28/100))*$B31),IF(G$27="mg/kg SAR",((G$28*0.001)*$B31),IF(G$27="mg/kg DM",(((G$28*0.001)*($B$28/100))*$B31),0))))))</f>
        <v>6.291999999999999E-2</v>
      </c>
      <c r="H31" s="77">
        <f t="shared" si="5"/>
        <v>0.12116</v>
      </c>
      <c r="I31" s="77">
        <f t="shared" si="5"/>
        <v>2.6000000000000002E-2</v>
      </c>
      <c r="J31" s="77">
        <f t="shared" si="5"/>
        <v>5.2000000000000006E-4</v>
      </c>
      <c r="K31" s="77">
        <f t="shared" si="5"/>
        <v>2.6000000000000003E-3</v>
      </c>
      <c r="L31" s="77">
        <f t="shared" si="5"/>
        <v>1.0400000000000001E-2</v>
      </c>
      <c r="M31" s="77">
        <f t="shared" si="5"/>
        <v>2.4596E-2</v>
      </c>
      <c r="N31" s="77">
        <f t="shared" si="5"/>
        <v>0</v>
      </c>
      <c r="O31" s="77">
        <f t="shared" si="5"/>
        <v>0</v>
      </c>
      <c r="P31" s="77">
        <f t="shared" si="5"/>
        <v>3.2084000000000001</v>
      </c>
      <c r="Q31" s="77">
        <f>(IF(Q$27="%w/w SAR",((Q$28*10)*$B31),IF(Q$27="%w/w DM",(((Q$28*10)*($B$28/100))*$B31),IF(Q$27="kg/t SAR",(Q$28*$B31),IF(Q$27="kg/t DM",((Q$28*($B$28/100))*$B31),IF(Q$27="mg/kg SAR",((Q$28*0.001)*$B31),IF(Q$27="mg/kg DM",(((Q$28*0.001)*($B$28/100))*$B31),0)))))))*2.5</f>
        <v>23.009999999999998</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4279</v>
      </c>
      <c r="B32" s="15">
        <v>52</v>
      </c>
      <c r="C32" s="77">
        <f t="shared" ref="C32:C50" si="6">IF(C$27="%w/w SAR",((C$28*10)*$B32),IF(C$27="%w/w DM",(((C$28*10)*($B$28/100))*$B32),IF(C$27="kg/t SAR",(C$28*$B32),IF(C$27="kg/t DM",((C$28*($B$28/100))*$B32),IF(C$27="mg/kg SAR",((C$28*0.001)*$B32),IF(C$27="mg/kg DM",(((C$28*0.001)*($B$28/100))*$B32),0))))))</f>
        <v>166.4</v>
      </c>
      <c r="D32" s="77">
        <f t="shared" ref="D32:D50" si="7">(IF(D$27="%w/w SAR",((D$28*10)*$B32),IF(D$27="%w/w DM",(((D$28*10)*($B$28/100))*$B32),IF(D$27="kg/t SAR",(D$28*$B32),IF(D$27="kg/t DM",((D$28*($B$28/100))*$B32),IF(D$27="mg/kg SAR",((D$28*0.001)*$B32),IF(D$27="mg/kg DM",(((D$28*0.001)*($B$28/100))*$B32),"0")))))))*2.291</f>
        <v>62.663432</v>
      </c>
      <c r="E32" s="77">
        <f t="shared" ref="E32:E50" si="8">(IF(E$27="%w/w SAR",((E$28*10)*$B32),IF(E$27="%w/w DM",(((E$28*10)*($B$28/100))*$B32),IF(E$27="kg/t SAR",(E$28*$B32),IF(E$27="kg/t DM",((E$28*($B$28/100))*$B32),IF(E$27="mg/kg SAR",((E$28*0.001)*$B32),IF(E$27="mg/kg DM",(((E$28*0.001)*($B$28/100))*$B32),"0")))))))*1.205</f>
        <v>15.790319999999999</v>
      </c>
      <c r="F32" s="77">
        <f t="shared" ref="F32:F50" si="9">(IF(F$27="%w/w SAR",((F$28*10)*$B32),IF(F$27="%w/w DM",(((F$28*10)*($B$28/100))*$B32),IF(F$27="kg/t SAR",(F$28*$B32),IF(F$27="kg/t DM",((F$28*($B$28/100))*$B32),IF(F$27="mg/kg SAR",((F$28*0.001)*$B32),IF(F$27="mg/kg DM",(((F$28*0.001)*($B$28/100))*$B32),"0")))))))*1.658</f>
        <v>5.5609320000000002</v>
      </c>
      <c r="G32" s="77">
        <f t="shared" si="5"/>
        <v>6.291999999999999E-2</v>
      </c>
      <c r="H32" s="77">
        <f t="shared" si="5"/>
        <v>0.12116</v>
      </c>
      <c r="I32" s="77">
        <f t="shared" si="5"/>
        <v>2.6000000000000002E-2</v>
      </c>
      <c r="J32" s="77">
        <f t="shared" si="5"/>
        <v>5.2000000000000006E-4</v>
      </c>
      <c r="K32" s="77">
        <f t="shared" si="5"/>
        <v>2.6000000000000003E-3</v>
      </c>
      <c r="L32" s="77">
        <f t="shared" si="5"/>
        <v>1.0400000000000001E-2</v>
      </c>
      <c r="M32" s="77">
        <f t="shared" si="5"/>
        <v>2.4596E-2</v>
      </c>
      <c r="N32" s="77">
        <f t="shared" si="5"/>
        <v>0</v>
      </c>
      <c r="O32" s="77">
        <f t="shared" si="5"/>
        <v>0</v>
      </c>
      <c r="P32" s="77">
        <f t="shared" si="5"/>
        <v>3.2084000000000001</v>
      </c>
      <c r="Q32" s="77">
        <f t="shared" ref="Q32:Q50" si="10">(IF(Q$27="%w/w SAR",((Q$28*10)*$B32),IF(Q$27="%w/w DM",(((Q$28*10)*($B$28/100))*$B32),IF(Q$27="kg/t SAR",(Q$28*$B32),IF(Q$27="kg/t DM",((Q$28*($B$28/100))*$B32),IF(Q$27="mg/kg SAR",((Q$28*0.001)*$B32),IF(Q$27="mg/kg DM",(((Q$28*0.001)*($B$28/100))*$B32),0)))))))*2.5</f>
        <v>23.009999999999998</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7605</v>
      </c>
      <c r="B33" s="15">
        <v>52</v>
      </c>
      <c r="C33" s="77">
        <f t="shared" si="6"/>
        <v>166.4</v>
      </c>
      <c r="D33" s="77">
        <f t="shared" si="7"/>
        <v>62.663432</v>
      </c>
      <c r="E33" s="77">
        <f t="shared" si="8"/>
        <v>15.790319999999999</v>
      </c>
      <c r="F33" s="77">
        <f t="shared" si="9"/>
        <v>5.5609320000000002</v>
      </c>
      <c r="G33" s="77">
        <f t="shared" si="5"/>
        <v>6.291999999999999E-2</v>
      </c>
      <c r="H33" s="77">
        <f t="shared" si="5"/>
        <v>0.12116</v>
      </c>
      <c r="I33" s="77">
        <f t="shared" si="5"/>
        <v>2.6000000000000002E-2</v>
      </c>
      <c r="J33" s="77">
        <f t="shared" si="5"/>
        <v>5.2000000000000006E-4</v>
      </c>
      <c r="K33" s="77">
        <f t="shared" si="5"/>
        <v>2.6000000000000003E-3</v>
      </c>
      <c r="L33" s="77">
        <f t="shared" si="5"/>
        <v>1.0400000000000001E-2</v>
      </c>
      <c r="M33" s="77">
        <f t="shared" si="5"/>
        <v>2.4596E-2</v>
      </c>
      <c r="N33" s="77">
        <f t="shared" si="5"/>
        <v>0</v>
      </c>
      <c r="O33" s="77">
        <f t="shared" si="5"/>
        <v>0</v>
      </c>
      <c r="P33" s="77">
        <f t="shared" si="5"/>
        <v>3.2084000000000001</v>
      </c>
      <c r="Q33" s="77">
        <f t="shared" si="10"/>
        <v>23.009999999999998</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3851</v>
      </c>
      <c r="B34" s="15">
        <v>52</v>
      </c>
      <c r="C34" s="77">
        <f t="shared" si="6"/>
        <v>166.4</v>
      </c>
      <c r="D34" s="77">
        <f t="shared" si="7"/>
        <v>62.663432</v>
      </c>
      <c r="E34" s="77">
        <f t="shared" si="8"/>
        <v>15.790319999999999</v>
      </c>
      <c r="F34" s="77">
        <f t="shared" si="9"/>
        <v>5.5609320000000002</v>
      </c>
      <c r="G34" s="77">
        <f t="shared" si="5"/>
        <v>6.291999999999999E-2</v>
      </c>
      <c r="H34" s="77">
        <f t="shared" si="5"/>
        <v>0.12116</v>
      </c>
      <c r="I34" s="77">
        <f t="shared" si="5"/>
        <v>2.6000000000000002E-2</v>
      </c>
      <c r="J34" s="77">
        <f t="shared" si="5"/>
        <v>5.2000000000000006E-4</v>
      </c>
      <c r="K34" s="77">
        <f t="shared" si="5"/>
        <v>2.6000000000000003E-3</v>
      </c>
      <c r="L34" s="77">
        <f t="shared" si="5"/>
        <v>1.0400000000000001E-2</v>
      </c>
      <c r="M34" s="77">
        <f t="shared" si="5"/>
        <v>2.4596E-2</v>
      </c>
      <c r="N34" s="77">
        <f t="shared" si="5"/>
        <v>0</v>
      </c>
      <c r="O34" s="77">
        <f t="shared" si="5"/>
        <v>0</v>
      </c>
      <c r="P34" s="77">
        <f t="shared" si="5"/>
        <v>3.2084000000000001</v>
      </c>
      <c r="Q34" s="77">
        <f t="shared" si="10"/>
        <v>23.009999999999998</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6418</v>
      </c>
      <c r="B35" s="15">
        <v>52</v>
      </c>
      <c r="C35" s="77">
        <f t="shared" si="6"/>
        <v>166.4</v>
      </c>
      <c r="D35" s="77">
        <f t="shared" si="7"/>
        <v>62.663432</v>
      </c>
      <c r="E35" s="77">
        <f t="shared" si="8"/>
        <v>15.790319999999999</v>
      </c>
      <c r="F35" s="77">
        <f t="shared" si="9"/>
        <v>5.5609320000000002</v>
      </c>
      <c r="G35" s="77">
        <f t="shared" si="5"/>
        <v>6.291999999999999E-2</v>
      </c>
      <c r="H35" s="77">
        <f t="shared" si="5"/>
        <v>0.12116</v>
      </c>
      <c r="I35" s="77">
        <f t="shared" si="5"/>
        <v>2.6000000000000002E-2</v>
      </c>
      <c r="J35" s="77">
        <f t="shared" si="5"/>
        <v>5.2000000000000006E-4</v>
      </c>
      <c r="K35" s="77">
        <f t="shared" si="5"/>
        <v>2.6000000000000003E-3</v>
      </c>
      <c r="L35" s="77">
        <f t="shared" si="5"/>
        <v>1.0400000000000001E-2</v>
      </c>
      <c r="M35" s="77">
        <f t="shared" si="5"/>
        <v>2.4596E-2</v>
      </c>
      <c r="N35" s="77">
        <f t="shared" si="5"/>
        <v>0</v>
      </c>
      <c r="O35" s="77">
        <f t="shared" si="5"/>
        <v>0</v>
      </c>
      <c r="P35" s="77">
        <f t="shared" si="5"/>
        <v>3.2084000000000001</v>
      </c>
      <c r="Q35" s="77">
        <f t="shared" si="10"/>
        <v>23.009999999999998</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1843</v>
      </c>
      <c r="B36" s="15">
        <v>52</v>
      </c>
      <c r="C36" s="77">
        <f t="shared" si="6"/>
        <v>166.4</v>
      </c>
      <c r="D36" s="77">
        <f t="shared" si="7"/>
        <v>62.663432</v>
      </c>
      <c r="E36" s="77">
        <f t="shared" si="8"/>
        <v>15.790319999999999</v>
      </c>
      <c r="F36" s="77">
        <f t="shared" si="9"/>
        <v>5.5609320000000002</v>
      </c>
      <c r="G36" s="77">
        <f t="shared" si="5"/>
        <v>6.291999999999999E-2</v>
      </c>
      <c r="H36" s="77">
        <f t="shared" si="5"/>
        <v>0.12116</v>
      </c>
      <c r="I36" s="77">
        <f t="shared" si="5"/>
        <v>2.6000000000000002E-2</v>
      </c>
      <c r="J36" s="77">
        <f t="shared" si="5"/>
        <v>5.2000000000000006E-4</v>
      </c>
      <c r="K36" s="77">
        <f t="shared" si="5"/>
        <v>2.6000000000000003E-3</v>
      </c>
      <c r="L36" s="77">
        <f t="shared" si="5"/>
        <v>1.0400000000000001E-2</v>
      </c>
      <c r="M36" s="77">
        <f t="shared" si="5"/>
        <v>2.4596E-2</v>
      </c>
      <c r="N36" s="77">
        <f t="shared" si="5"/>
        <v>0</v>
      </c>
      <c r="O36" s="77">
        <f t="shared" si="5"/>
        <v>0</v>
      </c>
      <c r="P36" s="77">
        <f t="shared" si="5"/>
        <v>3.2084000000000001</v>
      </c>
      <c r="Q36" s="77">
        <f t="shared" si="10"/>
        <v>23.009999999999998</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5974</v>
      </c>
      <c r="B37" s="15">
        <v>52</v>
      </c>
      <c r="C37" s="77">
        <f t="shared" si="6"/>
        <v>166.4</v>
      </c>
      <c r="D37" s="77">
        <f t="shared" si="7"/>
        <v>62.663432</v>
      </c>
      <c r="E37" s="77">
        <f t="shared" si="8"/>
        <v>15.790319999999999</v>
      </c>
      <c r="F37" s="77">
        <f t="shared" si="9"/>
        <v>5.5609320000000002</v>
      </c>
      <c r="G37" s="77">
        <f t="shared" si="5"/>
        <v>6.291999999999999E-2</v>
      </c>
      <c r="H37" s="77">
        <f t="shared" si="5"/>
        <v>0.12116</v>
      </c>
      <c r="I37" s="77">
        <f t="shared" si="5"/>
        <v>2.6000000000000002E-2</v>
      </c>
      <c r="J37" s="77">
        <f t="shared" si="5"/>
        <v>5.2000000000000006E-4</v>
      </c>
      <c r="K37" s="77">
        <f t="shared" si="5"/>
        <v>2.6000000000000003E-3</v>
      </c>
      <c r="L37" s="77">
        <f t="shared" si="5"/>
        <v>1.0400000000000001E-2</v>
      </c>
      <c r="M37" s="77">
        <f t="shared" si="5"/>
        <v>2.4596E-2</v>
      </c>
      <c r="N37" s="77">
        <f t="shared" si="5"/>
        <v>0</v>
      </c>
      <c r="O37" s="77">
        <f t="shared" si="5"/>
        <v>0</v>
      </c>
      <c r="P37" s="77">
        <f t="shared" si="5"/>
        <v>3.2084000000000001</v>
      </c>
      <c r="Q37" s="77">
        <f t="shared" si="10"/>
        <v>23.009999999999998</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5490</v>
      </c>
      <c r="B38" s="15">
        <v>52</v>
      </c>
      <c r="C38" s="77">
        <f t="shared" si="6"/>
        <v>166.4</v>
      </c>
      <c r="D38" s="77">
        <f t="shared" si="7"/>
        <v>62.663432</v>
      </c>
      <c r="E38" s="77">
        <f t="shared" si="8"/>
        <v>15.790319999999999</v>
      </c>
      <c r="F38" s="77">
        <f t="shared" si="9"/>
        <v>5.5609320000000002</v>
      </c>
      <c r="G38" s="77">
        <f t="shared" si="5"/>
        <v>6.291999999999999E-2</v>
      </c>
      <c r="H38" s="77">
        <f t="shared" si="5"/>
        <v>0.12116</v>
      </c>
      <c r="I38" s="77">
        <f t="shared" si="5"/>
        <v>2.6000000000000002E-2</v>
      </c>
      <c r="J38" s="77">
        <f t="shared" si="5"/>
        <v>5.2000000000000006E-4</v>
      </c>
      <c r="K38" s="77">
        <f t="shared" si="5"/>
        <v>2.6000000000000003E-3</v>
      </c>
      <c r="L38" s="77">
        <f t="shared" si="5"/>
        <v>1.0400000000000001E-2</v>
      </c>
      <c r="M38" s="77">
        <f t="shared" si="5"/>
        <v>2.4596E-2</v>
      </c>
      <c r="N38" s="77">
        <f t="shared" si="5"/>
        <v>0</v>
      </c>
      <c r="O38" s="77">
        <f t="shared" si="5"/>
        <v>0</v>
      </c>
      <c r="P38" s="77">
        <f t="shared" si="5"/>
        <v>3.2084000000000001</v>
      </c>
      <c r="Q38" s="77">
        <f t="shared" si="10"/>
        <v>23.009999999999998</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2565</v>
      </c>
      <c r="B39" s="15">
        <v>52</v>
      </c>
      <c r="C39" s="77">
        <f t="shared" si="6"/>
        <v>166.4</v>
      </c>
      <c r="D39" s="77">
        <f t="shared" si="7"/>
        <v>62.663432</v>
      </c>
      <c r="E39" s="77">
        <f t="shared" si="8"/>
        <v>15.790319999999999</v>
      </c>
      <c r="F39" s="77">
        <f t="shared" si="9"/>
        <v>5.5609320000000002</v>
      </c>
      <c r="G39" s="77">
        <f t="shared" si="5"/>
        <v>6.291999999999999E-2</v>
      </c>
      <c r="H39" s="77">
        <f t="shared" si="5"/>
        <v>0.12116</v>
      </c>
      <c r="I39" s="77">
        <f t="shared" si="5"/>
        <v>2.6000000000000002E-2</v>
      </c>
      <c r="J39" s="77">
        <f t="shared" si="5"/>
        <v>5.2000000000000006E-4</v>
      </c>
      <c r="K39" s="77">
        <f t="shared" si="5"/>
        <v>2.6000000000000003E-3</v>
      </c>
      <c r="L39" s="77">
        <f t="shared" si="5"/>
        <v>1.0400000000000001E-2</v>
      </c>
      <c r="M39" s="77">
        <f t="shared" si="5"/>
        <v>2.4596E-2</v>
      </c>
      <c r="N39" s="77">
        <f t="shared" si="5"/>
        <v>0</v>
      </c>
      <c r="O39" s="77">
        <f t="shared" si="5"/>
        <v>0</v>
      </c>
      <c r="P39" s="77">
        <f t="shared" si="5"/>
        <v>3.2084000000000001</v>
      </c>
      <c r="Q39" s="77">
        <f t="shared" si="10"/>
        <v>23.009999999999998</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7887</v>
      </c>
      <c r="B40" s="15">
        <v>52</v>
      </c>
      <c r="C40" s="77">
        <f t="shared" si="6"/>
        <v>166.4</v>
      </c>
      <c r="D40" s="77">
        <f t="shared" si="7"/>
        <v>62.663432</v>
      </c>
      <c r="E40" s="77">
        <f t="shared" si="8"/>
        <v>15.790319999999999</v>
      </c>
      <c r="F40" s="77">
        <f t="shared" si="9"/>
        <v>5.5609320000000002</v>
      </c>
      <c r="G40" s="77">
        <f t="shared" si="5"/>
        <v>6.291999999999999E-2</v>
      </c>
      <c r="H40" s="77">
        <f t="shared" si="5"/>
        <v>0.12116</v>
      </c>
      <c r="I40" s="77">
        <f t="shared" si="5"/>
        <v>2.6000000000000002E-2</v>
      </c>
      <c r="J40" s="77">
        <f t="shared" si="5"/>
        <v>5.2000000000000006E-4</v>
      </c>
      <c r="K40" s="77">
        <f t="shared" si="5"/>
        <v>2.6000000000000003E-3</v>
      </c>
      <c r="L40" s="77">
        <f t="shared" si="5"/>
        <v>1.0400000000000001E-2</v>
      </c>
      <c r="M40" s="77">
        <f t="shared" si="5"/>
        <v>2.4596E-2</v>
      </c>
      <c r="N40" s="77">
        <f t="shared" si="5"/>
        <v>0</v>
      </c>
      <c r="O40" s="77">
        <f t="shared" si="5"/>
        <v>0</v>
      </c>
      <c r="P40" s="77">
        <f t="shared" si="5"/>
        <v>3.2084000000000001</v>
      </c>
      <c r="Q40" s="77">
        <f t="shared" si="10"/>
        <v>23.009999999999998</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2946</v>
      </c>
      <c r="B41" s="15">
        <v>52</v>
      </c>
      <c r="C41" s="77">
        <f t="shared" si="6"/>
        <v>166.4</v>
      </c>
      <c r="D41" s="77">
        <f t="shared" si="7"/>
        <v>62.663432</v>
      </c>
      <c r="E41" s="77">
        <f t="shared" si="8"/>
        <v>15.790319999999999</v>
      </c>
      <c r="F41" s="77">
        <f t="shared" si="9"/>
        <v>5.5609320000000002</v>
      </c>
      <c r="G41" s="77">
        <f t="shared" si="5"/>
        <v>6.291999999999999E-2</v>
      </c>
      <c r="H41" s="77">
        <f t="shared" si="5"/>
        <v>0.12116</v>
      </c>
      <c r="I41" s="77">
        <f t="shared" si="5"/>
        <v>2.6000000000000002E-2</v>
      </c>
      <c r="J41" s="77">
        <f t="shared" si="5"/>
        <v>5.2000000000000006E-4</v>
      </c>
      <c r="K41" s="77">
        <f t="shared" si="5"/>
        <v>2.6000000000000003E-3</v>
      </c>
      <c r="L41" s="77">
        <f t="shared" si="5"/>
        <v>1.0400000000000001E-2</v>
      </c>
      <c r="M41" s="77">
        <f t="shared" si="5"/>
        <v>2.4596E-2</v>
      </c>
      <c r="N41" s="77">
        <f t="shared" si="5"/>
        <v>0</v>
      </c>
      <c r="O41" s="77">
        <f t="shared" si="5"/>
        <v>0</v>
      </c>
      <c r="P41" s="77">
        <f t="shared" si="5"/>
        <v>3.2084000000000001</v>
      </c>
      <c r="Q41" s="77">
        <f t="shared" si="10"/>
        <v>23.009999999999998</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2881</v>
      </c>
      <c r="B42" s="15">
        <v>52</v>
      </c>
      <c r="C42" s="77">
        <f t="shared" si="6"/>
        <v>166.4</v>
      </c>
      <c r="D42" s="77">
        <f t="shared" si="7"/>
        <v>62.663432</v>
      </c>
      <c r="E42" s="77">
        <f t="shared" si="8"/>
        <v>15.790319999999999</v>
      </c>
      <c r="F42" s="77">
        <f t="shared" si="9"/>
        <v>5.5609320000000002</v>
      </c>
      <c r="G42" s="77">
        <f t="shared" si="5"/>
        <v>6.291999999999999E-2</v>
      </c>
      <c r="H42" s="77">
        <f t="shared" si="5"/>
        <v>0.12116</v>
      </c>
      <c r="I42" s="77">
        <f t="shared" si="5"/>
        <v>2.6000000000000002E-2</v>
      </c>
      <c r="J42" s="77">
        <f t="shared" si="5"/>
        <v>5.2000000000000006E-4</v>
      </c>
      <c r="K42" s="77">
        <f t="shared" si="5"/>
        <v>2.6000000000000003E-3</v>
      </c>
      <c r="L42" s="77">
        <f t="shared" si="5"/>
        <v>1.0400000000000001E-2</v>
      </c>
      <c r="M42" s="77">
        <f t="shared" si="5"/>
        <v>2.4596E-2</v>
      </c>
      <c r="N42" s="77">
        <f t="shared" si="5"/>
        <v>0</v>
      </c>
      <c r="O42" s="77">
        <f t="shared" si="5"/>
        <v>0</v>
      </c>
      <c r="P42" s="77">
        <f t="shared" si="5"/>
        <v>3.2084000000000001</v>
      </c>
      <c r="Q42" s="77">
        <f t="shared" si="10"/>
        <v>23.009999999999998</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3398</v>
      </c>
      <c r="B43" s="15">
        <v>52</v>
      </c>
      <c r="C43" s="77">
        <f t="shared" si="6"/>
        <v>166.4</v>
      </c>
      <c r="D43" s="77">
        <f t="shared" si="7"/>
        <v>62.663432</v>
      </c>
      <c r="E43" s="77">
        <f t="shared" si="8"/>
        <v>15.790319999999999</v>
      </c>
      <c r="F43" s="77">
        <f t="shared" si="9"/>
        <v>5.5609320000000002</v>
      </c>
      <c r="G43" s="77">
        <f t="shared" si="5"/>
        <v>6.291999999999999E-2</v>
      </c>
      <c r="H43" s="77">
        <f t="shared" si="5"/>
        <v>0.12116</v>
      </c>
      <c r="I43" s="77">
        <f t="shared" si="5"/>
        <v>2.6000000000000002E-2</v>
      </c>
      <c r="J43" s="77">
        <f t="shared" si="5"/>
        <v>5.2000000000000006E-4</v>
      </c>
      <c r="K43" s="77">
        <f t="shared" si="5"/>
        <v>2.6000000000000003E-3</v>
      </c>
      <c r="L43" s="77">
        <f t="shared" si="5"/>
        <v>1.0400000000000001E-2</v>
      </c>
      <c r="M43" s="77">
        <f t="shared" si="5"/>
        <v>2.4596E-2</v>
      </c>
      <c r="N43" s="77">
        <f t="shared" si="5"/>
        <v>0</v>
      </c>
      <c r="O43" s="77">
        <f t="shared" si="5"/>
        <v>0</v>
      </c>
      <c r="P43" s="77">
        <f t="shared" si="5"/>
        <v>3.2084000000000001</v>
      </c>
      <c r="Q43" s="77">
        <f t="shared" si="10"/>
        <v>23.009999999999998</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5694</v>
      </c>
      <c r="B44" s="15">
        <v>52</v>
      </c>
      <c r="C44" s="77">
        <f t="shared" si="6"/>
        <v>166.4</v>
      </c>
      <c r="D44" s="77">
        <f t="shared" si="7"/>
        <v>62.663432</v>
      </c>
      <c r="E44" s="77">
        <f t="shared" si="8"/>
        <v>15.790319999999999</v>
      </c>
      <c r="F44" s="77">
        <f t="shared" si="9"/>
        <v>5.5609320000000002</v>
      </c>
      <c r="G44" s="77">
        <f t="shared" si="5"/>
        <v>6.291999999999999E-2</v>
      </c>
      <c r="H44" s="77">
        <f t="shared" si="5"/>
        <v>0.12116</v>
      </c>
      <c r="I44" s="77">
        <f t="shared" si="5"/>
        <v>2.6000000000000002E-2</v>
      </c>
      <c r="J44" s="77">
        <f t="shared" si="5"/>
        <v>5.2000000000000006E-4</v>
      </c>
      <c r="K44" s="77">
        <f t="shared" si="5"/>
        <v>2.6000000000000003E-3</v>
      </c>
      <c r="L44" s="77">
        <f t="shared" si="5"/>
        <v>1.0400000000000001E-2</v>
      </c>
      <c r="M44" s="77">
        <f t="shared" si="5"/>
        <v>2.4596E-2</v>
      </c>
      <c r="N44" s="77">
        <f t="shared" si="5"/>
        <v>0</v>
      </c>
      <c r="O44" s="77">
        <f t="shared" si="5"/>
        <v>0</v>
      </c>
      <c r="P44" s="77">
        <f t="shared" si="5"/>
        <v>3.2084000000000001</v>
      </c>
      <c r="Q44" s="77">
        <f t="shared" si="10"/>
        <v>23.009999999999998</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2991</v>
      </c>
      <c r="B45" s="15">
        <v>52</v>
      </c>
      <c r="C45" s="77">
        <f t="shared" si="6"/>
        <v>166.4</v>
      </c>
      <c r="D45" s="77">
        <f t="shared" si="7"/>
        <v>62.663432</v>
      </c>
      <c r="E45" s="77">
        <f t="shared" si="8"/>
        <v>15.790319999999999</v>
      </c>
      <c r="F45" s="77">
        <f t="shared" si="9"/>
        <v>5.5609320000000002</v>
      </c>
      <c r="G45" s="77">
        <f t="shared" si="5"/>
        <v>6.291999999999999E-2</v>
      </c>
      <c r="H45" s="77">
        <f t="shared" si="5"/>
        <v>0.12116</v>
      </c>
      <c r="I45" s="77">
        <f t="shared" si="5"/>
        <v>2.6000000000000002E-2</v>
      </c>
      <c r="J45" s="77">
        <f t="shared" si="5"/>
        <v>5.2000000000000006E-4</v>
      </c>
      <c r="K45" s="77">
        <f t="shared" si="5"/>
        <v>2.6000000000000003E-3</v>
      </c>
      <c r="L45" s="77">
        <f t="shared" si="5"/>
        <v>1.0400000000000001E-2</v>
      </c>
      <c r="M45" s="77">
        <f t="shared" si="5"/>
        <v>2.4596E-2</v>
      </c>
      <c r="N45" s="77">
        <f t="shared" si="5"/>
        <v>0</v>
      </c>
      <c r="O45" s="77">
        <f t="shared" si="5"/>
        <v>0</v>
      </c>
      <c r="P45" s="77">
        <f t="shared" si="5"/>
        <v>3.2084000000000001</v>
      </c>
      <c r="Q45" s="77">
        <f t="shared" si="10"/>
        <v>23.009999999999998</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3799</v>
      </c>
      <c r="B46" s="15">
        <v>52</v>
      </c>
      <c r="C46" s="77">
        <f t="shared" si="6"/>
        <v>166.4</v>
      </c>
      <c r="D46" s="77">
        <f t="shared" si="7"/>
        <v>62.663432</v>
      </c>
      <c r="E46" s="77">
        <f t="shared" si="8"/>
        <v>15.790319999999999</v>
      </c>
      <c r="F46" s="77">
        <f t="shared" si="9"/>
        <v>5.5609320000000002</v>
      </c>
      <c r="G46" s="77">
        <f t="shared" si="5"/>
        <v>6.291999999999999E-2</v>
      </c>
      <c r="H46" s="77">
        <f t="shared" si="5"/>
        <v>0.12116</v>
      </c>
      <c r="I46" s="77">
        <f t="shared" si="5"/>
        <v>2.6000000000000002E-2</v>
      </c>
      <c r="J46" s="77">
        <f t="shared" si="5"/>
        <v>5.2000000000000006E-4</v>
      </c>
      <c r="K46" s="77">
        <f t="shared" si="5"/>
        <v>2.6000000000000003E-3</v>
      </c>
      <c r="L46" s="77">
        <f t="shared" si="5"/>
        <v>1.0400000000000001E-2</v>
      </c>
      <c r="M46" s="77">
        <f t="shared" si="5"/>
        <v>2.4596E-2</v>
      </c>
      <c r="N46" s="77">
        <f t="shared" si="5"/>
        <v>0</v>
      </c>
      <c r="O46" s="77">
        <f t="shared" si="5"/>
        <v>0</v>
      </c>
      <c r="P46" s="77">
        <f t="shared" si="5"/>
        <v>3.2084000000000001</v>
      </c>
      <c r="Q46" s="77">
        <f t="shared" si="10"/>
        <v>23.009999999999998</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5813</v>
      </c>
      <c r="B47" s="15">
        <v>52</v>
      </c>
      <c r="C47" s="77">
        <f t="shared" si="6"/>
        <v>166.4</v>
      </c>
      <c r="D47" s="77">
        <f t="shared" si="7"/>
        <v>62.663432</v>
      </c>
      <c r="E47" s="77">
        <f t="shared" si="8"/>
        <v>15.790319999999999</v>
      </c>
      <c r="F47" s="77">
        <f t="shared" si="9"/>
        <v>5.5609320000000002</v>
      </c>
      <c r="G47" s="77">
        <f t="shared" ref="G47:P50" si="12">IF(G$27="%w/w SAR",((G$28*10)*$B47),IF(G$27="%w/w DM",(((G$28*10)*($B$28/100))*$B47),IF(G$27="kg/t SAR",(G$28*$B47),IF(G$27="kg/t DM",((G$28*($B$28/100))*$B47),IF(G$27="mg/kg SAR",((G$28*0.001)*$B47),IF(G$27="mg/kg DM",(((G$28*0.001)*($B$28/100))*$B47),0))))))</f>
        <v>6.291999999999999E-2</v>
      </c>
      <c r="H47" s="77">
        <f t="shared" si="12"/>
        <v>0.12116</v>
      </c>
      <c r="I47" s="77">
        <f t="shared" si="12"/>
        <v>2.6000000000000002E-2</v>
      </c>
      <c r="J47" s="77">
        <f t="shared" si="12"/>
        <v>5.2000000000000006E-4</v>
      </c>
      <c r="K47" s="77">
        <f t="shared" si="12"/>
        <v>2.6000000000000003E-3</v>
      </c>
      <c r="L47" s="77">
        <f t="shared" si="12"/>
        <v>1.0400000000000001E-2</v>
      </c>
      <c r="M47" s="77">
        <f t="shared" si="12"/>
        <v>2.4596E-2</v>
      </c>
      <c r="N47" s="77">
        <f t="shared" si="12"/>
        <v>0</v>
      </c>
      <c r="O47" s="77">
        <f t="shared" si="12"/>
        <v>0</v>
      </c>
      <c r="P47" s="77">
        <f t="shared" si="12"/>
        <v>3.2084000000000001</v>
      </c>
      <c r="Q47" s="77">
        <f t="shared" si="10"/>
        <v>23.009999999999998</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1390</v>
      </c>
      <c r="B48" s="15">
        <v>52</v>
      </c>
      <c r="C48" s="77">
        <f t="shared" si="6"/>
        <v>166.4</v>
      </c>
      <c r="D48" s="77">
        <f t="shared" si="7"/>
        <v>62.663432</v>
      </c>
      <c r="E48" s="77">
        <f t="shared" si="8"/>
        <v>15.790319999999999</v>
      </c>
      <c r="F48" s="77">
        <f t="shared" si="9"/>
        <v>5.5609320000000002</v>
      </c>
      <c r="G48" s="77">
        <f t="shared" si="12"/>
        <v>6.291999999999999E-2</v>
      </c>
      <c r="H48" s="77">
        <f t="shared" si="12"/>
        <v>0.12116</v>
      </c>
      <c r="I48" s="77">
        <f t="shared" si="12"/>
        <v>2.6000000000000002E-2</v>
      </c>
      <c r="J48" s="77">
        <f t="shared" si="12"/>
        <v>5.2000000000000006E-4</v>
      </c>
      <c r="K48" s="77">
        <f t="shared" si="12"/>
        <v>2.6000000000000003E-3</v>
      </c>
      <c r="L48" s="77">
        <f t="shared" si="12"/>
        <v>1.0400000000000001E-2</v>
      </c>
      <c r="M48" s="77">
        <f t="shared" si="12"/>
        <v>2.4596E-2</v>
      </c>
      <c r="N48" s="77">
        <f t="shared" si="12"/>
        <v>0</v>
      </c>
      <c r="O48" s="77">
        <f t="shared" si="12"/>
        <v>0</v>
      </c>
      <c r="P48" s="77">
        <f t="shared" si="12"/>
        <v>3.2084000000000001</v>
      </c>
      <c r="Q48" s="77">
        <f t="shared" si="10"/>
        <v>23.009999999999998</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9596</v>
      </c>
      <c r="B49" s="15">
        <v>52</v>
      </c>
      <c r="C49" s="77">
        <f t="shared" si="6"/>
        <v>166.4</v>
      </c>
      <c r="D49" s="77">
        <f t="shared" si="7"/>
        <v>62.663432</v>
      </c>
      <c r="E49" s="77">
        <f t="shared" si="8"/>
        <v>15.790319999999999</v>
      </c>
      <c r="F49" s="77">
        <f t="shared" si="9"/>
        <v>5.5609320000000002</v>
      </c>
      <c r="G49" s="77">
        <f t="shared" si="12"/>
        <v>6.291999999999999E-2</v>
      </c>
      <c r="H49" s="77">
        <f t="shared" si="12"/>
        <v>0.12116</v>
      </c>
      <c r="I49" s="77">
        <f t="shared" si="12"/>
        <v>2.6000000000000002E-2</v>
      </c>
      <c r="J49" s="77">
        <f t="shared" si="12"/>
        <v>5.2000000000000006E-4</v>
      </c>
      <c r="K49" s="77">
        <f t="shared" si="12"/>
        <v>2.6000000000000003E-3</v>
      </c>
      <c r="L49" s="77">
        <f t="shared" si="12"/>
        <v>1.0400000000000001E-2</v>
      </c>
      <c r="M49" s="77">
        <f t="shared" si="12"/>
        <v>2.4596E-2</v>
      </c>
      <c r="N49" s="77">
        <f t="shared" si="12"/>
        <v>0</v>
      </c>
      <c r="O49" s="77">
        <f t="shared" si="12"/>
        <v>0</v>
      </c>
      <c r="P49" s="77">
        <f t="shared" si="12"/>
        <v>3.2084000000000001</v>
      </c>
      <c r="Q49" s="77">
        <f t="shared" si="10"/>
        <v>23.009999999999998</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716</v>
      </c>
      <c r="B50" s="15">
        <v>52</v>
      </c>
      <c r="C50" s="98">
        <f t="shared" si="6"/>
        <v>166.4</v>
      </c>
      <c r="D50" s="98">
        <f t="shared" si="7"/>
        <v>62.663432</v>
      </c>
      <c r="E50" s="98">
        <f t="shared" si="8"/>
        <v>15.790319999999999</v>
      </c>
      <c r="F50" s="98">
        <f t="shared" si="9"/>
        <v>5.5609320000000002</v>
      </c>
      <c r="G50" s="98">
        <f t="shared" si="12"/>
        <v>6.291999999999999E-2</v>
      </c>
      <c r="H50" s="98">
        <f t="shared" si="12"/>
        <v>0.12116</v>
      </c>
      <c r="I50" s="98">
        <f t="shared" si="12"/>
        <v>2.6000000000000002E-2</v>
      </c>
      <c r="J50" s="98">
        <f t="shared" si="12"/>
        <v>5.2000000000000006E-4</v>
      </c>
      <c r="K50" s="98">
        <f t="shared" si="12"/>
        <v>2.6000000000000003E-3</v>
      </c>
      <c r="L50" s="98">
        <f t="shared" si="12"/>
        <v>1.0400000000000001E-2</v>
      </c>
      <c r="M50" s="98">
        <f t="shared" si="12"/>
        <v>2.4596E-2</v>
      </c>
      <c r="N50" s="98">
        <f t="shared" si="12"/>
        <v>0</v>
      </c>
      <c r="O50" s="98">
        <f t="shared" si="12"/>
        <v>0</v>
      </c>
      <c r="P50" s="98">
        <f t="shared" si="12"/>
        <v>3.2084000000000001</v>
      </c>
      <c r="Q50" s="98">
        <f t="shared" si="10"/>
        <v>23.009999999999998</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5905</v>
      </c>
      <c r="C57" s="8">
        <f t="shared" ref="C57:U57" si="13">D8</f>
        <v>4279</v>
      </c>
      <c r="D57" s="8">
        <f t="shared" si="13"/>
        <v>7605</v>
      </c>
      <c r="E57" s="8">
        <f t="shared" si="13"/>
        <v>3851</v>
      </c>
      <c r="F57" s="8">
        <f t="shared" si="13"/>
        <v>6418</v>
      </c>
      <c r="G57" s="8">
        <f t="shared" si="13"/>
        <v>1843</v>
      </c>
      <c r="H57" s="8">
        <f t="shared" si="13"/>
        <v>5974</v>
      </c>
      <c r="I57" s="8">
        <f t="shared" si="13"/>
        <v>5490</v>
      </c>
      <c r="J57" s="8">
        <f t="shared" si="13"/>
        <v>2565</v>
      </c>
      <c r="K57" s="8">
        <f t="shared" si="13"/>
        <v>7887</v>
      </c>
      <c r="L57" s="8">
        <f t="shared" si="13"/>
        <v>2946</v>
      </c>
      <c r="M57" s="8">
        <f t="shared" si="13"/>
        <v>2881</v>
      </c>
      <c r="N57" s="8">
        <f t="shared" si="13"/>
        <v>3398</v>
      </c>
      <c r="O57" s="8">
        <f t="shared" si="13"/>
        <v>5694</v>
      </c>
      <c r="P57" s="8">
        <f t="shared" si="13"/>
        <v>2991</v>
      </c>
      <c r="Q57" s="8">
        <f t="shared" si="13"/>
        <v>3799</v>
      </c>
      <c r="R57" s="8">
        <f t="shared" si="13"/>
        <v>5813</v>
      </c>
      <c r="S57" s="8">
        <f t="shared" si="13"/>
        <v>1390</v>
      </c>
      <c r="T57" s="8">
        <f t="shared" si="13"/>
        <v>9596</v>
      </c>
      <c r="U57" s="8">
        <f t="shared" si="13"/>
        <v>716</v>
      </c>
    </row>
    <row r="58" spans="1:35" s="19" customFormat="1" x14ac:dyDescent="0.25">
      <c r="A58" s="92" t="s">
        <v>136</v>
      </c>
      <c r="B58" s="13" t="str">
        <f>C16&amp;" I "&amp;(VLOOKUP(C14,Table24581113[],6,FALSE))</f>
        <v>Medium/Clay I Grass</v>
      </c>
      <c r="C58" s="13" t="str">
        <f>D16&amp;" I "&amp;(VLOOKUP(D14,Table24581113[],6,FALSE))</f>
        <v>Medium/Clay I Grass</v>
      </c>
      <c r="D58" s="13" t="str">
        <f>E16&amp;" I "&amp;(VLOOKUP(E14,Table24581113[],6,FALSE))</f>
        <v>Medium/Clay I Grass</v>
      </c>
      <c r="E58" s="13" t="str">
        <f>F16&amp;" I "&amp;(VLOOKUP(F14,Table24581113[],6,FALSE))</f>
        <v>Medium/Clay I Grass</v>
      </c>
      <c r="F58" s="13" t="str">
        <f>G16&amp;" I "&amp;(VLOOKUP(G14,Table24581113[],6,FALSE))</f>
        <v>Medium/Clay I Grass</v>
      </c>
      <c r="G58" s="13" t="str">
        <f>H16&amp;" I "&amp;(VLOOKUP(H14,Table24581113[],6,FALSE))</f>
        <v>Medium/Clay I Grass</v>
      </c>
      <c r="H58" s="13" t="str">
        <f>I16&amp;" I "&amp;(VLOOKUP(I14,Table24581113[],6,FALSE))</f>
        <v>Medium/Clay I Grass</v>
      </c>
      <c r="I58" s="13" t="str">
        <f>J16&amp;" I "&amp;(VLOOKUP(J14,Table24581113[],6,FALSE))</f>
        <v>Medium/Clay I Grass</v>
      </c>
      <c r="J58" s="13" t="str">
        <f>K16&amp;" I "&amp;(VLOOKUP(K14,Table24581113[],6,FALSE))</f>
        <v>Medium/Clay I Grass</v>
      </c>
      <c r="K58" s="13" t="str">
        <f>L16&amp;" I "&amp;(VLOOKUP(L14,Table24581113[],6,FALSE))</f>
        <v>Medium/Clay I Grass</v>
      </c>
      <c r="L58" s="13" t="str">
        <f>M16&amp;" I "&amp;(VLOOKUP(M14,Table24581113[],6,FALSE))</f>
        <v>Medium/Clay I Grass</v>
      </c>
      <c r="M58" s="13" t="str">
        <f>N16&amp;" I "&amp;(VLOOKUP(N14,Table24581113[],6,FALSE))</f>
        <v>Medium/Clay I Grass</v>
      </c>
      <c r="N58" s="13" t="str">
        <f>O16&amp;" I "&amp;(VLOOKUP(O14,Table24581113[],6,FALSE))</f>
        <v>Medium/Clay I Grass</v>
      </c>
      <c r="O58" s="13" t="str">
        <f>P16&amp;" I "&amp;(VLOOKUP(P14,Table24581113[],6,FALSE))</f>
        <v>Medium/Clay I Grass</v>
      </c>
      <c r="P58" s="13" t="str">
        <f>Q16&amp;" I "&amp;(VLOOKUP(Q14,Table24581113[],6,FALSE))</f>
        <v>Medium/Clay I Grass</v>
      </c>
      <c r="Q58" s="13" t="str">
        <f>R16&amp;" I "&amp;(VLOOKUP(R14,Table24581113[],6,FALSE))</f>
        <v>Medium/Clay I Grass</v>
      </c>
      <c r="R58" s="13" t="str">
        <f>S16&amp;" I "&amp;(VLOOKUP(S14,Table24581113[],6,FALSE))</f>
        <v>Medium/Clay I Grass</v>
      </c>
      <c r="S58" s="13" t="str">
        <f>T16&amp;" I "&amp;(VLOOKUP(T14,Table24581113[],6,FALSE))</f>
        <v>Medium/Clay I Grass</v>
      </c>
      <c r="T58" s="13" t="str">
        <f>U16&amp;" I "&amp;(VLOOKUP(U14,Table24581113[],6,FALSE))</f>
        <v>Medium/Clay I Grass</v>
      </c>
      <c r="U58" s="13" t="str">
        <f>V16&amp;" I "&amp;(VLOOKUP(V14,Table24581113[],6,FALSE))</f>
        <v>Medium/Clay I Grass</v>
      </c>
    </row>
    <row r="59" spans="1:35" s="19" customFormat="1" x14ac:dyDescent="0.2">
      <c r="A59" s="111" t="s">
        <v>132</v>
      </c>
      <c r="B59" s="76">
        <f>VLOOKUP(C$14,Table24581113[],5,FALSE)</f>
        <v>6.2</v>
      </c>
      <c r="C59" s="76">
        <f>VLOOKUP(D$14,Table24581113[],5,FALSE)</f>
        <v>6.2</v>
      </c>
      <c r="D59" s="76">
        <f>VLOOKUP(E$14,Table24581113[],5,FALSE)</f>
        <v>6.2</v>
      </c>
      <c r="E59" s="76">
        <f>VLOOKUP(F$14,Table24581113[],5,FALSE)</f>
        <v>6.2</v>
      </c>
      <c r="F59" s="76">
        <f>VLOOKUP(G$14,Table24581113[],5,FALSE)</f>
        <v>6.2</v>
      </c>
      <c r="G59" s="76">
        <f>VLOOKUP(H$14,Table24581113[],5,FALSE)</f>
        <v>6.2</v>
      </c>
      <c r="H59" s="76">
        <f>VLOOKUP(I$14,Table24581113[],5,FALSE)</f>
        <v>6.2</v>
      </c>
      <c r="I59" s="76">
        <f>VLOOKUP(J$14,Table24581113[],5,FALSE)</f>
        <v>6.2</v>
      </c>
      <c r="J59" s="76">
        <f>VLOOKUP(K$14,Table24581113[],5,FALSE)</f>
        <v>6.2</v>
      </c>
      <c r="K59" s="76">
        <f>VLOOKUP(L$14,Table24581113[],5,FALSE)</f>
        <v>6.2</v>
      </c>
      <c r="L59" s="76">
        <f>VLOOKUP(M$14,Table24581113[],5,FALSE)</f>
        <v>6.2</v>
      </c>
      <c r="M59" s="76">
        <f>VLOOKUP(N$14,Table24581113[],5,FALSE)</f>
        <v>6.2</v>
      </c>
      <c r="N59" s="76">
        <f>VLOOKUP(O$14,Table24581113[],5,FALSE)</f>
        <v>6.2</v>
      </c>
      <c r="O59" s="76">
        <f>VLOOKUP(P$14,Table24581113[],5,FALSE)</f>
        <v>6.2</v>
      </c>
      <c r="P59" s="76">
        <f>VLOOKUP(Q$14,Table24581113[],5,FALSE)</f>
        <v>6.2</v>
      </c>
      <c r="Q59" s="76">
        <f>VLOOKUP(R$14,Table24581113[],5,FALSE)</f>
        <v>6.2</v>
      </c>
      <c r="R59" s="76">
        <f>VLOOKUP(S$14,Table24581113[],5,FALSE)</f>
        <v>6.2</v>
      </c>
      <c r="S59" s="76">
        <f>VLOOKUP(T$14,Table24581113[],5,FALSE)</f>
        <v>6.2</v>
      </c>
      <c r="T59" s="76">
        <f>VLOOKUP(U$14,Table24581113[],5,FALSE)</f>
        <v>6.2</v>
      </c>
      <c r="U59" s="76">
        <f>VLOOKUP(V$14,Table24581113[],5,FALSE)</f>
        <v>6.2</v>
      </c>
    </row>
    <row r="60" spans="1:35" s="19" customFormat="1" x14ac:dyDescent="0.2">
      <c r="A60" s="111" t="s">
        <v>4</v>
      </c>
      <c r="B60" s="76">
        <f>C10</f>
        <v>6.2</v>
      </c>
      <c r="C60" s="76">
        <f t="shared" ref="C60:U60" si="14">D10</f>
        <v>5.6</v>
      </c>
      <c r="D60" s="76">
        <f t="shared" si="14"/>
        <v>6.3</v>
      </c>
      <c r="E60" s="76">
        <f t="shared" si="14"/>
        <v>6</v>
      </c>
      <c r="F60" s="76">
        <f t="shared" si="14"/>
        <v>5.8</v>
      </c>
      <c r="G60" s="76">
        <f t="shared" si="14"/>
        <v>5.3</v>
      </c>
      <c r="H60" s="76">
        <f t="shared" si="14"/>
        <v>6</v>
      </c>
      <c r="I60" s="76">
        <f t="shared" si="14"/>
        <v>6.1</v>
      </c>
      <c r="J60" s="76">
        <f t="shared" si="14"/>
        <v>5.5</v>
      </c>
      <c r="K60" s="76">
        <f t="shared" si="14"/>
        <v>6.1</v>
      </c>
      <c r="L60" s="76">
        <f t="shared" si="14"/>
        <v>5.5</v>
      </c>
      <c r="M60" s="76">
        <f t="shared" si="14"/>
        <v>5.6</v>
      </c>
      <c r="N60" s="76">
        <f t="shared" si="14"/>
        <v>5.9</v>
      </c>
      <c r="O60" s="76">
        <f t="shared" si="14"/>
        <v>6.5</v>
      </c>
      <c r="P60" s="76">
        <f t="shared" si="14"/>
        <v>5.7</v>
      </c>
      <c r="Q60" s="76">
        <f t="shared" si="14"/>
        <v>6.4</v>
      </c>
      <c r="R60" s="76">
        <f t="shared" si="14"/>
        <v>6.7</v>
      </c>
      <c r="S60" s="76">
        <f t="shared" si="14"/>
        <v>5.4</v>
      </c>
      <c r="T60" s="76">
        <f t="shared" si="14"/>
        <v>5.5</v>
      </c>
      <c r="U60" s="76">
        <f t="shared" si="14"/>
        <v>6.4</v>
      </c>
    </row>
    <row r="61" spans="1:35" s="19" customFormat="1" x14ac:dyDescent="0.2">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f t="shared" si="15"/>
        <v>6</v>
      </c>
      <c r="R61" s="76">
        <f t="shared" si="15"/>
        <v>6</v>
      </c>
      <c r="S61" s="76">
        <f t="shared" si="15"/>
        <v>6</v>
      </c>
      <c r="T61" s="76">
        <f t="shared" si="15"/>
        <v>6</v>
      </c>
      <c r="U61" s="76">
        <f t="shared" si="15"/>
        <v>6</v>
      </c>
    </row>
    <row r="62" spans="1:35" s="19" customFormat="1" x14ac:dyDescent="0.2">
      <c r="A62" s="111" t="s">
        <v>134</v>
      </c>
      <c r="B62" s="77">
        <f>B31</f>
        <v>52</v>
      </c>
      <c r="C62" s="77">
        <f>B32</f>
        <v>52</v>
      </c>
      <c r="D62" s="77">
        <f>B33</f>
        <v>52</v>
      </c>
      <c r="E62" s="77">
        <f>B34</f>
        <v>52</v>
      </c>
      <c r="F62" s="77">
        <f>B35</f>
        <v>52</v>
      </c>
      <c r="G62" s="77">
        <f>B36</f>
        <v>52</v>
      </c>
      <c r="H62" s="77">
        <f>B37</f>
        <v>52</v>
      </c>
      <c r="I62" s="77">
        <f>B38</f>
        <v>52</v>
      </c>
      <c r="J62" s="77">
        <f>B39</f>
        <v>52</v>
      </c>
      <c r="K62" s="77">
        <f>B40</f>
        <v>52</v>
      </c>
      <c r="L62" s="77">
        <f>B41</f>
        <v>52</v>
      </c>
      <c r="M62" s="77">
        <f>B42</f>
        <v>52</v>
      </c>
      <c r="N62" s="77">
        <f>B43</f>
        <v>52</v>
      </c>
      <c r="O62" s="77">
        <f>B44</f>
        <v>52</v>
      </c>
      <c r="P62" s="77">
        <f>B45</f>
        <v>52</v>
      </c>
      <c r="Q62" s="77">
        <f>B46</f>
        <v>52</v>
      </c>
      <c r="R62" s="77">
        <f>B47</f>
        <v>52</v>
      </c>
      <c r="S62" s="77">
        <f>B48</f>
        <v>52</v>
      </c>
      <c r="T62" s="77">
        <f>B49</f>
        <v>52</v>
      </c>
      <c r="U62" s="77">
        <f>B50</f>
        <v>52</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0</v>
      </c>
      <c r="C64" s="77">
        <f t="shared" ref="C64:U64" si="17">(C59-C60)*C61</f>
        <v>3.6000000000000032</v>
      </c>
      <c r="D64" s="77">
        <f t="shared" si="17"/>
        <v>-0.59999999999999787</v>
      </c>
      <c r="E64" s="77">
        <f t="shared" si="17"/>
        <v>1.2000000000000011</v>
      </c>
      <c r="F64" s="77">
        <f t="shared" si="17"/>
        <v>2.4000000000000021</v>
      </c>
      <c r="G64" s="77">
        <f t="shared" si="17"/>
        <v>5.4000000000000021</v>
      </c>
      <c r="H64" s="77">
        <f t="shared" si="17"/>
        <v>1.2000000000000011</v>
      </c>
      <c r="I64" s="77">
        <f t="shared" si="17"/>
        <v>0.6000000000000032</v>
      </c>
      <c r="J64" s="77">
        <f t="shared" si="17"/>
        <v>4.2000000000000011</v>
      </c>
      <c r="K64" s="77">
        <f t="shared" si="17"/>
        <v>0.6000000000000032</v>
      </c>
      <c r="L64" s="77">
        <f t="shared" si="17"/>
        <v>4.2000000000000011</v>
      </c>
      <c r="M64" s="77">
        <f t="shared" si="17"/>
        <v>3.6000000000000032</v>
      </c>
      <c r="N64" s="77">
        <f t="shared" si="17"/>
        <v>1.7999999999999989</v>
      </c>
      <c r="O64" s="77">
        <f t="shared" si="17"/>
        <v>-1.7999999999999989</v>
      </c>
      <c r="P64" s="77">
        <f t="shared" si="17"/>
        <v>3</v>
      </c>
      <c r="Q64" s="77">
        <f t="shared" si="17"/>
        <v>-1.2000000000000011</v>
      </c>
      <c r="R64" s="77">
        <f t="shared" si="17"/>
        <v>-3</v>
      </c>
      <c r="S64" s="77">
        <f t="shared" si="17"/>
        <v>4.7999999999999989</v>
      </c>
      <c r="T64" s="77">
        <f t="shared" si="17"/>
        <v>4.2000000000000011</v>
      </c>
      <c r="U64" s="77">
        <f t="shared" si="17"/>
        <v>-1.2000000000000011</v>
      </c>
    </row>
    <row r="65" spans="1:21" s="19" customFormat="1" ht="51" x14ac:dyDescent="0.2">
      <c r="A65" s="112" t="s">
        <v>157</v>
      </c>
      <c r="B65" s="77">
        <f>B63-B64</f>
        <v>0</v>
      </c>
      <c r="C65" s="77">
        <f t="shared" ref="C65:U65" si="18">C63-C64</f>
        <v>-3.6000000000000032</v>
      </c>
      <c r="D65" s="77">
        <f t="shared" si="18"/>
        <v>0.59999999999999787</v>
      </c>
      <c r="E65" s="77">
        <f t="shared" si="18"/>
        <v>-1.2000000000000011</v>
      </c>
      <c r="F65" s="77">
        <f t="shared" si="18"/>
        <v>-2.4000000000000021</v>
      </c>
      <c r="G65" s="77">
        <f t="shared" si="18"/>
        <v>-5.4000000000000021</v>
      </c>
      <c r="H65" s="77">
        <f t="shared" si="18"/>
        <v>-1.2000000000000011</v>
      </c>
      <c r="I65" s="77">
        <f t="shared" si="18"/>
        <v>-0.6000000000000032</v>
      </c>
      <c r="J65" s="77">
        <f t="shared" si="18"/>
        <v>-4.2000000000000011</v>
      </c>
      <c r="K65" s="77">
        <f t="shared" si="18"/>
        <v>-0.6000000000000032</v>
      </c>
      <c r="L65" s="77">
        <f t="shared" si="18"/>
        <v>-4.2000000000000011</v>
      </c>
      <c r="M65" s="77">
        <f t="shared" si="18"/>
        <v>-3.6000000000000032</v>
      </c>
      <c r="N65" s="77">
        <f t="shared" si="18"/>
        <v>-1.7999999999999989</v>
      </c>
      <c r="O65" s="77">
        <f t="shared" si="18"/>
        <v>1.7999999999999989</v>
      </c>
      <c r="P65" s="77">
        <f t="shared" si="18"/>
        <v>-3</v>
      </c>
      <c r="Q65" s="77">
        <f t="shared" si="18"/>
        <v>1.2000000000000011</v>
      </c>
      <c r="R65" s="77">
        <f t="shared" si="18"/>
        <v>3</v>
      </c>
      <c r="S65" s="77">
        <f t="shared" si="18"/>
        <v>-4.7999999999999989</v>
      </c>
      <c r="T65" s="77">
        <f t="shared" si="18"/>
        <v>-4.2000000000000011</v>
      </c>
      <c r="U65" s="77">
        <f t="shared" si="18"/>
        <v>1.2000000000000011</v>
      </c>
    </row>
    <row r="66" spans="1:21" s="19" customFormat="1" ht="38.25" x14ac:dyDescent="0.2">
      <c r="A66" s="112" t="s">
        <v>148</v>
      </c>
      <c r="B66" s="78" t="str">
        <f>IF(B64&lt;=B63,"OVER","UNDER")</f>
        <v>OVER</v>
      </c>
      <c r="C66" s="78" t="str">
        <f t="shared" ref="C66:U66" si="19">IF(C64&lt;=C63,"OVER","UNDER")</f>
        <v>UNDER</v>
      </c>
      <c r="D66" s="78" t="str">
        <f t="shared" si="19"/>
        <v>OVER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str">
        <f t="shared" si="19"/>
        <v>UNDER</v>
      </c>
      <c r="N66" s="78" t="str">
        <f t="shared" si="19"/>
        <v>UNDER</v>
      </c>
      <c r="O66" s="78" t="str">
        <f t="shared" si="19"/>
        <v>OVER</v>
      </c>
      <c r="P66" s="78" t="str">
        <f t="shared" si="19"/>
        <v>UNDER</v>
      </c>
      <c r="Q66" s="78" t="str">
        <f t="shared" si="19"/>
        <v>OVER</v>
      </c>
      <c r="R66" s="78" t="str">
        <f t="shared" si="19"/>
        <v>OVER</v>
      </c>
      <c r="S66" s="78" t="str">
        <f t="shared" si="19"/>
        <v>UNDER</v>
      </c>
      <c r="T66" s="78" t="str">
        <f t="shared" si="19"/>
        <v>UNDER</v>
      </c>
      <c r="U66" s="78" t="str">
        <f t="shared" si="19"/>
        <v>OVER</v>
      </c>
    </row>
  </sheetData>
  <sheetProtection algorithmName="SHA-512" hashValue="O8/b7DXBL/Nj6nccu4LefnDo/mM+EHj7798jAq9a6UyS7funsKzsiT6BGaobuiBjAASKO0StqVhGp5lsYW/G1A==" saltValue="+2SvsxWpO8Tod2DXT6brK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25" priority="37" operator="equal">
      <formula>"DECREASE"</formula>
    </cfRule>
    <cfRule type="cellIs" dxfId="124" priority="38" operator="equal">
      <formula>"INCREASE"</formula>
    </cfRule>
  </conditionalFormatting>
  <conditionalFormatting sqref="B62:U66 B31:B50">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G4" sqref="G3:H4"/>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19" t="s">
        <v>41</v>
      </c>
      <c r="B1" s="119"/>
      <c r="C1" s="140" t="str">
        <f>Secanim!C1:D1</f>
        <v>PAN-021626</v>
      </c>
      <c r="D1" s="141"/>
      <c r="E1" s="93" t="s">
        <v>45</v>
      </c>
      <c r="F1" s="39">
        <f>Secanim!F1</f>
        <v>48.6</v>
      </c>
      <c r="G1" s="120" t="s">
        <v>43</v>
      </c>
      <c r="H1" s="121"/>
      <c r="I1" s="118"/>
      <c r="J1" s="119" t="s">
        <v>153</v>
      </c>
      <c r="K1" s="11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19" t="s">
        <v>87</v>
      </c>
      <c r="B2" s="119"/>
      <c r="C2" s="142" t="str">
        <f>Secanim!C2:D2</f>
        <v>KP3594VE</v>
      </c>
      <c r="D2" s="143"/>
      <c r="E2" s="93" t="s">
        <v>109</v>
      </c>
      <c r="F2" s="96"/>
      <c r="G2" s="138" t="s">
        <v>110</v>
      </c>
      <c r="H2" s="139"/>
      <c r="I2" s="118"/>
      <c r="J2" s="119" t="s">
        <v>158</v>
      </c>
      <c r="K2" s="119"/>
      <c r="L2" s="97"/>
      <c r="AB2" s="30" t="s">
        <v>56</v>
      </c>
      <c r="AC2" s="17"/>
      <c r="AD2" s="30" t="s">
        <v>70</v>
      </c>
      <c r="AE2" s="17"/>
      <c r="AF2" s="17"/>
      <c r="AG2" s="44" t="s">
        <v>76</v>
      </c>
      <c r="AH2" s="18"/>
      <c r="AI2" s="45" t="s">
        <v>126</v>
      </c>
      <c r="AJ2" s="46">
        <v>0</v>
      </c>
      <c r="AK2" s="47">
        <v>0</v>
      </c>
      <c r="AL2" s="10">
        <v>0</v>
      </c>
      <c r="AM2" s="11">
        <v>0</v>
      </c>
      <c r="AN2" s="11">
        <v>0</v>
      </c>
    </row>
    <row r="3" spans="1:41" x14ac:dyDescent="0.2">
      <c r="A3" s="120" t="s">
        <v>42</v>
      </c>
      <c r="B3" s="121"/>
      <c r="C3" s="142" t="str">
        <f>Secanim!C3:D3</f>
        <v>Trade Effluent Services Limited</v>
      </c>
      <c r="D3" s="143"/>
      <c r="E3" s="93" t="s">
        <v>108</v>
      </c>
      <c r="F3" s="31"/>
      <c r="G3" s="119" t="s">
        <v>159</v>
      </c>
      <c r="H3" s="119"/>
      <c r="I3" s="118"/>
      <c r="J3" s="120" t="s">
        <v>154</v>
      </c>
      <c r="K3" s="121"/>
      <c r="L3" s="97" t="e">
        <f>(L1/(L2*10000))*100</f>
        <v>#DIV/0!</v>
      </c>
      <c r="AB3" s="30" t="s">
        <v>57</v>
      </c>
      <c r="AC3" s="17"/>
      <c r="AD3" s="30" t="s">
        <v>71</v>
      </c>
      <c r="AE3" s="17"/>
      <c r="AF3" s="17"/>
      <c r="AG3" s="44" t="s">
        <v>77</v>
      </c>
      <c r="AH3" s="18"/>
      <c r="AI3" s="48" t="s">
        <v>113</v>
      </c>
      <c r="AJ3" s="49">
        <v>1.7</v>
      </c>
      <c r="AK3" s="50">
        <v>6</v>
      </c>
      <c r="AL3" s="51">
        <v>1</v>
      </c>
      <c r="AM3" s="11">
        <v>6.2</v>
      </c>
      <c r="AN3" s="11" t="s">
        <v>112</v>
      </c>
    </row>
    <row r="4" spans="1:41" x14ac:dyDescent="0.2">
      <c r="A4" s="119" t="s">
        <v>0</v>
      </c>
      <c r="B4" s="119"/>
      <c r="C4" s="140" t="str">
        <f>Secanim!C4:D4</f>
        <v>Gwaenynog Bach Farm, Pentrefoelas Road, Bryn Ynys, Denbigh, Y Groes, Denbighshire, LL16 5RP</v>
      </c>
      <c r="D4" s="141"/>
      <c r="E4" s="94" t="s">
        <v>1</v>
      </c>
      <c r="F4" s="96"/>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x14ac:dyDescent="0.2">
      <c r="A5" s="119" t="s">
        <v>47</v>
      </c>
      <c r="B5" s="119"/>
      <c r="C5" s="140" t="str">
        <f>Secanim!C5:D5</f>
        <v>Louise Bailey</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19" t="s">
        <v>2</v>
      </c>
      <c r="B8" s="119"/>
      <c r="C8" s="60">
        <f>Secanim!C8</f>
        <v>5905</v>
      </c>
      <c r="D8" s="60">
        <f>Secanim!D8</f>
        <v>4279</v>
      </c>
      <c r="E8" s="60">
        <f>Secanim!E8</f>
        <v>7605</v>
      </c>
      <c r="F8" s="60">
        <f>Secanim!F8</f>
        <v>3851</v>
      </c>
      <c r="G8" s="60">
        <f>Secanim!G8</f>
        <v>6418</v>
      </c>
      <c r="H8" s="60">
        <f>Secanim!H8</f>
        <v>1843</v>
      </c>
      <c r="I8" s="60">
        <f>Secanim!I8</f>
        <v>5974</v>
      </c>
      <c r="J8" s="60">
        <f>Secanim!J8</f>
        <v>5490</v>
      </c>
      <c r="K8" s="60">
        <f>Secanim!K8</f>
        <v>2565</v>
      </c>
      <c r="L8" s="60">
        <f>Secanim!L8</f>
        <v>7887</v>
      </c>
      <c r="M8" s="60">
        <f>Secanim!M8</f>
        <v>2946</v>
      </c>
      <c r="N8" s="60">
        <f>Secanim!N8</f>
        <v>2881</v>
      </c>
      <c r="O8" s="60">
        <f>Secanim!O8</f>
        <v>3398</v>
      </c>
      <c r="P8" s="60">
        <f>Secanim!P8</f>
        <v>5694</v>
      </c>
      <c r="Q8" s="60">
        <f>Secanim!Q8</f>
        <v>2991</v>
      </c>
      <c r="R8" s="60">
        <f>Secanim!R8</f>
        <v>3799</v>
      </c>
      <c r="S8" s="60">
        <f>Secanim!S8</f>
        <v>5813</v>
      </c>
      <c r="T8" s="60">
        <f>Secanim!T8</f>
        <v>1390</v>
      </c>
      <c r="U8" s="60">
        <f>Secanim!U8</f>
        <v>9596</v>
      </c>
      <c r="V8" s="60">
        <f>Secanim!V8</f>
        <v>716</v>
      </c>
      <c r="AB8" s="61"/>
      <c r="AC8" s="61"/>
      <c r="AD8" s="18"/>
      <c r="AE8" s="17" t="s">
        <v>139</v>
      </c>
      <c r="AF8" s="17"/>
      <c r="AG8" s="18"/>
      <c r="AH8" s="18"/>
      <c r="AI8" s="53" t="s">
        <v>105</v>
      </c>
      <c r="AJ8" s="62">
        <v>1.4</v>
      </c>
      <c r="AK8" s="55">
        <v>4.4000000000000004</v>
      </c>
      <c r="AL8" s="11">
        <v>6</v>
      </c>
      <c r="AM8" s="11">
        <v>6.7</v>
      </c>
      <c r="AN8" s="11" t="s">
        <v>135</v>
      </c>
      <c r="AO8" s="79"/>
    </row>
    <row r="9" spans="1:41" x14ac:dyDescent="0.2">
      <c r="A9" s="119" t="s">
        <v>3</v>
      </c>
      <c r="B9" s="119"/>
      <c r="C9" s="60" t="str">
        <f>Secanim!C9</f>
        <v>Moderate</v>
      </c>
      <c r="D9" s="60" t="str">
        <f>Secanim!D9</f>
        <v>Moderate</v>
      </c>
      <c r="E9" s="60" t="str">
        <f>Secanim!E9</f>
        <v>Moderate</v>
      </c>
      <c r="F9" s="60" t="str">
        <f>Secanim!F9</f>
        <v>Moderate</v>
      </c>
      <c r="G9" s="60" t="str">
        <f>Secanim!G9</f>
        <v>Moderate</v>
      </c>
      <c r="H9" s="60" t="str">
        <f>Secanim!H9</f>
        <v>Moderate</v>
      </c>
      <c r="I9" s="60" t="str">
        <f>Secanim!I9</f>
        <v>Moderate</v>
      </c>
      <c r="J9" s="60" t="str">
        <f>Secanim!J9</f>
        <v>Moderate</v>
      </c>
      <c r="K9" s="60" t="str">
        <f>Secanim!K9</f>
        <v>Moderate</v>
      </c>
      <c r="L9" s="60" t="str">
        <f>Secanim!L9</f>
        <v>Moderate</v>
      </c>
      <c r="M9" s="60" t="str">
        <f>Secanim!M9</f>
        <v>Moderate</v>
      </c>
      <c r="N9" s="60" t="str">
        <f>Secanim!N9</f>
        <v>Moderate</v>
      </c>
      <c r="O9" s="60" t="str">
        <f>Secanim!O9</f>
        <v>Moderate</v>
      </c>
      <c r="P9" s="60" t="str">
        <f>Secanim!P9</f>
        <v>Moderate</v>
      </c>
      <c r="Q9" s="60" t="str">
        <f>Secanim!Q9</f>
        <v>Moderate</v>
      </c>
      <c r="R9" s="60" t="str">
        <f>Secanim!R9</f>
        <v>Moderate</v>
      </c>
      <c r="S9" s="60" t="str">
        <f>Secanim!S9</f>
        <v>Moderate</v>
      </c>
      <c r="T9" s="60" t="str">
        <f>Secanim!T9</f>
        <v>Moderate</v>
      </c>
      <c r="U9" s="60" t="str">
        <f>Secanim!U9</f>
        <v>Moderate</v>
      </c>
      <c r="V9" s="60" t="str">
        <f>Secanim!V9</f>
        <v>Moderate</v>
      </c>
      <c r="AB9" s="17"/>
      <c r="AC9" s="17"/>
      <c r="AD9" s="30" t="s">
        <v>137</v>
      </c>
      <c r="AE9" s="30">
        <v>4.5</v>
      </c>
      <c r="AF9" s="17"/>
      <c r="AG9" s="18"/>
      <c r="AH9" s="18"/>
      <c r="AI9" s="63" t="s">
        <v>103</v>
      </c>
      <c r="AJ9" s="64">
        <v>0.7</v>
      </c>
      <c r="AK9" s="65">
        <v>4</v>
      </c>
      <c r="AL9" s="29">
        <v>7</v>
      </c>
      <c r="AM9" s="11">
        <v>6.7</v>
      </c>
      <c r="AN9" s="11" t="s">
        <v>135</v>
      </c>
      <c r="AO9" s="99"/>
    </row>
    <row r="10" spans="1:41" x14ac:dyDescent="0.2">
      <c r="A10" s="119" t="s">
        <v>4</v>
      </c>
      <c r="B10" s="119"/>
      <c r="C10" s="60">
        <f>Secanim!C10</f>
        <v>6.2</v>
      </c>
      <c r="D10" s="60">
        <f>Secanim!D10</f>
        <v>5.6</v>
      </c>
      <c r="E10" s="60">
        <f>Secanim!E10</f>
        <v>6.3</v>
      </c>
      <c r="F10" s="60">
        <f>Secanim!F10</f>
        <v>6</v>
      </c>
      <c r="G10" s="60">
        <f>Secanim!G10</f>
        <v>5.8</v>
      </c>
      <c r="H10" s="60">
        <f>Secanim!H10</f>
        <v>5.3</v>
      </c>
      <c r="I10" s="60">
        <f>Secanim!I10</f>
        <v>6</v>
      </c>
      <c r="J10" s="60">
        <f>Secanim!J10</f>
        <v>6.1</v>
      </c>
      <c r="K10" s="60">
        <f>Secanim!K10</f>
        <v>5.5</v>
      </c>
      <c r="L10" s="60">
        <f>Secanim!L10</f>
        <v>6.1</v>
      </c>
      <c r="M10" s="60">
        <f>Secanim!M10</f>
        <v>5.5</v>
      </c>
      <c r="N10" s="60">
        <f>Secanim!N10</f>
        <v>5.6</v>
      </c>
      <c r="O10" s="60">
        <f>Secanim!O10</f>
        <v>5.9</v>
      </c>
      <c r="P10" s="60">
        <f>Secanim!P10</f>
        <v>6.5</v>
      </c>
      <c r="Q10" s="60">
        <f>Secanim!Q10</f>
        <v>5.7</v>
      </c>
      <c r="R10" s="60">
        <f>Secanim!R10</f>
        <v>6.4</v>
      </c>
      <c r="S10" s="60">
        <f>Secanim!S10</f>
        <v>6.7</v>
      </c>
      <c r="T10" s="60">
        <f>Secanim!T10</f>
        <v>5.4</v>
      </c>
      <c r="U10" s="60">
        <f>Secanim!U10</f>
        <v>5.5</v>
      </c>
      <c r="V10" s="60">
        <f>Secanim!V10</f>
        <v>6.4</v>
      </c>
      <c r="AB10" s="17"/>
      <c r="AC10" s="17"/>
      <c r="AD10" s="30" t="s">
        <v>140</v>
      </c>
      <c r="AE10" s="30">
        <v>5</v>
      </c>
      <c r="AF10" s="17"/>
      <c r="AG10" s="18"/>
      <c r="AH10" s="18"/>
      <c r="AI10" s="53" t="s">
        <v>97</v>
      </c>
      <c r="AJ10" s="54">
        <v>9</v>
      </c>
      <c r="AK10" s="55">
        <v>16.5</v>
      </c>
      <c r="AL10" s="11">
        <v>8</v>
      </c>
      <c r="AM10" s="11">
        <v>6.7</v>
      </c>
      <c r="AN10" s="11" t="s">
        <v>135</v>
      </c>
    </row>
    <row r="11" spans="1:41" x14ac:dyDescent="0.2">
      <c r="A11" s="119" t="s">
        <v>5</v>
      </c>
      <c r="B11" s="119"/>
      <c r="C11" s="60">
        <f>Secanim!C11</f>
        <v>2</v>
      </c>
      <c r="D11" s="60">
        <f>Secanim!D11</f>
        <v>3</v>
      </c>
      <c r="E11" s="60">
        <f>Secanim!E11</f>
        <v>2</v>
      </c>
      <c r="F11" s="60">
        <f>Secanim!F11</f>
        <v>3</v>
      </c>
      <c r="G11" s="60">
        <f>Secanim!G11</f>
        <v>2</v>
      </c>
      <c r="H11" s="60">
        <f>Secanim!H11</f>
        <v>3</v>
      </c>
      <c r="I11" s="60">
        <f>Secanim!I11</f>
        <v>3</v>
      </c>
      <c r="J11" s="60">
        <f>Secanim!J11</f>
        <v>2</v>
      </c>
      <c r="K11" s="60">
        <f>Secanim!K11</f>
        <v>3</v>
      </c>
      <c r="L11" s="60">
        <f>Secanim!L11</f>
        <v>1</v>
      </c>
      <c r="M11" s="60">
        <f>Secanim!M11</f>
        <v>3</v>
      </c>
      <c r="N11" s="60">
        <f>Secanim!N11</f>
        <v>2</v>
      </c>
      <c r="O11" s="60">
        <f>Secanim!O11</f>
        <v>2</v>
      </c>
      <c r="P11" s="60">
        <f>Secanim!P11</f>
        <v>2</v>
      </c>
      <c r="Q11" s="60">
        <f>Secanim!Q11</f>
        <v>2</v>
      </c>
      <c r="R11" s="60">
        <f>Secanim!R11</f>
        <v>2</v>
      </c>
      <c r="S11" s="60">
        <f>Secanim!S11</f>
        <v>2</v>
      </c>
      <c r="T11" s="60">
        <f>Secanim!T11</f>
        <v>3</v>
      </c>
      <c r="U11" s="60">
        <f>Secanim!U11</f>
        <v>2</v>
      </c>
      <c r="V11" s="60">
        <f>Secanim!V11</f>
        <v>2</v>
      </c>
      <c r="AB11" s="17"/>
      <c r="AC11" s="17"/>
      <c r="AD11" s="52" t="s">
        <v>141</v>
      </c>
      <c r="AE11" s="30">
        <v>6</v>
      </c>
      <c r="AF11" s="17"/>
      <c r="AG11" s="18"/>
      <c r="AH11" s="18"/>
      <c r="AI11" s="53" t="s">
        <v>122</v>
      </c>
      <c r="AJ11" s="54">
        <v>15</v>
      </c>
      <c r="AK11" s="55">
        <v>17.5</v>
      </c>
      <c r="AL11" s="11">
        <v>9</v>
      </c>
      <c r="AM11" s="11">
        <v>7</v>
      </c>
      <c r="AN11" s="11" t="s">
        <v>135</v>
      </c>
    </row>
    <row r="12" spans="1:41" x14ac:dyDescent="0.2">
      <c r="A12" s="119" t="s">
        <v>6</v>
      </c>
      <c r="B12" s="119"/>
      <c r="C12" s="60" t="str">
        <f>Secanim!C12</f>
        <v>2-</v>
      </c>
      <c r="D12" s="60">
        <f>Secanim!D12</f>
        <v>3</v>
      </c>
      <c r="E12" s="60" t="str">
        <f>Secanim!E12</f>
        <v>2-</v>
      </c>
      <c r="F12" s="60" t="str">
        <f>Secanim!F12</f>
        <v>2+</v>
      </c>
      <c r="G12" s="60">
        <f>Secanim!G12</f>
        <v>3</v>
      </c>
      <c r="H12" s="60" t="str">
        <f>Secanim!H12</f>
        <v>2+</v>
      </c>
      <c r="I12" s="60">
        <f>Secanim!I12</f>
        <v>4</v>
      </c>
      <c r="J12" s="60" t="str">
        <f>Secanim!J12</f>
        <v>2+</v>
      </c>
      <c r="K12" s="60">
        <f>Secanim!K12</f>
        <v>4</v>
      </c>
      <c r="L12" s="60" t="str">
        <f>Secanim!L12</f>
        <v>2-</v>
      </c>
      <c r="M12" s="60" t="str">
        <f>Secanim!M12</f>
        <v>2-</v>
      </c>
      <c r="N12" s="60">
        <f>Secanim!N12</f>
        <v>3</v>
      </c>
      <c r="O12" s="60">
        <f>Secanim!O12</f>
        <v>3</v>
      </c>
      <c r="P12" s="60" t="str">
        <f>Secanim!P12</f>
        <v>2-</v>
      </c>
      <c r="Q12" s="60">
        <f>Secanim!Q12</f>
        <v>1</v>
      </c>
      <c r="R12" s="60">
        <f>Secanim!R12</f>
        <v>1</v>
      </c>
      <c r="S12" s="60">
        <f>Secanim!S12</f>
        <v>1</v>
      </c>
      <c r="T12" s="60" t="str">
        <f>Secanim!T12</f>
        <v>2+</v>
      </c>
      <c r="U12" s="60">
        <f>Secanim!U12</f>
        <v>1</v>
      </c>
      <c r="V12" s="60" t="str">
        <f>Secanim!V12</f>
        <v>2-</v>
      </c>
      <c r="AB12" s="17"/>
      <c r="AC12" s="17"/>
      <c r="AD12" s="52" t="s">
        <v>142</v>
      </c>
      <c r="AE12" s="30">
        <v>7.5</v>
      </c>
      <c r="AF12" s="17"/>
      <c r="AG12" s="18"/>
      <c r="AH12" s="18"/>
      <c r="AI12" s="53" t="s">
        <v>121</v>
      </c>
      <c r="AJ12" s="54">
        <v>14</v>
      </c>
      <c r="AK12" s="55">
        <v>11</v>
      </c>
      <c r="AL12" s="11">
        <v>10</v>
      </c>
      <c r="AM12" s="11">
        <v>7</v>
      </c>
      <c r="AN12" s="11" t="s">
        <v>135</v>
      </c>
    </row>
    <row r="13" spans="1:41" x14ac:dyDescent="0.2">
      <c r="A13" s="119" t="s">
        <v>7</v>
      </c>
      <c r="B13" s="119"/>
      <c r="C13" s="60">
        <f>Secanim!C13</f>
        <v>3</v>
      </c>
      <c r="D13" s="60">
        <f>Secanim!D13</f>
        <v>3</v>
      </c>
      <c r="E13" s="60">
        <f>Secanim!E13</f>
        <v>3</v>
      </c>
      <c r="F13" s="60">
        <f>Secanim!F13</f>
        <v>3</v>
      </c>
      <c r="G13" s="60">
        <f>Secanim!G13</f>
        <v>3</v>
      </c>
      <c r="H13" s="60">
        <f>Secanim!H13</f>
        <v>2</v>
      </c>
      <c r="I13" s="60">
        <f>Secanim!I13</f>
        <v>4</v>
      </c>
      <c r="J13" s="60">
        <f>Secanim!J13</f>
        <v>3</v>
      </c>
      <c r="K13" s="60">
        <f>Secanim!K13</f>
        <v>3</v>
      </c>
      <c r="L13" s="60">
        <f>Secanim!L13</f>
        <v>3</v>
      </c>
      <c r="M13" s="60">
        <f>Secanim!M13</f>
        <v>2</v>
      </c>
      <c r="N13" s="60">
        <f>Secanim!N13</f>
        <v>2</v>
      </c>
      <c r="O13" s="60">
        <f>Secanim!O13</f>
        <v>3</v>
      </c>
      <c r="P13" s="60">
        <f>Secanim!P13</f>
        <v>2</v>
      </c>
      <c r="Q13" s="60">
        <f>Secanim!Q13</f>
        <v>3</v>
      </c>
      <c r="R13" s="60">
        <f>Secanim!R13</f>
        <v>2</v>
      </c>
      <c r="S13" s="60">
        <f>Secanim!S13</f>
        <v>1</v>
      </c>
      <c r="T13" s="60">
        <f>Secanim!T13</f>
        <v>3</v>
      </c>
      <c r="U13" s="60">
        <f>Secanim!U13</f>
        <v>1</v>
      </c>
      <c r="V13" s="60">
        <f>Secanim!V13</f>
        <v>2</v>
      </c>
      <c r="AB13" s="17"/>
      <c r="AC13" s="17"/>
      <c r="AD13" s="52" t="s">
        <v>143</v>
      </c>
      <c r="AE13" s="30">
        <v>12</v>
      </c>
      <c r="AF13" s="17"/>
      <c r="AG13" s="18"/>
      <c r="AH13" s="18"/>
      <c r="AI13" s="53" t="s">
        <v>120</v>
      </c>
      <c r="AJ13" s="54">
        <v>1.9</v>
      </c>
      <c r="AK13" s="55">
        <v>7.5</v>
      </c>
      <c r="AL13" s="11">
        <v>11</v>
      </c>
      <c r="AM13" s="11">
        <v>6.7</v>
      </c>
      <c r="AN13" s="11" t="s">
        <v>135</v>
      </c>
    </row>
    <row r="14" spans="1:41" x14ac:dyDescent="0.2">
      <c r="A14" s="131" t="s">
        <v>8</v>
      </c>
      <c r="B14" s="131"/>
      <c r="C14" s="102" t="str">
        <f>Secanim!C14</f>
        <v xml:space="preserve">Grass Silage (25% DM) </v>
      </c>
      <c r="D14" s="102" t="str">
        <f>Secanim!D14</f>
        <v xml:space="preserve">Grass Silage (25% DM) </v>
      </c>
      <c r="E14" s="102" t="str">
        <f>Secanim!E14</f>
        <v xml:space="preserve">Grass Silage (25% DM) </v>
      </c>
      <c r="F14" s="102" t="str">
        <f>Secanim!F14</f>
        <v xml:space="preserve">Grass Silage (25% DM) </v>
      </c>
      <c r="G14" s="102" t="str">
        <f>Secanim!G14</f>
        <v xml:space="preserve">Grass Silage (25% DM) </v>
      </c>
      <c r="H14" s="102" t="str">
        <f>Secanim!H14</f>
        <v xml:space="preserve">Grass Silage (25% DM) </v>
      </c>
      <c r="I14" s="102" t="str">
        <f>Secanim!I14</f>
        <v xml:space="preserve">Grass Silage (25% DM) </v>
      </c>
      <c r="J14" s="102" t="str">
        <f>Secanim!J14</f>
        <v xml:space="preserve">Grass Silage (25% DM) </v>
      </c>
      <c r="K14" s="102" t="str">
        <f>Secanim!K14</f>
        <v xml:space="preserve">Grass Silage (25% DM) </v>
      </c>
      <c r="L14" s="102" t="str">
        <f>Secanim!L14</f>
        <v xml:space="preserve">Grass Silage (25% DM) </v>
      </c>
      <c r="M14" s="102" t="str">
        <f>Secanim!M14</f>
        <v xml:space="preserve">Grass Silage (25% DM) </v>
      </c>
      <c r="N14" s="102" t="str">
        <f>Secanim!N14</f>
        <v xml:space="preserve">Grass Silage (25% DM) </v>
      </c>
      <c r="O14" s="102" t="str">
        <f>Secanim!O14</f>
        <v xml:space="preserve">Grass Silage (25% DM) </v>
      </c>
      <c r="P14" s="102" t="str">
        <f>Secanim!P14</f>
        <v xml:space="preserve">Grass Silage (25% DM) </v>
      </c>
      <c r="Q14" s="102" t="str">
        <f>Secanim!Q14</f>
        <v xml:space="preserve">Grass Silage (25% DM) </v>
      </c>
      <c r="R14" s="102" t="str">
        <f>Secanim!R14</f>
        <v xml:space="preserve">Grass Silage (25% DM) </v>
      </c>
      <c r="S14" s="102" t="str">
        <f>Secanim!S14</f>
        <v xml:space="preserve">Grass Silage (25% DM) </v>
      </c>
      <c r="T14" s="102" t="str">
        <f>Secanim!T14</f>
        <v xml:space="preserve">Grass Silage (25% DM) </v>
      </c>
      <c r="U14" s="102" t="str">
        <f>Secanim!U14</f>
        <v xml:space="preserve">Grass Silage (25% DM) </v>
      </c>
      <c r="V14" s="102" t="str">
        <f>Secanim!V14</f>
        <v xml:space="preserve">Grass Silage (25% DM) </v>
      </c>
      <c r="AD14" s="30" t="s">
        <v>138</v>
      </c>
      <c r="AE14" s="30">
        <v>6</v>
      </c>
      <c r="AI14" s="53" t="s">
        <v>119</v>
      </c>
      <c r="AJ14" s="54">
        <v>0.8</v>
      </c>
      <c r="AK14" s="55">
        <v>1.7</v>
      </c>
      <c r="AL14" s="11">
        <v>12</v>
      </c>
      <c r="AM14" s="11">
        <v>6.7</v>
      </c>
      <c r="AN14" s="11" t="s">
        <v>135</v>
      </c>
    </row>
    <row r="15" spans="1:41" x14ac:dyDescent="0.2">
      <c r="A15" s="130" t="s">
        <v>9</v>
      </c>
      <c r="B15" s="130"/>
      <c r="C15" s="60">
        <f>Secanim!C15</f>
        <v>38</v>
      </c>
      <c r="D15" s="60">
        <f>Secanim!D15</f>
        <v>38</v>
      </c>
      <c r="E15" s="60">
        <f>Secanim!E15</f>
        <v>38</v>
      </c>
      <c r="F15" s="60">
        <f>Secanim!F15</f>
        <v>38</v>
      </c>
      <c r="G15" s="60">
        <f>Secanim!G15</f>
        <v>38</v>
      </c>
      <c r="H15" s="60">
        <f>Secanim!H15</f>
        <v>38</v>
      </c>
      <c r="I15" s="60">
        <f>Secanim!I15</f>
        <v>38</v>
      </c>
      <c r="J15" s="60">
        <f>Secanim!J15</f>
        <v>38</v>
      </c>
      <c r="K15" s="60">
        <f>Secanim!K15</f>
        <v>38</v>
      </c>
      <c r="L15" s="60">
        <f>Secanim!L15</f>
        <v>38</v>
      </c>
      <c r="M15" s="60">
        <f>Secanim!M15</f>
        <v>38</v>
      </c>
      <c r="N15" s="60">
        <f>Secanim!N15</f>
        <v>38</v>
      </c>
      <c r="O15" s="60">
        <f>Secanim!O15</f>
        <v>38</v>
      </c>
      <c r="P15" s="60">
        <f>Secanim!P15</f>
        <v>38</v>
      </c>
      <c r="Q15" s="60">
        <f>Secanim!Q15</f>
        <v>38</v>
      </c>
      <c r="R15" s="60">
        <f>Secanim!R15</f>
        <v>38</v>
      </c>
      <c r="S15" s="60">
        <f>Secanim!S15</f>
        <v>38</v>
      </c>
      <c r="T15" s="60">
        <f>Secanim!T15</f>
        <v>38</v>
      </c>
      <c r="U15" s="60">
        <f>Secanim!U15</f>
        <v>38</v>
      </c>
      <c r="V15" s="60">
        <f>Secanim!V15</f>
        <v>38</v>
      </c>
      <c r="AD15" s="30" t="s">
        <v>144</v>
      </c>
      <c r="AE15" s="30">
        <v>7</v>
      </c>
      <c r="AI15" s="53" t="s">
        <v>101</v>
      </c>
      <c r="AJ15" s="62">
        <v>1.8</v>
      </c>
      <c r="AK15" s="55">
        <v>5.4</v>
      </c>
      <c r="AL15" s="11">
        <v>13</v>
      </c>
      <c r="AM15" s="11">
        <v>6.7</v>
      </c>
      <c r="AN15" s="11" t="s">
        <v>135</v>
      </c>
    </row>
    <row r="16" spans="1:41" ht="13.5" thickBot="1" x14ac:dyDescent="0.25">
      <c r="A16" s="132" t="s">
        <v>44</v>
      </c>
      <c r="B16" s="132"/>
      <c r="C16" s="103" t="str">
        <f>Secanim!C16</f>
        <v>Medium/Clay</v>
      </c>
      <c r="D16" s="103" t="str">
        <f>Secanim!D16</f>
        <v>Medium/Clay</v>
      </c>
      <c r="E16" s="103" t="str">
        <f>Secanim!E16</f>
        <v>Medium/Clay</v>
      </c>
      <c r="F16" s="103" t="str">
        <f>Secanim!F16</f>
        <v>Medium/Clay</v>
      </c>
      <c r="G16" s="103" t="str">
        <f>Secanim!G16</f>
        <v>Medium/Clay</v>
      </c>
      <c r="H16" s="103" t="str">
        <f>Secanim!H16</f>
        <v>Medium/Clay</v>
      </c>
      <c r="I16" s="103" t="str">
        <f>Secanim!I16</f>
        <v>Medium/Clay</v>
      </c>
      <c r="J16" s="103" t="str">
        <f>Secanim!J16</f>
        <v>Medium/Clay</v>
      </c>
      <c r="K16" s="103" t="str">
        <f>Secanim!K16</f>
        <v>Medium/Clay</v>
      </c>
      <c r="L16" s="103" t="str">
        <f>Secanim!L16</f>
        <v>Medium/Clay</v>
      </c>
      <c r="M16" s="103" t="str">
        <f>Secanim!M16</f>
        <v>Medium/Clay</v>
      </c>
      <c r="N16" s="103" t="str">
        <f>Secanim!N16</f>
        <v>Medium/Clay</v>
      </c>
      <c r="O16" s="103" t="str">
        <f>Secanim!O16</f>
        <v>Medium/Clay</v>
      </c>
      <c r="P16" s="103" t="str">
        <f>Secanim!P16</f>
        <v>Medium/Clay</v>
      </c>
      <c r="Q16" s="103" t="str">
        <f>Secanim!Q16</f>
        <v>Medium/Clay</v>
      </c>
      <c r="R16" s="103" t="str">
        <f>Secanim!R16</f>
        <v>Medium/Clay</v>
      </c>
      <c r="S16" s="103" t="str">
        <f>Secanim!S16</f>
        <v>Medium/Clay</v>
      </c>
      <c r="T16" s="103" t="str">
        <f>Secanim!T16</f>
        <v>Medium/Clay</v>
      </c>
      <c r="U16" s="103" t="str">
        <f>Secanim!U16</f>
        <v>Medium/Clay</v>
      </c>
      <c r="V16" s="103" t="str">
        <f>Secanim!V16</f>
        <v>Medium/Clay</v>
      </c>
      <c r="AD16" s="52" t="s">
        <v>145</v>
      </c>
      <c r="AE16" s="30">
        <v>8</v>
      </c>
      <c r="AI16" s="53" t="s">
        <v>118</v>
      </c>
      <c r="AJ16" s="54">
        <v>8</v>
      </c>
      <c r="AK16" s="55">
        <v>5.5</v>
      </c>
      <c r="AL16" s="12">
        <v>14</v>
      </c>
      <c r="AM16" s="11">
        <v>6.7</v>
      </c>
      <c r="AN16" s="11" t="s">
        <v>135</v>
      </c>
    </row>
    <row r="17" spans="1:40" x14ac:dyDescent="0.2">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64.599999999999994</v>
      </c>
      <c r="R17" s="28">
        <f t="shared" si="0"/>
        <v>64.599999999999994</v>
      </c>
      <c r="S17" s="28">
        <f t="shared" si="0"/>
        <v>64.599999999999994</v>
      </c>
      <c r="T17" s="28">
        <f t="shared" si="0"/>
        <v>64.599999999999994</v>
      </c>
      <c r="U17" s="28">
        <f t="shared" si="0"/>
        <v>64.599999999999994</v>
      </c>
      <c r="V17" s="28">
        <f t="shared" si="0"/>
        <v>64.599999999999994</v>
      </c>
      <c r="AD17" s="52" t="s">
        <v>146</v>
      </c>
      <c r="AE17" s="30">
        <v>10</v>
      </c>
      <c r="AI17" s="48" t="s">
        <v>115</v>
      </c>
      <c r="AJ17" s="49">
        <v>1.4</v>
      </c>
      <c r="AK17" s="50">
        <v>4.8</v>
      </c>
      <c r="AL17" s="51">
        <v>15</v>
      </c>
      <c r="AM17" s="11">
        <v>6.2</v>
      </c>
      <c r="AN17" s="11" t="s">
        <v>112</v>
      </c>
    </row>
    <row r="18" spans="1:40" x14ac:dyDescent="0.2">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24" t="s">
        <v>90</v>
      </c>
      <c r="B19" s="125"/>
      <c r="C19" s="16">
        <f>C18-C17</f>
        <v>-64.599999999999994</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-64.599999999999994</v>
      </c>
      <c r="K19" s="16">
        <f t="shared" si="1"/>
        <v>-64.599999999999994</v>
      </c>
      <c r="L19" s="16">
        <f t="shared" si="1"/>
        <v>-64.599999999999994</v>
      </c>
      <c r="M19" s="16">
        <f t="shared" si="1"/>
        <v>-64.599999999999994</v>
      </c>
      <c r="N19" s="16">
        <f t="shared" si="1"/>
        <v>-64.599999999999994</v>
      </c>
      <c r="O19" s="16">
        <f t="shared" si="1"/>
        <v>-64.599999999999994</v>
      </c>
      <c r="P19" s="16">
        <f t="shared" si="1"/>
        <v>-64.599999999999994</v>
      </c>
      <c r="Q19" s="16">
        <f t="shared" si="1"/>
        <v>-64.599999999999994</v>
      </c>
      <c r="R19" s="16">
        <f t="shared" si="1"/>
        <v>-64.599999999999994</v>
      </c>
      <c r="S19" s="16">
        <f t="shared" si="1"/>
        <v>-64.599999999999994</v>
      </c>
      <c r="T19" s="16">
        <f t="shared" si="1"/>
        <v>-64.599999999999994</v>
      </c>
      <c r="U19" s="16">
        <f t="shared" si="1"/>
        <v>-64.599999999999994</v>
      </c>
      <c r="V19" s="25">
        <f t="shared" si="1"/>
        <v>-64.599999999999994</v>
      </c>
      <c r="AI19" s="48" t="s">
        <v>107</v>
      </c>
      <c r="AJ19" s="49">
        <v>3.2</v>
      </c>
      <c r="AK19" s="50">
        <v>10.5</v>
      </c>
      <c r="AL19" s="51">
        <v>17</v>
      </c>
      <c r="AM19" s="11">
        <v>6.2</v>
      </c>
      <c r="AN19" s="11" t="s">
        <v>112</v>
      </c>
    </row>
    <row r="20" spans="1:40" ht="13.5" thickBot="1" x14ac:dyDescent="0.25">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22" t="s">
        <v>88</v>
      </c>
      <c r="B21" s="123"/>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228</v>
      </c>
      <c r="Q21" s="28">
        <f t="shared" si="2"/>
        <v>228</v>
      </c>
      <c r="R21" s="28">
        <f t="shared" si="2"/>
        <v>228</v>
      </c>
      <c r="S21" s="28">
        <f t="shared" si="2"/>
        <v>228</v>
      </c>
      <c r="T21" s="28">
        <f t="shared" si="2"/>
        <v>228</v>
      </c>
      <c r="U21" s="28">
        <f t="shared" si="2"/>
        <v>228</v>
      </c>
      <c r="V21" s="28">
        <f t="shared" si="2"/>
        <v>228</v>
      </c>
      <c r="AI21" s="63" t="s">
        <v>100</v>
      </c>
      <c r="AJ21" s="66">
        <v>11</v>
      </c>
      <c r="AK21" s="65">
        <v>12</v>
      </c>
      <c r="AL21" s="29">
        <v>19</v>
      </c>
      <c r="AM21" s="11">
        <v>6.7</v>
      </c>
      <c r="AN21" s="11" t="s">
        <v>135</v>
      </c>
    </row>
    <row r="22" spans="1:40" x14ac:dyDescent="0.2">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24" t="s">
        <v>92</v>
      </c>
      <c r="B23" s="125"/>
      <c r="C23" s="16">
        <f>C22-C21</f>
        <v>-228</v>
      </c>
      <c r="D23" s="16">
        <f t="shared" ref="D23:V23" si="3">D22-D21</f>
        <v>-228</v>
      </c>
      <c r="E23" s="16">
        <f t="shared" si="3"/>
        <v>-228</v>
      </c>
      <c r="F23" s="16">
        <f t="shared" si="3"/>
        <v>-228</v>
      </c>
      <c r="G23" s="16">
        <f t="shared" si="3"/>
        <v>-228</v>
      </c>
      <c r="H23" s="16">
        <f t="shared" si="3"/>
        <v>-228</v>
      </c>
      <c r="I23" s="16">
        <f t="shared" si="3"/>
        <v>-228</v>
      </c>
      <c r="J23" s="16">
        <f t="shared" si="3"/>
        <v>-228</v>
      </c>
      <c r="K23" s="16">
        <f t="shared" si="3"/>
        <v>-228</v>
      </c>
      <c r="L23" s="16">
        <f t="shared" si="3"/>
        <v>-228</v>
      </c>
      <c r="M23" s="16">
        <f t="shared" si="3"/>
        <v>-228</v>
      </c>
      <c r="N23" s="16">
        <f t="shared" si="3"/>
        <v>-228</v>
      </c>
      <c r="O23" s="16">
        <f t="shared" si="3"/>
        <v>-228</v>
      </c>
      <c r="P23" s="16">
        <f t="shared" si="3"/>
        <v>-228</v>
      </c>
      <c r="Q23" s="16">
        <f t="shared" si="3"/>
        <v>-228</v>
      </c>
      <c r="R23" s="16">
        <f t="shared" si="3"/>
        <v>-228</v>
      </c>
      <c r="S23" s="16">
        <f t="shared" si="3"/>
        <v>-228</v>
      </c>
      <c r="T23" s="16">
        <f t="shared" si="3"/>
        <v>-228</v>
      </c>
      <c r="U23" s="16">
        <f t="shared" si="3"/>
        <v>-228</v>
      </c>
      <c r="V23" s="16">
        <f t="shared" si="3"/>
        <v>-228</v>
      </c>
      <c r="AI23" s="63" t="s">
        <v>98</v>
      </c>
      <c r="AJ23" s="66">
        <v>9</v>
      </c>
      <c r="AK23" s="65">
        <v>10</v>
      </c>
      <c r="AL23" s="29">
        <v>21</v>
      </c>
      <c r="AM23" s="11">
        <v>6.7</v>
      </c>
      <c r="AN23" s="11" t="s">
        <v>135</v>
      </c>
    </row>
    <row r="24" spans="1:40" ht="13.5" thickBot="1" x14ac:dyDescent="0.25">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25">
      <c r="A28" s="108"/>
      <c r="B28" s="24"/>
      <c r="C28" s="15"/>
      <c r="D28" s="15"/>
      <c r="E28" s="15"/>
      <c r="F28" s="15"/>
      <c r="G28" s="15"/>
      <c r="H28" s="15"/>
      <c r="I28" s="15"/>
      <c r="J28" s="15"/>
      <c r="K28" s="23"/>
      <c r="L28" s="15"/>
      <c r="M28" s="15"/>
      <c r="N28" s="15"/>
      <c r="O28" s="15"/>
      <c r="P28" s="15"/>
      <c r="Q28" s="15"/>
      <c r="R28" s="15"/>
      <c r="S28" s="15"/>
      <c r="T28" s="15"/>
      <c r="U28" s="15"/>
    </row>
    <row r="29" spans="1:40" s="7" customFormat="1" ht="27" x14ac:dyDescent="0.2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5905</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4279</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7605</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3851</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6418</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1843</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5974</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5490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2565</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7887</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2946</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2881</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3398</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5694</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2991</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3799</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5813</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1390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9596</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716</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5905</v>
      </c>
      <c r="C57" s="8">
        <f t="shared" ref="C57:U57" si="13">D8</f>
        <v>4279</v>
      </c>
      <c r="D57" s="8">
        <f t="shared" si="13"/>
        <v>7605</v>
      </c>
      <c r="E57" s="8">
        <f t="shared" si="13"/>
        <v>3851</v>
      </c>
      <c r="F57" s="8">
        <f t="shared" si="13"/>
        <v>6418</v>
      </c>
      <c r="G57" s="8">
        <f t="shared" si="13"/>
        <v>1843</v>
      </c>
      <c r="H57" s="8">
        <f t="shared" si="13"/>
        <v>5974</v>
      </c>
      <c r="I57" s="8">
        <f t="shared" si="13"/>
        <v>5490</v>
      </c>
      <c r="J57" s="8">
        <f t="shared" si="13"/>
        <v>2565</v>
      </c>
      <c r="K57" s="8">
        <f t="shared" si="13"/>
        <v>7887</v>
      </c>
      <c r="L57" s="8">
        <f t="shared" si="13"/>
        <v>2946</v>
      </c>
      <c r="M57" s="8">
        <f t="shared" si="13"/>
        <v>2881</v>
      </c>
      <c r="N57" s="8">
        <f t="shared" si="13"/>
        <v>3398</v>
      </c>
      <c r="O57" s="8">
        <f t="shared" si="13"/>
        <v>5694</v>
      </c>
      <c r="P57" s="8">
        <f t="shared" si="13"/>
        <v>2991</v>
      </c>
      <c r="Q57" s="8">
        <f t="shared" si="13"/>
        <v>3799</v>
      </c>
      <c r="R57" s="8">
        <f t="shared" si="13"/>
        <v>5813</v>
      </c>
      <c r="S57" s="8">
        <f t="shared" si="13"/>
        <v>1390</v>
      </c>
      <c r="T57" s="8">
        <f t="shared" si="13"/>
        <v>9596</v>
      </c>
      <c r="U57" s="8">
        <f t="shared" si="13"/>
        <v>716</v>
      </c>
    </row>
    <row r="58" spans="1:35" s="19" customFormat="1" x14ac:dyDescent="0.25">
      <c r="A58" s="92" t="s">
        <v>136</v>
      </c>
      <c r="B58" s="13" t="str">
        <f>C16&amp;" I "&amp;(VLOOKUP(C14,Table24567[],6,FALSE))</f>
        <v>Medium/Clay I Grass</v>
      </c>
      <c r="C58" s="13" t="str">
        <f>D16&amp;" I "&amp;(VLOOKUP(D14,Table24567[],6,FALSE))</f>
        <v>Medium/Clay I Grass</v>
      </c>
      <c r="D58" s="13" t="str">
        <f>E16&amp;" I "&amp;(VLOOKUP(E14,Table24567[],6,FALSE))</f>
        <v>Medium/Clay I Grass</v>
      </c>
      <c r="E58" s="13" t="str">
        <f>F16&amp;" I "&amp;(VLOOKUP(F14,Table24567[],6,FALSE))</f>
        <v>Medium/Clay I Grass</v>
      </c>
      <c r="F58" s="13" t="str">
        <f>G16&amp;" I "&amp;(VLOOKUP(G14,Table24567[],6,FALSE))</f>
        <v>Medium/Clay I Grass</v>
      </c>
      <c r="G58" s="13" t="str">
        <f>H16&amp;" I "&amp;(VLOOKUP(H14,Table24567[],6,FALSE))</f>
        <v>Medium/Clay I Grass</v>
      </c>
      <c r="H58" s="13" t="str">
        <f>I16&amp;" I "&amp;(VLOOKUP(I14,Table24567[],6,FALSE))</f>
        <v>Medium/Clay I Grass</v>
      </c>
      <c r="I58" s="13" t="str">
        <f>J16&amp;" I "&amp;(VLOOKUP(J14,Table24567[],6,FALSE))</f>
        <v>Medium/Clay I Grass</v>
      </c>
      <c r="J58" s="13" t="str">
        <f>K16&amp;" I "&amp;(VLOOKUP(K14,Table24567[],6,FALSE))</f>
        <v>Medium/Clay I Grass</v>
      </c>
      <c r="K58" s="13" t="str">
        <f>L16&amp;" I "&amp;(VLOOKUP(L14,Table24567[],6,FALSE))</f>
        <v>Medium/Clay I Grass</v>
      </c>
      <c r="L58" s="13" t="str">
        <f>M16&amp;" I "&amp;(VLOOKUP(M14,Table24567[],6,FALSE))</f>
        <v>Medium/Clay I Grass</v>
      </c>
      <c r="M58" s="13" t="str">
        <f>N16&amp;" I "&amp;(VLOOKUP(N14,Table24567[],6,FALSE))</f>
        <v>Medium/Clay I Grass</v>
      </c>
      <c r="N58" s="13" t="str">
        <f>O16&amp;" I "&amp;(VLOOKUP(O14,Table24567[],6,FALSE))</f>
        <v>Medium/Clay I Grass</v>
      </c>
      <c r="O58" s="13" t="str">
        <f>P16&amp;" I "&amp;(VLOOKUP(P14,Table24567[],6,FALSE))</f>
        <v>Medium/Clay I Grass</v>
      </c>
      <c r="P58" s="13" t="str">
        <f>Q16&amp;" I "&amp;(VLOOKUP(Q14,Table24567[],6,FALSE))</f>
        <v>Medium/Clay I Grass</v>
      </c>
      <c r="Q58" s="13" t="str">
        <f>R16&amp;" I "&amp;(VLOOKUP(R14,Table24567[],6,FALSE))</f>
        <v>Medium/Clay I Grass</v>
      </c>
      <c r="R58" s="13" t="str">
        <f>S16&amp;" I "&amp;(VLOOKUP(S14,Table24567[],6,FALSE))</f>
        <v>Medium/Clay I Grass</v>
      </c>
      <c r="S58" s="13" t="str">
        <f>T16&amp;" I "&amp;(VLOOKUP(T14,Table24567[],6,FALSE))</f>
        <v>Medium/Clay I Grass</v>
      </c>
      <c r="T58" s="13" t="str">
        <f>U16&amp;" I "&amp;(VLOOKUP(U14,Table24567[],6,FALSE))</f>
        <v>Medium/Clay I Grass</v>
      </c>
      <c r="U58" s="13" t="str">
        <f>V16&amp;" I "&amp;(VLOOKUP(V14,Table24567[],6,FALSE))</f>
        <v>Medium/Clay I Grass</v>
      </c>
    </row>
    <row r="59" spans="1:35" s="19" customFormat="1" x14ac:dyDescent="0.2">
      <c r="A59" s="111" t="s">
        <v>132</v>
      </c>
      <c r="B59" s="76">
        <f>VLOOKUP(C$14,Table24567[],5,FALSE)</f>
        <v>6.2</v>
      </c>
      <c r="C59" s="76">
        <f>VLOOKUP(D$14,Table24567[],5,FALSE)</f>
        <v>6.2</v>
      </c>
      <c r="D59" s="76">
        <f>VLOOKUP(E$14,Table24567[],5,FALSE)</f>
        <v>6.2</v>
      </c>
      <c r="E59" s="76">
        <f>VLOOKUP(F$14,Table24567[],5,FALSE)</f>
        <v>6.2</v>
      </c>
      <c r="F59" s="76">
        <f>VLOOKUP(G$14,Table24567[],5,FALSE)</f>
        <v>6.2</v>
      </c>
      <c r="G59" s="76">
        <f>VLOOKUP(H$14,Table24567[],5,FALSE)</f>
        <v>6.2</v>
      </c>
      <c r="H59" s="76">
        <f>VLOOKUP(I$14,Table24567[],5,FALSE)</f>
        <v>6.2</v>
      </c>
      <c r="I59" s="76">
        <f>VLOOKUP(J$14,Table24567[],5,FALSE)</f>
        <v>6.2</v>
      </c>
      <c r="J59" s="76">
        <f>VLOOKUP(K$14,Table24567[],5,FALSE)</f>
        <v>6.2</v>
      </c>
      <c r="K59" s="76">
        <f>VLOOKUP(L$14,Table24567[],5,FALSE)</f>
        <v>6.2</v>
      </c>
      <c r="L59" s="76">
        <f>VLOOKUP(M$14,Table24567[],5,FALSE)</f>
        <v>6.2</v>
      </c>
      <c r="M59" s="76">
        <f>VLOOKUP(N$14,Table24567[],5,FALSE)</f>
        <v>6.2</v>
      </c>
      <c r="N59" s="76">
        <f>VLOOKUP(O$14,Table24567[],5,FALSE)</f>
        <v>6.2</v>
      </c>
      <c r="O59" s="76">
        <f>VLOOKUP(P$14,Table24567[],5,FALSE)</f>
        <v>6.2</v>
      </c>
      <c r="P59" s="76">
        <f>VLOOKUP(Q$14,Table24567[],5,FALSE)</f>
        <v>6.2</v>
      </c>
      <c r="Q59" s="76">
        <f>VLOOKUP(R$14,Table24567[],5,FALSE)</f>
        <v>6.2</v>
      </c>
      <c r="R59" s="76">
        <f>VLOOKUP(S$14,Table24567[],5,FALSE)</f>
        <v>6.2</v>
      </c>
      <c r="S59" s="76">
        <f>VLOOKUP(T$14,Table24567[],5,FALSE)</f>
        <v>6.2</v>
      </c>
      <c r="T59" s="76">
        <f>VLOOKUP(U$14,Table24567[],5,FALSE)</f>
        <v>6.2</v>
      </c>
      <c r="U59" s="76">
        <f>VLOOKUP(V$14,Table24567[],5,FALSE)</f>
        <v>6.2</v>
      </c>
    </row>
    <row r="60" spans="1:35" s="19" customFormat="1" x14ac:dyDescent="0.2">
      <c r="A60" s="111" t="s">
        <v>4</v>
      </c>
      <c r="B60" s="76">
        <f>C10</f>
        <v>6.2</v>
      </c>
      <c r="C60" s="76">
        <f t="shared" ref="C60:U60" si="14">D10</f>
        <v>5.6</v>
      </c>
      <c r="D60" s="76">
        <f t="shared" si="14"/>
        <v>6.3</v>
      </c>
      <c r="E60" s="76">
        <f t="shared" si="14"/>
        <v>6</v>
      </c>
      <c r="F60" s="76">
        <f t="shared" si="14"/>
        <v>5.8</v>
      </c>
      <c r="G60" s="76">
        <f t="shared" si="14"/>
        <v>5.3</v>
      </c>
      <c r="H60" s="76">
        <f t="shared" si="14"/>
        <v>6</v>
      </c>
      <c r="I60" s="76">
        <f t="shared" si="14"/>
        <v>6.1</v>
      </c>
      <c r="J60" s="76">
        <f t="shared" si="14"/>
        <v>5.5</v>
      </c>
      <c r="K60" s="76">
        <f t="shared" si="14"/>
        <v>6.1</v>
      </c>
      <c r="L60" s="76">
        <f t="shared" si="14"/>
        <v>5.5</v>
      </c>
      <c r="M60" s="76">
        <f t="shared" si="14"/>
        <v>5.6</v>
      </c>
      <c r="N60" s="76">
        <f t="shared" si="14"/>
        <v>5.9</v>
      </c>
      <c r="O60" s="76">
        <f t="shared" si="14"/>
        <v>6.5</v>
      </c>
      <c r="P60" s="76">
        <f t="shared" si="14"/>
        <v>5.7</v>
      </c>
      <c r="Q60" s="76">
        <f t="shared" si="14"/>
        <v>6.4</v>
      </c>
      <c r="R60" s="76">
        <f t="shared" si="14"/>
        <v>6.7</v>
      </c>
      <c r="S60" s="76">
        <f t="shared" si="14"/>
        <v>5.4</v>
      </c>
      <c r="T60" s="76">
        <f t="shared" si="14"/>
        <v>5.5</v>
      </c>
      <c r="U60" s="76">
        <f t="shared" si="14"/>
        <v>6.4</v>
      </c>
    </row>
    <row r="61" spans="1:35" s="19" customFormat="1" x14ac:dyDescent="0.2">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f t="shared" si="15"/>
        <v>6</v>
      </c>
      <c r="R61" s="76">
        <f t="shared" si="15"/>
        <v>6</v>
      </c>
      <c r="S61" s="76">
        <f t="shared" si="15"/>
        <v>6</v>
      </c>
      <c r="T61" s="76">
        <f t="shared" si="15"/>
        <v>6</v>
      </c>
      <c r="U61" s="76">
        <f t="shared" si="15"/>
        <v>6</v>
      </c>
    </row>
    <row r="62" spans="1:35" s="19" customFormat="1" x14ac:dyDescent="0.2">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0</v>
      </c>
      <c r="C64" s="77">
        <f t="shared" ref="C64:U64" si="17">(C59-C60)*C61</f>
        <v>3.6000000000000032</v>
      </c>
      <c r="D64" s="77">
        <f t="shared" si="17"/>
        <v>-0.59999999999999787</v>
      </c>
      <c r="E64" s="77">
        <f t="shared" si="17"/>
        <v>1.2000000000000011</v>
      </c>
      <c r="F64" s="77">
        <f t="shared" si="17"/>
        <v>2.4000000000000021</v>
      </c>
      <c r="G64" s="77">
        <f t="shared" si="17"/>
        <v>5.4000000000000021</v>
      </c>
      <c r="H64" s="77">
        <f t="shared" si="17"/>
        <v>1.2000000000000011</v>
      </c>
      <c r="I64" s="77">
        <f t="shared" si="17"/>
        <v>0.6000000000000032</v>
      </c>
      <c r="J64" s="77">
        <f t="shared" si="17"/>
        <v>4.2000000000000011</v>
      </c>
      <c r="K64" s="77">
        <f t="shared" si="17"/>
        <v>0.6000000000000032</v>
      </c>
      <c r="L64" s="77">
        <f t="shared" si="17"/>
        <v>4.2000000000000011</v>
      </c>
      <c r="M64" s="77">
        <f t="shared" si="17"/>
        <v>3.6000000000000032</v>
      </c>
      <c r="N64" s="77">
        <f t="shared" si="17"/>
        <v>1.7999999999999989</v>
      </c>
      <c r="O64" s="77">
        <f t="shared" si="17"/>
        <v>-1.7999999999999989</v>
      </c>
      <c r="P64" s="77">
        <f t="shared" si="17"/>
        <v>3</v>
      </c>
      <c r="Q64" s="77">
        <f t="shared" si="17"/>
        <v>-1.2000000000000011</v>
      </c>
      <c r="R64" s="77">
        <f t="shared" si="17"/>
        <v>-3</v>
      </c>
      <c r="S64" s="77">
        <f t="shared" si="17"/>
        <v>4.7999999999999989</v>
      </c>
      <c r="T64" s="77">
        <f t="shared" si="17"/>
        <v>4.2000000000000011</v>
      </c>
      <c r="U64" s="77">
        <f t="shared" si="17"/>
        <v>-1.2000000000000011</v>
      </c>
    </row>
    <row r="65" spans="1:21" s="19" customFormat="1" ht="51" x14ac:dyDescent="0.2">
      <c r="A65" s="112" t="s">
        <v>157</v>
      </c>
      <c r="B65" s="77">
        <f>B63-B64</f>
        <v>0</v>
      </c>
      <c r="C65" s="77">
        <f t="shared" ref="C65:U65" si="18">C63-C64</f>
        <v>-3.6000000000000032</v>
      </c>
      <c r="D65" s="77">
        <f t="shared" si="18"/>
        <v>0.59999999999999787</v>
      </c>
      <c r="E65" s="77">
        <f t="shared" si="18"/>
        <v>-1.2000000000000011</v>
      </c>
      <c r="F65" s="77">
        <f t="shared" si="18"/>
        <v>-2.4000000000000021</v>
      </c>
      <c r="G65" s="77">
        <f t="shared" si="18"/>
        <v>-5.4000000000000021</v>
      </c>
      <c r="H65" s="77">
        <f t="shared" si="18"/>
        <v>-1.2000000000000011</v>
      </c>
      <c r="I65" s="77">
        <f t="shared" si="18"/>
        <v>-0.6000000000000032</v>
      </c>
      <c r="J65" s="77">
        <f t="shared" si="18"/>
        <v>-4.2000000000000011</v>
      </c>
      <c r="K65" s="77">
        <f t="shared" si="18"/>
        <v>-0.6000000000000032</v>
      </c>
      <c r="L65" s="77">
        <f t="shared" si="18"/>
        <v>-4.2000000000000011</v>
      </c>
      <c r="M65" s="77">
        <f t="shared" si="18"/>
        <v>-3.6000000000000032</v>
      </c>
      <c r="N65" s="77">
        <f t="shared" si="18"/>
        <v>-1.7999999999999989</v>
      </c>
      <c r="O65" s="77">
        <f t="shared" si="18"/>
        <v>1.7999999999999989</v>
      </c>
      <c r="P65" s="77">
        <f t="shared" si="18"/>
        <v>-3</v>
      </c>
      <c r="Q65" s="77">
        <f t="shared" si="18"/>
        <v>1.2000000000000011</v>
      </c>
      <c r="R65" s="77">
        <f t="shared" si="18"/>
        <v>3</v>
      </c>
      <c r="S65" s="77">
        <f t="shared" si="18"/>
        <v>-4.7999999999999989</v>
      </c>
      <c r="T65" s="77">
        <f t="shared" si="18"/>
        <v>-4.2000000000000011</v>
      </c>
      <c r="U65" s="77">
        <f t="shared" si="18"/>
        <v>1.2000000000000011</v>
      </c>
    </row>
    <row r="66" spans="1:21" s="19" customFormat="1" ht="38.25" x14ac:dyDescent="0.2">
      <c r="A66" s="112" t="s">
        <v>148</v>
      </c>
      <c r="B66" s="78" t="str">
        <f>IF(B64&lt;=B63,"OVER","UNDER")</f>
        <v>OVER</v>
      </c>
      <c r="C66" s="78" t="str">
        <f t="shared" ref="C66:U66" si="19">IF(C64&lt;=C63,"OVER","UNDER")</f>
        <v>UNDER</v>
      </c>
      <c r="D66" s="78" t="str">
        <f t="shared" si="19"/>
        <v>OVER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str">
        <f t="shared" si="19"/>
        <v>UNDER</v>
      </c>
      <c r="N66" s="78" t="str">
        <f t="shared" si="19"/>
        <v>UNDER</v>
      </c>
      <c r="O66" s="78" t="str">
        <f t="shared" si="19"/>
        <v>OVER</v>
      </c>
      <c r="P66" s="78" t="str">
        <f t="shared" si="19"/>
        <v>UNDER</v>
      </c>
      <c r="Q66" s="78" t="str">
        <f t="shared" si="19"/>
        <v>OVER</v>
      </c>
      <c r="R66" s="78" t="str">
        <f t="shared" si="19"/>
        <v>OVER</v>
      </c>
      <c r="S66" s="78" t="str">
        <f t="shared" si="19"/>
        <v>UNDER</v>
      </c>
      <c r="T66" s="78" t="str">
        <f t="shared" si="19"/>
        <v>UNDER</v>
      </c>
      <c r="U66" s="78" t="str">
        <f t="shared" si="19"/>
        <v>OVER</v>
      </c>
    </row>
  </sheetData>
  <sheetProtection algorithmName="SHA-512" hashValue="bV/LF8dO/1XjVbmVcGUwfCCtDuJHfhHI2cxBjbE3UJO6HH/2eqfMhfRs25y84IWYrTRRq04Mjv0Gtw+37M6n0g==" saltValue="/YQAwzTGECtKAnnbGGtu7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83" priority="37" operator="equal">
      <formula>"DECREASE"</formula>
    </cfRule>
    <cfRule type="cellIs" dxfId="82" priority="38" operator="equal">
      <formula>"INCREASE"</formula>
    </cfRule>
  </conditionalFormatting>
  <conditionalFormatting sqref="B31:B50 B62:U66">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sqref="A1:B1"/>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19" t="s">
        <v>41</v>
      </c>
      <c r="B1" s="119"/>
      <c r="C1" s="140" t="str">
        <f>Secanim!C1:D1</f>
        <v>PAN-021626</v>
      </c>
      <c r="D1" s="141"/>
      <c r="E1" s="93" t="s">
        <v>45</v>
      </c>
      <c r="F1" s="39">
        <f>Secanim!F1</f>
        <v>48.6</v>
      </c>
      <c r="G1" s="120" t="s">
        <v>43</v>
      </c>
      <c r="H1" s="121"/>
      <c r="I1" s="118"/>
      <c r="J1" s="119" t="s">
        <v>153</v>
      </c>
      <c r="K1" s="11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19" t="s">
        <v>87</v>
      </c>
      <c r="B2" s="119"/>
      <c r="C2" s="142" t="str">
        <f>Secanim!C2:D2</f>
        <v>KP3594VE</v>
      </c>
      <c r="D2" s="143"/>
      <c r="E2" s="93" t="s">
        <v>109</v>
      </c>
      <c r="F2" s="96"/>
      <c r="G2" s="138" t="s">
        <v>110</v>
      </c>
      <c r="H2" s="139"/>
      <c r="I2" s="118"/>
      <c r="J2" s="119" t="s">
        <v>158</v>
      </c>
      <c r="K2" s="119"/>
      <c r="L2" s="97"/>
      <c r="AB2" s="30" t="s">
        <v>56</v>
      </c>
      <c r="AC2" s="17"/>
      <c r="AD2" s="30" t="s">
        <v>70</v>
      </c>
      <c r="AE2" s="17"/>
      <c r="AF2" s="17"/>
      <c r="AG2" s="44" t="s">
        <v>76</v>
      </c>
      <c r="AH2" s="18"/>
      <c r="AI2" s="45" t="s">
        <v>126</v>
      </c>
      <c r="AJ2" s="46">
        <v>0</v>
      </c>
      <c r="AK2" s="47">
        <v>0</v>
      </c>
      <c r="AL2" s="10">
        <v>0</v>
      </c>
      <c r="AM2" s="11">
        <v>0</v>
      </c>
      <c r="AN2" s="11">
        <v>0</v>
      </c>
    </row>
    <row r="3" spans="1:41" x14ac:dyDescent="0.2">
      <c r="A3" s="120" t="s">
        <v>42</v>
      </c>
      <c r="B3" s="121"/>
      <c r="C3" s="142" t="str">
        <f>Secanim!C3:D3</f>
        <v>Trade Effluent Services Limited</v>
      </c>
      <c r="D3" s="143"/>
      <c r="E3" s="93" t="s">
        <v>108</v>
      </c>
      <c r="F3" s="31"/>
      <c r="G3" s="119" t="s">
        <v>159</v>
      </c>
      <c r="H3" s="119"/>
      <c r="I3" s="118"/>
      <c r="J3" s="120" t="s">
        <v>154</v>
      </c>
      <c r="K3" s="121"/>
      <c r="L3" s="97" t="e">
        <f>(L1/(L2*10000))*100</f>
        <v>#DIV/0!</v>
      </c>
      <c r="AB3" s="30" t="s">
        <v>57</v>
      </c>
      <c r="AC3" s="17"/>
      <c r="AD3" s="30" t="s">
        <v>71</v>
      </c>
      <c r="AE3" s="17"/>
      <c r="AF3" s="17"/>
      <c r="AG3" s="44" t="s">
        <v>77</v>
      </c>
      <c r="AH3" s="18"/>
      <c r="AI3" s="48" t="s">
        <v>113</v>
      </c>
      <c r="AJ3" s="49">
        <v>1.7</v>
      </c>
      <c r="AK3" s="50">
        <v>6</v>
      </c>
      <c r="AL3" s="51">
        <v>1</v>
      </c>
      <c r="AM3" s="11">
        <v>6.2</v>
      </c>
      <c r="AN3" s="11" t="s">
        <v>112</v>
      </c>
    </row>
    <row r="4" spans="1:41" x14ac:dyDescent="0.2">
      <c r="A4" s="119" t="s">
        <v>0</v>
      </c>
      <c r="B4" s="119"/>
      <c r="C4" s="140" t="str">
        <f>Secanim!C4:D4</f>
        <v>Gwaenynog Bach Farm, Pentrefoelas Road, Bryn Ynys, Denbigh, Y Groes, Denbighshire, LL16 5RP</v>
      </c>
      <c r="D4" s="141"/>
      <c r="E4" s="94" t="s">
        <v>1</v>
      </c>
      <c r="F4" s="96"/>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x14ac:dyDescent="0.2">
      <c r="A5" s="119" t="s">
        <v>47</v>
      </c>
      <c r="B5" s="119"/>
      <c r="C5" s="140" t="str">
        <f>Secanim!C5:D5</f>
        <v>Louise Bailey</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19" t="s">
        <v>2</v>
      </c>
      <c r="B8" s="119"/>
      <c r="C8" s="60">
        <f>Secanim!C8</f>
        <v>5905</v>
      </c>
      <c r="D8" s="60">
        <f>Secanim!D8</f>
        <v>4279</v>
      </c>
      <c r="E8" s="60">
        <f>Secanim!E8</f>
        <v>7605</v>
      </c>
      <c r="F8" s="60">
        <f>Secanim!F8</f>
        <v>3851</v>
      </c>
      <c r="G8" s="60">
        <f>Secanim!G8</f>
        <v>6418</v>
      </c>
      <c r="H8" s="60">
        <f>Secanim!H8</f>
        <v>1843</v>
      </c>
      <c r="I8" s="60">
        <f>Secanim!I8</f>
        <v>5974</v>
      </c>
      <c r="J8" s="60">
        <f>Secanim!J8</f>
        <v>5490</v>
      </c>
      <c r="K8" s="60">
        <f>Secanim!K8</f>
        <v>2565</v>
      </c>
      <c r="L8" s="60">
        <f>Secanim!L8</f>
        <v>7887</v>
      </c>
      <c r="M8" s="60">
        <f>Secanim!M8</f>
        <v>2946</v>
      </c>
      <c r="N8" s="60">
        <f>Secanim!N8</f>
        <v>2881</v>
      </c>
      <c r="O8" s="60">
        <f>Secanim!O8</f>
        <v>3398</v>
      </c>
      <c r="P8" s="60">
        <f>Secanim!P8</f>
        <v>5694</v>
      </c>
      <c r="Q8" s="60">
        <f>Secanim!Q8</f>
        <v>2991</v>
      </c>
      <c r="R8" s="60">
        <f>Secanim!R8</f>
        <v>3799</v>
      </c>
      <c r="S8" s="60">
        <f>Secanim!S8</f>
        <v>5813</v>
      </c>
      <c r="T8" s="60">
        <f>Secanim!T8</f>
        <v>1390</v>
      </c>
      <c r="U8" s="60">
        <f>Secanim!U8</f>
        <v>9596</v>
      </c>
      <c r="V8" s="60">
        <f>Secanim!V8</f>
        <v>716</v>
      </c>
      <c r="AB8" s="61"/>
      <c r="AC8" s="61"/>
      <c r="AD8" s="18"/>
      <c r="AE8" s="17" t="s">
        <v>139</v>
      </c>
      <c r="AF8" s="17"/>
      <c r="AG8" s="18"/>
      <c r="AH8" s="18"/>
      <c r="AI8" s="53" t="s">
        <v>105</v>
      </c>
      <c r="AJ8" s="62">
        <v>1.4</v>
      </c>
      <c r="AK8" s="55">
        <v>4.4000000000000004</v>
      </c>
      <c r="AL8" s="11">
        <v>6</v>
      </c>
      <c r="AM8" s="11">
        <v>6.7</v>
      </c>
      <c r="AN8" s="11" t="s">
        <v>135</v>
      </c>
      <c r="AO8" s="79"/>
    </row>
    <row r="9" spans="1:41" x14ac:dyDescent="0.2">
      <c r="A9" s="119" t="s">
        <v>3</v>
      </c>
      <c r="B9" s="119"/>
      <c r="C9" s="60" t="str">
        <f>Secanim!C9</f>
        <v>Moderate</v>
      </c>
      <c r="D9" s="60" t="str">
        <f>Secanim!D9</f>
        <v>Moderate</v>
      </c>
      <c r="E9" s="60" t="str">
        <f>Secanim!E9</f>
        <v>Moderate</v>
      </c>
      <c r="F9" s="60" t="str">
        <f>Secanim!F9</f>
        <v>Moderate</v>
      </c>
      <c r="G9" s="60" t="str">
        <f>Secanim!G9</f>
        <v>Moderate</v>
      </c>
      <c r="H9" s="60" t="str">
        <f>Secanim!H9</f>
        <v>Moderate</v>
      </c>
      <c r="I9" s="60" t="str">
        <f>Secanim!I9</f>
        <v>Moderate</v>
      </c>
      <c r="J9" s="60" t="str">
        <f>Secanim!J9</f>
        <v>Moderate</v>
      </c>
      <c r="K9" s="60" t="str">
        <f>Secanim!K9</f>
        <v>Moderate</v>
      </c>
      <c r="L9" s="60" t="str">
        <f>Secanim!L9</f>
        <v>Moderate</v>
      </c>
      <c r="M9" s="60" t="str">
        <f>Secanim!M9</f>
        <v>Moderate</v>
      </c>
      <c r="N9" s="60" t="str">
        <f>Secanim!N9</f>
        <v>Moderate</v>
      </c>
      <c r="O9" s="60" t="str">
        <f>Secanim!O9</f>
        <v>Moderate</v>
      </c>
      <c r="P9" s="60" t="str">
        <f>Secanim!P9</f>
        <v>Moderate</v>
      </c>
      <c r="Q9" s="60" t="str">
        <f>Secanim!Q9</f>
        <v>Moderate</v>
      </c>
      <c r="R9" s="60" t="str">
        <f>Secanim!R9</f>
        <v>Moderate</v>
      </c>
      <c r="S9" s="60" t="str">
        <f>Secanim!S9</f>
        <v>Moderate</v>
      </c>
      <c r="T9" s="60" t="str">
        <f>Secanim!T9</f>
        <v>Moderate</v>
      </c>
      <c r="U9" s="60" t="str">
        <f>Secanim!U9</f>
        <v>Moderate</v>
      </c>
      <c r="V9" s="60" t="str">
        <f>Secanim!V9</f>
        <v>Moderate</v>
      </c>
      <c r="AB9" s="17"/>
      <c r="AC9" s="17"/>
      <c r="AD9" s="30" t="s">
        <v>137</v>
      </c>
      <c r="AE9" s="30">
        <v>4.5</v>
      </c>
      <c r="AF9" s="17"/>
      <c r="AG9" s="18"/>
      <c r="AH9" s="18"/>
      <c r="AI9" s="63" t="s">
        <v>103</v>
      </c>
      <c r="AJ9" s="64">
        <v>0.7</v>
      </c>
      <c r="AK9" s="65">
        <v>4</v>
      </c>
      <c r="AL9" s="29">
        <v>7</v>
      </c>
      <c r="AM9" s="11">
        <v>6.7</v>
      </c>
      <c r="AN9" s="11" t="s">
        <v>135</v>
      </c>
      <c r="AO9" s="99"/>
    </row>
    <row r="10" spans="1:41" x14ac:dyDescent="0.2">
      <c r="A10" s="119" t="s">
        <v>4</v>
      </c>
      <c r="B10" s="119"/>
      <c r="C10" s="60">
        <f>Secanim!C10</f>
        <v>6.2</v>
      </c>
      <c r="D10" s="60">
        <f>Secanim!D10</f>
        <v>5.6</v>
      </c>
      <c r="E10" s="60">
        <f>Secanim!E10</f>
        <v>6.3</v>
      </c>
      <c r="F10" s="60">
        <f>Secanim!F10</f>
        <v>6</v>
      </c>
      <c r="G10" s="60">
        <f>Secanim!G10</f>
        <v>5.8</v>
      </c>
      <c r="H10" s="60">
        <f>Secanim!H10</f>
        <v>5.3</v>
      </c>
      <c r="I10" s="60">
        <f>Secanim!I10</f>
        <v>6</v>
      </c>
      <c r="J10" s="60">
        <f>Secanim!J10</f>
        <v>6.1</v>
      </c>
      <c r="K10" s="60">
        <f>Secanim!K10</f>
        <v>5.5</v>
      </c>
      <c r="L10" s="60">
        <f>Secanim!L10</f>
        <v>6.1</v>
      </c>
      <c r="M10" s="60">
        <f>Secanim!M10</f>
        <v>5.5</v>
      </c>
      <c r="N10" s="60">
        <f>Secanim!N10</f>
        <v>5.6</v>
      </c>
      <c r="O10" s="60">
        <f>Secanim!O10</f>
        <v>5.9</v>
      </c>
      <c r="P10" s="60">
        <f>Secanim!P10</f>
        <v>6.5</v>
      </c>
      <c r="Q10" s="60">
        <f>Secanim!Q10</f>
        <v>5.7</v>
      </c>
      <c r="R10" s="60">
        <f>Secanim!R10</f>
        <v>6.4</v>
      </c>
      <c r="S10" s="60">
        <f>Secanim!S10</f>
        <v>6.7</v>
      </c>
      <c r="T10" s="60">
        <f>Secanim!T10</f>
        <v>5.4</v>
      </c>
      <c r="U10" s="60">
        <f>Secanim!U10</f>
        <v>5.5</v>
      </c>
      <c r="V10" s="60">
        <f>Secanim!V10</f>
        <v>6.4</v>
      </c>
      <c r="AB10" s="17"/>
      <c r="AC10" s="17"/>
      <c r="AD10" s="30" t="s">
        <v>140</v>
      </c>
      <c r="AE10" s="30">
        <v>5</v>
      </c>
      <c r="AF10" s="17"/>
      <c r="AG10" s="18"/>
      <c r="AH10" s="18"/>
      <c r="AI10" s="53" t="s">
        <v>97</v>
      </c>
      <c r="AJ10" s="54">
        <v>9</v>
      </c>
      <c r="AK10" s="55">
        <v>16.5</v>
      </c>
      <c r="AL10" s="11">
        <v>8</v>
      </c>
      <c r="AM10" s="11">
        <v>6.7</v>
      </c>
      <c r="AN10" s="11" t="s">
        <v>135</v>
      </c>
    </row>
    <row r="11" spans="1:41" x14ac:dyDescent="0.2">
      <c r="A11" s="119" t="s">
        <v>5</v>
      </c>
      <c r="B11" s="119"/>
      <c r="C11" s="60">
        <f>Secanim!C11</f>
        <v>2</v>
      </c>
      <c r="D11" s="60">
        <f>Secanim!D11</f>
        <v>3</v>
      </c>
      <c r="E11" s="60">
        <f>Secanim!E11</f>
        <v>2</v>
      </c>
      <c r="F11" s="60">
        <f>Secanim!F11</f>
        <v>3</v>
      </c>
      <c r="G11" s="60">
        <f>Secanim!G11</f>
        <v>2</v>
      </c>
      <c r="H11" s="60">
        <f>Secanim!H11</f>
        <v>3</v>
      </c>
      <c r="I11" s="60">
        <f>Secanim!I11</f>
        <v>3</v>
      </c>
      <c r="J11" s="60">
        <f>Secanim!J11</f>
        <v>2</v>
      </c>
      <c r="K11" s="60">
        <f>Secanim!K11</f>
        <v>3</v>
      </c>
      <c r="L11" s="60">
        <f>Secanim!L11</f>
        <v>1</v>
      </c>
      <c r="M11" s="60">
        <f>Secanim!M11</f>
        <v>3</v>
      </c>
      <c r="N11" s="60">
        <f>Secanim!N11</f>
        <v>2</v>
      </c>
      <c r="O11" s="60">
        <f>Secanim!O11</f>
        <v>2</v>
      </c>
      <c r="P11" s="60">
        <f>Secanim!P11</f>
        <v>2</v>
      </c>
      <c r="Q11" s="60">
        <f>Secanim!Q11</f>
        <v>2</v>
      </c>
      <c r="R11" s="60">
        <f>Secanim!R11</f>
        <v>2</v>
      </c>
      <c r="S11" s="60">
        <f>Secanim!S11</f>
        <v>2</v>
      </c>
      <c r="T11" s="60">
        <f>Secanim!T11</f>
        <v>3</v>
      </c>
      <c r="U11" s="60">
        <f>Secanim!U11</f>
        <v>2</v>
      </c>
      <c r="V11" s="60">
        <f>Secanim!V11</f>
        <v>2</v>
      </c>
      <c r="AB11" s="17"/>
      <c r="AC11" s="17"/>
      <c r="AD11" s="52" t="s">
        <v>141</v>
      </c>
      <c r="AE11" s="30">
        <v>6</v>
      </c>
      <c r="AF11" s="17"/>
      <c r="AG11" s="18"/>
      <c r="AH11" s="18"/>
      <c r="AI11" s="53" t="s">
        <v>122</v>
      </c>
      <c r="AJ11" s="54">
        <v>15</v>
      </c>
      <c r="AK11" s="55">
        <v>17.5</v>
      </c>
      <c r="AL11" s="11">
        <v>9</v>
      </c>
      <c r="AM11" s="11">
        <v>7</v>
      </c>
      <c r="AN11" s="11" t="s">
        <v>135</v>
      </c>
    </row>
    <row r="12" spans="1:41" x14ac:dyDescent="0.2">
      <c r="A12" s="119" t="s">
        <v>6</v>
      </c>
      <c r="B12" s="119"/>
      <c r="C12" s="60" t="str">
        <f>Secanim!C12</f>
        <v>2-</v>
      </c>
      <c r="D12" s="60">
        <f>Secanim!D12</f>
        <v>3</v>
      </c>
      <c r="E12" s="60" t="str">
        <f>Secanim!E12</f>
        <v>2-</v>
      </c>
      <c r="F12" s="60" t="str">
        <f>Secanim!F12</f>
        <v>2+</v>
      </c>
      <c r="G12" s="60">
        <f>Secanim!G12</f>
        <v>3</v>
      </c>
      <c r="H12" s="60" t="str">
        <f>Secanim!H12</f>
        <v>2+</v>
      </c>
      <c r="I12" s="60">
        <f>Secanim!I12</f>
        <v>4</v>
      </c>
      <c r="J12" s="60" t="str">
        <f>Secanim!J12</f>
        <v>2+</v>
      </c>
      <c r="K12" s="60">
        <f>Secanim!K12</f>
        <v>4</v>
      </c>
      <c r="L12" s="60" t="str">
        <f>Secanim!L12</f>
        <v>2-</v>
      </c>
      <c r="M12" s="60" t="str">
        <f>Secanim!M12</f>
        <v>2-</v>
      </c>
      <c r="N12" s="60">
        <f>Secanim!N12</f>
        <v>3</v>
      </c>
      <c r="O12" s="60">
        <f>Secanim!O12</f>
        <v>3</v>
      </c>
      <c r="P12" s="60" t="str">
        <f>Secanim!P12</f>
        <v>2-</v>
      </c>
      <c r="Q12" s="60">
        <f>Secanim!Q12</f>
        <v>1</v>
      </c>
      <c r="R12" s="60">
        <f>Secanim!R12</f>
        <v>1</v>
      </c>
      <c r="S12" s="60">
        <f>Secanim!S12</f>
        <v>1</v>
      </c>
      <c r="T12" s="60" t="str">
        <f>Secanim!T12</f>
        <v>2+</v>
      </c>
      <c r="U12" s="60">
        <f>Secanim!U12</f>
        <v>1</v>
      </c>
      <c r="V12" s="60" t="str">
        <f>Secanim!V12</f>
        <v>2-</v>
      </c>
      <c r="AB12" s="17"/>
      <c r="AC12" s="17"/>
      <c r="AD12" s="52" t="s">
        <v>142</v>
      </c>
      <c r="AE12" s="30">
        <v>7.5</v>
      </c>
      <c r="AF12" s="17"/>
      <c r="AG12" s="18"/>
      <c r="AH12" s="18"/>
      <c r="AI12" s="53" t="s">
        <v>121</v>
      </c>
      <c r="AJ12" s="54">
        <v>14</v>
      </c>
      <c r="AK12" s="55">
        <v>11</v>
      </c>
      <c r="AL12" s="11">
        <v>10</v>
      </c>
      <c r="AM12" s="11">
        <v>7</v>
      </c>
      <c r="AN12" s="11" t="s">
        <v>135</v>
      </c>
    </row>
    <row r="13" spans="1:41" x14ac:dyDescent="0.2">
      <c r="A13" s="119" t="s">
        <v>7</v>
      </c>
      <c r="B13" s="119"/>
      <c r="C13" s="60">
        <f>Secanim!C13</f>
        <v>3</v>
      </c>
      <c r="D13" s="60">
        <f>Secanim!D13</f>
        <v>3</v>
      </c>
      <c r="E13" s="60">
        <f>Secanim!E13</f>
        <v>3</v>
      </c>
      <c r="F13" s="60">
        <f>Secanim!F13</f>
        <v>3</v>
      </c>
      <c r="G13" s="60">
        <f>Secanim!G13</f>
        <v>3</v>
      </c>
      <c r="H13" s="60">
        <f>Secanim!H13</f>
        <v>2</v>
      </c>
      <c r="I13" s="60">
        <f>Secanim!I13</f>
        <v>4</v>
      </c>
      <c r="J13" s="60">
        <f>Secanim!J13</f>
        <v>3</v>
      </c>
      <c r="K13" s="60">
        <f>Secanim!K13</f>
        <v>3</v>
      </c>
      <c r="L13" s="60">
        <f>Secanim!L13</f>
        <v>3</v>
      </c>
      <c r="M13" s="60">
        <f>Secanim!M13</f>
        <v>2</v>
      </c>
      <c r="N13" s="60">
        <f>Secanim!N13</f>
        <v>2</v>
      </c>
      <c r="O13" s="60">
        <f>Secanim!O13</f>
        <v>3</v>
      </c>
      <c r="P13" s="60">
        <f>Secanim!P13</f>
        <v>2</v>
      </c>
      <c r="Q13" s="60">
        <f>Secanim!Q13</f>
        <v>3</v>
      </c>
      <c r="R13" s="60">
        <f>Secanim!R13</f>
        <v>2</v>
      </c>
      <c r="S13" s="60">
        <f>Secanim!S13</f>
        <v>1</v>
      </c>
      <c r="T13" s="60">
        <f>Secanim!T13</f>
        <v>3</v>
      </c>
      <c r="U13" s="60">
        <f>Secanim!U13</f>
        <v>1</v>
      </c>
      <c r="V13" s="60">
        <f>Secanim!V13</f>
        <v>2</v>
      </c>
      <c r="AB13" s="17"/>
      <c r="AC13" s="17"/>
      <c r="AD13" s="52" t="s">
        <v>143</v>
      </c>
      <c r="AE13" s="30">
        <v>12</v>
      </c>
      <c r="AF13" s="17"/>
      <c r="AG13" s="18"/>
      <c r="AH13" s="18"/>
      <c r="AI13" s="53" t="s">
        <v>120</v>
      </c>
      <c r="AJ13" s="54">
        <v>1.9</v>
      </c>
      <c r="AK13" s="55">
        <v>7.5</v>
      </c>
      <c r="AL13" s="11">
        <v>11</v>
      </c>
      <c r="AM13" s="11">
        <v>6.7</v>
      </c>
      <c r="AN13" s="11" t="s">
        <v>135</v>
      </c>
    </row>
    <row r="14" spans="1:41" x14ac:dyDescent="0.2">
      <c r="A14" s="131" t="s">
        <v>8</v>
      </c>
      <c r="B14" s="131"/>
      <c r="C14" s="102" t="str">
        <f>Secanim!C14</f>
        <v xml:space="preserve">Grass Silage (25% DM) </v>
      </c>
      <c r="D14" s="102" t="str">
        <f>Secanim!D14</f>
        <v xml:space="preserve">Grass Silage (25% DM) </v>
      </c>
      <c r="E14" s="102" t="str">
        <f>Secanim!E14</f>
        <v xml:space="preserve">Grass Silage (25% DM) </v>
      </c>
      <c r="F14" s="102" t="str">
        <f>Secanim!F14</f>
        <v xml:space="preserve">Grass Silage (25% DM) </v>
      </c>
      <c r="G14" s="102" t="str">
        <f>Secanim!G14</f>
        <v xml:space="preserve">Grass Silage (25% DM) </v>
      </c>
      <c r="H14" s="102" t="str">
        <f>Secanim!H14</f>
        <v xml:space="preserve">Grass Silage (25% DM) </v>
      </c>
      <c r="I14" s="102" t="str">
        <f>Secanim!I14</f>
        <v xml:space="preserve">Grass Silage (25% DM) </v>
      </c>
      <c r="J14" s="102" t="str">
        <f>Secanim!J14</f>
        <v xml:space="preserve">Grass Silage (25% DM) </v>
      </c>
      <c r="K14" s="102" t="str">
        <f>Secanim!K14</f>
        <v xml:space="preserve">Grass Silage (25% DM) </v>
      </c>
      <c r="L14" s="102" t="str">
        <f>Secanim!L14</f>
        <v xml:space="preserve">Grass Silage (25% DM) </v>
      </c>
      <c r="M14" s="102" t="str">
        <f>Secanim!M14</f>
        <v xml:space="preserve">Grass Silage (25% DM) </v>
      </c>
      <c r="N14" s="102" t="str">
        <f>Secanim!N14</f>
        <v xml:space="preserve">Grass Silage (25% DM) </v>
      </c>
      <c r="O14" s="102" t="str">
        <f>Secanim!O14</f>
        <v xml:space="preserve">Grass Silage (25% DM) </v>
      </c>
      <c r="P14" s="102" t="str">
        <f>Secanim!P14</f>
        <v xml:space="preserve">Grass Silage (25% DM) </v>
      </c>
      <c r="Q14" s="102" t="str">
        <f>Secanim!Q14</f>
        <v xml:space="preserve">Grass Silage (25% DM) </v>
      </c>
      <c r="R14" s="102" t="str">
        <f>Secanim!R14</f>
        <v xml:space="preserve">Grass Silage (25% DM) </v>
      </c>
      <c r="S14" s="102" t="str">
        <f>Secanim!S14</f>
        <v xml:space="preserve">Grass Silage (25% DM) </v>
      </c>
      <c r="T14" s="102" t="str">
        <f>Secanim!T14</f>
        <v xml:space="preserve">Grass Silage (25% DM) </v>
      </c>
      <c r="U14" s="102" t="str">
        <f>Secanim!U14</f>
        <v xml:space="preserve">Grass Silage (25% DM) </v>
      </c>
      <c r="V14" s="102" t="str">
        <f>Secanim!V14</f>
        <v xml:space="preserve">Grass Silage (25% DM) </v>
      </c>
      <c r="AD14" s="30" t="s">
        <v>138</v>
      </c>
      <c r="AE14" s="30">
        <v>6</v>
      </c>
      <c r="AI14" s="53" t="s">
        <v>119</v>
      </c>
      <c r="AJ14" s="54">
        <v>0.8</v>
      </c>
      <c r="AK14" s="55">
        <v>1.7</v>
      </c>
      <c r="AL14" s="11">
        <v>12</v>
      </c>
      <c r="AM14" s="11">
        <v>6.7</v>
      </c>
      <c r="AN14" s="11" t="s">
        <v>135</v>
      </c>
    </row>
    <row r="15" spans="1:41" x14ac:dyDescent="0.2">
      <c r="A15" s="130" t="s">
        <v>9</v>
      </c>
      <c r="B15" s="130"/>
      <c r="C15" s="60">
        <f>Secanim!C15</f>
        <v>38</v>
      </c>
      <c r="D15" s="60">
        <f>Secanim!D15</f>
        <v>38</v>
      </c>
      <c r="E15" s="60">
        <f>Secanim!E15</f>
        <v>38</v>
      </c>
      <c r="F15" s="60">
        <f>Secanim!F15</f>
        <v>38</v>
      </c>
      <c r="G15" s="60">
        <f>Secanim!G15</f>
        <v>38</v>
      </c>
      <c r="H15" s="60">
        <f>Secanim!H15</f>
        <v>38</v>
      </c>
      <c r="I15" s="60">
        <f>Secanim!I15</f>
        <v>38</v>
      </c>
      <c r="J15" s="60">
        <f>Secanim!J15</f>
        <v>38</v>
      </c>
      <c r="K15" s="60">
        <f>Secanim!K15</f>
        <v>38</v>
      </c>
      <c r="L15" s="60">
        <f>Secanim!L15</f>
        <v>38</v>
      </c>
      <c r="M15" s="60">
        <f>Secanim!M15</f>
        <v>38</v>
      </c>
      <c r="N15" s="60">
        <f>Secanim!N15</f>
        <v>38</v>
      </c>
      <c r="O15" s="60">
        <f>Secanim!O15</f>
        <v>38</v>
      </c>
      <c r="P15" s="60">
        <f>Secanim!P15</f>
        <v>38</v>
      </c>
      <c r="Q15" s="60">
        <f>Secanim!Q15</f>
        <v>38</v>
      </c>
      <c r="R15" s="60">
        <f>Secanim!R15</f>
        <v>38</v>
      </c>
      <c r="S15" s="60">
        <f>Secanim!S15</f>
        <v>38</v>
      </c>
      <c r="T15" s="60">
        <f>Secanim!T15</f>
        <v>38</v>
      </c>
      <c r="U15" s="60">
        <f>Secanim!U15</f>
        <v>38</v>
      </c>
      <c r="V15" s="60">
        <f>Secanim!V15</f>
        <v>38</v>
      </c>
      <c r="AD15" s="30" t="s">
        <v>144</v>
      </c>
      <c r="AE15" s="30">
        <v>7</v>
      </c>
      <c r="AI15" s="53" t="s">
        <v>101</v>
      </c>
      <c r="AJ15" s="62">
        <v>1.8</v>
      </c>
      <c r="AK15" s="55">
        <v>5.4</v>
      </c>
      <c r="AL15" s="11">
        <v>13</v>
      </c>
      <c r="AM15" s="11">
        <v>6.7</v>
      </c>
      <c r="AN15" s="11" t="s">
        <v>135</v>
      </c>
    </row>
    <row r="16" spans="1:41" ht="13.5" thickBot="1" x14ac:dyDescent="0.25">
      <c r="A16" s="132" t="s">
        <v>44</v>
      </c>
      <c r="B16" s="132"/>
      <c r="C16" s="103" t="str">
        <f>Secanim!C16</f>
        <v>Medium/Clay</v>
      </c>
      <c r="D16" s="103" t="str">
        <f>Secanim!D16</f>
        <v>Medium/Clay</v>
      </c>
      <c r="E16" s="103" t="str">
        <f>Secanim!E16</f>
        <v>Medium/Clay</v>
      </c>
      <c r="F16" s="103" t="str">
        <f>Secanim!F16</f>
        <v>Medium/Clay</v>
      </c>
      <c r="G16" s="103" t="str">
        <f>Secanim!G16</f>
        <v>Medium/Clay</v>
      </c>
      <c r="H16" s="103" t="str">
        <f>Secanim!H16</f>
        <v>Medium/Clay</v>
      </c>
      <c r="I16" s="103" t="str">
        <f>Secanim!I16</f>
        <v>Medium/Clay</v>
      </c>
      <c r="J16" s="103" t="str">
        <f>Secanim!J16</f>
        <v>Medium/Clay</v>
      </c>
      <c r="K16" s="103" t="str">
        <f>Secanim!K16</f>
        <v>Medium/Clay</v>
      </c>
      <c r="L16" s="103" t="str">
        <f>Secanim!L16</f>
        <v>Medium/Clay</v>
      </c>
      <c r="M16" s="103" t="str">
        <f>Secanim!M16</f>
        <v>Medium/Clay</v>
      </c>
      <c r="N16" s="103" t="str">
        <f>Secanim!N16</f>
        <v>Medium/Clay</v>
      </c>
      <c r="O16" s="103" t="str">
        <f>Secanim!O16</f>
        <v>Medium/Clay</v>
      </c>
      <c r="P16" s="103" t="str">
        <f>Secanim!P16</f>
        <v>Medium/Clay</v>
      </c>
      <c r="Q16" s="103" t="str">
        <f>Secanim!Q16</f>
        <v>Medium/Clay</v>
      </c>
      <c r="R16" s="103" t="str">
        <f>Secanim!R16</f>
        <v>Medium/Clay</v>
      </c>
      <c r="S16" s="103" t="str">
        <f>Secanim!S16</f>
        <v>Medium/Clay</v>
      </c>
      <c r="T16" s="103" t="str">
        <f>Secanim!T16</f>
        <v>Medium/Clay</v>
      </c>
      <c r="U16" s="103" t="str">
        <f>Secanim!U16</f>
        <v>Medium/Clay</v>
      </c>
      <c r="V16" s="103" t="str">
        <f>Secanim!V16</f>
        <v>Medium/Clay</v>
      </c>
      <c r="AD16" s="52" t="s">
        <v>145</v>
      </c>
      <c r="AE16" s="30">
        <v>8</v>
      </c>
      <c r="AI16" s="53" t="s">
        <v>118</v>
      </c>
      <c r="AJ16" s="54">
        <v>8</v>
      </c>
      <c r="AK16" s="55">
        <v>5.5</v>
      </c>
      <c r="AL16" s="12">
        <v>14</v>
      </c>
      <c r="AM16" s="11">
        <v>6.7</v>
      </c>
      <c r="AN16" s="11" t="s">
        <v>135</v>
      </c>
    </row>
    <row r="17" spans="1:40" x14ac:dyDescent="0.2">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64.599999999999994</v>
      </c>
      <c r="R17" s="28">
        <f t="shared" si="0"/>
        <v>64.599999999999994</v>
      </c>
      <c r="S17" s="28">
        <f t="shared" si="0"/>
        <v>64.599999999999994</v>
      </c>
      <c r="T17" s="28">
        <f t="shared" si="0"/>
        <v>64.599999999999994</v>
      </c>
      <c r="U17" s="28">
        <f t="shared" si="0"/>
        <v>64.599999999999994</v>
      </c>
      <c r="V17" s="28">
        <f t="shared" si="0"/>
        <v>64.599999999999994</v>
      </c>
      <c r="AD17" s="52" t="s">
        <v>146</v>
      </c>
      <c r="AE17" s="30">
        <v>10</v>
      </c>
      <c r="AI17" s="48" t="s">
        <v>115</v>
      </c>
      <c r="AJ17" s="49">
        <v>1.4</v>
      </c>
      <c r="AK17" s="50">
        <v>4.8</v>
      </c>
      <c r="AL17" s="51">
        <v>15</v>
      </c>
      <c r="AM17" s="11">
        <v>6.2</v>
      </c>
      <c r="AN17" s="11" t="s">
        <v>112</v>
      </c>
    </row>
    <row r="18" spans="1:40" x14ac:dyDescent="0.2">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24" t="s">
        <v>90</v>
      </c>
      <c r="B19" s="125"/>
      <c r="C19" s="16">
        <f>C18-C17</f>
        <v>-64.599999999999994</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-64.599999999999994</v>
      </c>
      <c r="K19" s="16">
        <f t="shared" si="1"/>
        <v>-64.599999999999994</v>
      </c>
      <c r="L19" s="16">
        <f t="shared" si="1"/>
        <v>-64.599999999999994</v>
      </c>
      <c r="M19" s="16">
        <f t="shared" si="1"/>
        <v>-64.599999999999994</v>
      </c>
      <c r="N19" s="16">
        <f t="shared" si="1"/>
        <v>-64.599999999999994</v>
      </c>
      <c r="O19" s="16">
        <f t="shared" si="1"/>
        <v>-64.599999999999994</v>
      </c>
      <c r="P19" s="16">
        <f t="shared" si="1"/>
        <v>-64.599999999999994</v>
      </c>
      <c r="Q19" s="16">
        <f t="shared" si="1"/>
        <v>-64.599999999999994</v>
      </c>
      <c r="R19" s="16">
        <f t="shared" si="1"/>
        <v>-64.599999999999994</v>
      </c>
      <c r="S19" s="16">
        <f t="shared" si="1"/>
        <v>-64.599999999999994</v>
      </c>
      <c r="T19" s="16">
        <f t="shared" si="1"/>
        <v>-64.599999999999994</v>
      </c>
      <c r="U19" s="16">
        <f t="shared" si="1"/>
        <v>-64.599999999999994</v>
      </c>
      <c r="V19" s="25">
        <f t="shared" si="1"/>
        <v>-64.599999999999994</v>
      </c>
      <c r="AI19" s="48" t="s">
        <v>107</v>
      </c>
      <c r="AJ19" s="49">
        <v>3.2</v>
      </c>
      <c r="AK19" s="50">
        <v>10.5</v>
      </c>
      <c r="AL19" s="51">
        <v>17</v>
      </c>
      <c r="AM19" s="11">
        <v>6.2</v>
      </c>
      <c r="AN19" s="11" t="s">
        <v>112</v>
      </c>
    </row>
    <row r="20" spans="1:40" ht="13.5" thickBot="1" x14ac:dyDescent="0.25">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22" t="s">
        <v>88</v>
      </c>
      <c r="B21" s="123"/>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228</v>
      </c>
      <c r="Q21" s="28">
        <f t="shared" si="2"/>
        <v>228</v>
      </c>
      <c r="R21" s="28">
        <f t="shared" si="2"/>
        <v>228</v>
      </c>
      <c r="S21" s="28">
        <f t="shared" si="2"/>
        <v>228</v>
      </c>
      <c r="T21" s="28">
        <f t="shared" si="2"/>
        <v>228</v>
      </c>
      <c r="U21" s="28">
        <f t="shared" si="2"/>
        <v>228</v>
      </c>
      <c r="V21" s="28">
        <f t="shared" si="2"/>
        <v>228</v>
      </c>
      <c r="AI21" s="63" t="s">
        <v>100</v>
      </c>
      <c r="AJ21" s="66">
        <v>11</v>
      </c>
      <c r="AK21" s="65">
        <v>12</v>
      </c>
      <c r="AL21" s="29">
        <v>19</v>
      </c>
      <c r="AM21" s="11">
        <v>6.7</v>
      </c>
      <c r="AN21" s="11" t="s">
        <v>135</v>
      </c>
    </row>
    <row r="22" spans="1:40" x14ac:dyDescent="0.2">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24" t="s">
        <v>92</v>
      </c>
      <c r="B23" s="125"/>
      <c r="C23" s="16">
        <f>C22-C21</f>
        <v>-228</v>
      </c>
      <c r="D23" s="16">
        <f t="shared" ref="D23:V23" si="3">D22-D21</f>
        <v>-228</v>
      </c>
      <c r="E23" s="16">
        <f t="shared" si="3"/>
        <v>-228</v>
      </c>
      <c r="F23" s="16">
        <f t="shared" si="3"/>
        <v>-228</v>
      </c>
      <c r="G23" s="16">
        <f t="shared" si="3"/>
        <v>-228</v>
      </c>
      <c r="H23" s="16">
        <f t="shared" si="3"/>
        <v>-228</v>
      </c>
      <c r="I23" s="16">
        <f t="shared" si="3"/>
        <v>-228</v>
      </c>
      <c r="J23" s="16">
        <f t="shared" si="3"/>
        <v>-228</v>
      </c>
      <c r="K23" s="16">
        <f t="shared" si="3"/>
        <v>-228</v>
      </c>
      <c r="L23" s="16">
        <f t="shared" si="3"/>
        <v>-228</v>
      </c>
      <c r="M23" s="16">
        <f t="shared" si="3"/>
        <v>-228</v>
      </c>
      <c r="N23" s="16">
        <f t="shared" si="3"/>
        <v>-228</v>
      </c>
      <c r="O23" s="16">
        <f t="shared" si="3"/>
        <v>-228</v>
      </c>
      <c r="P23" s="16">
        <f t="shared" si="3"/>
        <v>-228</v>
      </c>
      <c r="Q23" s="16">
        <f t="shared" si="3"/>
        <v>-228</v>
      </c>
      <c r="R23" s="16">
        <f t="shared" si="3"/>
        <v>-228</v>
      </c>
      <c r="S23" s="16">
        <f t="shared" si="3"/>
        <v>-228</v>
      </c>
      <c r="T23" s="16">
        <f t="shared" si="3"/>
        <v>-228</v>
      </c>
      <c r="U23" s="16">
        <f t="shared" si="3"/>
        <v>-228</v>
      </c>
      <c r="V23" s="16">
        <f t="shared" si="3"/>
        <v>-228</v>
      </c>
      <c r="AI23" s="63" t="s">
        <v>98</v>
      </c>
      <c r="AJ23" s="66">
        <v>9</v>
      </c>
      <c r="AK23" s="65">
        <v>10</v>
      </c>
      <c r="AL23" s="29">
        <v>21</v>
      </c>
      <c r="AM23" s="11">
        <v>6.7</v>
      </c>
      <c r="AN23" s="11" t="s">
        <v>135</v>
      </c>
    </row>
    <row r="24" spans="1:40" ht="13.5" thickBot="1" x14ac:dyDescent="0.25">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25">
      <c r="A28" s="108"/>
      <c r="B28" s="24"/>
      <c r="C28" s="15"/>
      <c r="D28" s="15"/>
      <c r="E28" s="15"/>
      <c r="F28" s="15"/>
      <c r="G28" s="15"/>
      <c r="H28" s="15"/>
      <c r="I28" s="15"/>
      <c r="J28" s="15"/>
      <c r="K28" s="23"/>
      <c r="L28" s="15"/>
      <c r="M28" s="15"/>
      <c r="N28" s="15"/>
      <c r="O28" s="15"/>
      <c r="P28" s="15"/>
      <c r="Q28" s="15"/>
      <c r="R28" s="15"/>
      <c r="S28" s="15"/>
      <c r="T28" s="15"/>
      <c r="U28" s="15"/>
    </row>
    <row r="29" spans="1:40" s="7" customFormat="1" ht="27" x14ac:dyDescent="0.2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5905</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4279</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7605</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3851</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6418</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1843</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5974</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5490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2565</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7887</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2946</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2881</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3398</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5694</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2991</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3799</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5813</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1390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9596</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716</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5905</v>
      </c>
      <c r="C57" s="8">
        <f t="shared" ref="C57:U57" si="13">D8</f>
        <v>4279</v>
      </c>
      <c r="D57" s="8">
        <f t="shared" si="13"/>
        <v>7605</v>
      </c>
      <c r="E57" s="8">
        <f t="shared" si="13"/>
        <v>3851</v>
      </c>
      <c r="F57" s="8">
        <f t="shared" si="13"/>
        <v>6418</v>
      </c>
      <c r="G57" s="8">
        <f t="shared" si="13"/>
        <v>1843</v>
      </c>
      <c r="H57" s="8">
        <f t="shared" si="13"/>
        <v>5974</v>
      </c>
      <c r="I57" s="8">
        <f t="shared" si="13"/>
        <v>5490</v>
      </c>
      <c r="J57" s="8">
        <f t="shared" si="13"/>
        <v>2565</v>
      </c>
      <c r="K57" s="8">
        <f t="shared" si="13"/>
        <v>7887</v>
      </c>
      <c r="L57" s="8">
        <f t="shared" si="13"/>
        <v>2946</v>
      </c>
      <c r="M57" s="8">
        <f t="shared" si="13"/>
        <v>2881</v>
      </c>
      <c r="N57" s="8">
        <f t="shared" si="13"/>
        <v>3398</v>
      </c>
      <c r="O57" s="8">
        <f t="shared" si="13"/>
        <v>5694</v>
      </c>
      <c r="P57" s="8">
        <f t="shared" si="13"/>
        <v>2991</v>
      </c>
      <c r="Q57" s="8">
        <f t="shared" si="13"/>
        <v>3799</v>
      </c>
      <c r="R57" s="8">
        <f t="shared" si="13"/>
        <v>5813</v>
      </c>
      <c r="S57" s="8">
        <f t="shared" si="13"/>
        <v>1390</v>
      </c>
      <c r="T57" s="8">
        <f t="shared" si="13"/>
        <v>9596</v>
      </c>
      <c r="U57" s="8">
        <f t="shared" si="13"/>
        <v>716</v>
      </c>
    </row>
    <row r="58" spans="1:35" s="19" customFormat="1" x14ac:dyDescent="0.25">
      <c r="A58" s="92" t="s">
        <v>136</v>
      </c>
      <c r="B58" s="13" t="str">
        <f>C16&amp;" I "&amp;(VLOOKUP(C14,Table2456[],6,FALSE))</f>
        <v>Medium/Clay I Grass</v>
      </c>
      <c r="C58" s="13" t="str">
        <f>D16&amp;" I "&amp;(VLOOKUP(D14,Table2456[],6,FALSE))</f>
        <v>Medium/Clay I Grass</v>
      </c>
      <c r="D58" s="13" t="str">
        <f>E16&amp;" I "&amp;(VLOOKUP(E14,Table2456[],6,FALSE))</f>
        <v>Medium/Clay I Grass</v>
      </c>
      <c r="E58" s="13" t="str">
        <f>F16&amp;" I "&amp;(VLOOKUP(F14,Table2456[],6,FALSE))</f>
        <v>Medium/Clay I Grass</v>
      </c>
      <c r="F58" s="13" t="str">
        <f>G16&amp;" I "&amp;(VLOOKUP(G14,Table2456[],6,FALSE))</f>
        <v>Medium/Clay I Grass</v>
      </c>
      <c r="G58" s="13" t="str">
        <f>H16&amp;" I "&amp;(VLOOKUP(H14,Table2456[],6,FALSE))</f>
        <v>Medium/Clay I Grass</v>
      </c>
      <c r="H58" s="13" t="str">
        <f>I16&amp;" I "&amp;(VLOOKUP(I14,Table2456[],6,FALSE))</f>
        <v>Medium/Clay I Grass</v>
      </c>
      <c r="I58" s="13" t="str">
        <f>J16&amp;" I "&amp;(VLOOKUP(J14,Table2456[],6,FALSE))</f>
        <v>Medium/Clay I Grass</v>
      </c>
      <c r="J58" s="13" t="str">
        <f>K16&amp;" I "&amp;(VLOOKUP(K14,Table2456[],6,FALSE))</f>
        <v>Medium/Clay I Grass</v>
      </c>
      <c r="K58" s="13" t="str">
        <f>L16&amp;" I "&amp;(VLOOKUP(L14,Table2456[],6,FALSE))</f>
        <v>Medium/Clay I Grass</v>
      </c>
      <c r="L58" s="13" t="str">
        <f>M16&amp;" I "&amp;(VLOOKUP(M14,Table2456[],6,FALSE))</f>
        <v>Medium/Clay I Grass</v>
      </c>
      <c r="M58" s="13" t="str">
        <f>N16&amp;" I "&amp;(VLOOKUP(N14,Table2456[],6,FALSE))</f>
        <v>Medium/Clay I Grass</v>
      </c>
      <c r="N58" s="13" t="str">
        <f>O16&amp;" I "&amp;(VLOOKUP(O14,Table2456[],6,FALSE))</f>
        <v>Medium/Clay I Grass</v>
      </c>
      <c r="O58" s="13" t="str">
        <f>P16&amp;" I "&amp;(VLOOKUP(P14,Table2456[],6,FALSE))</f>
        <v>Medium/Clay I Grass</v>
      </c>
      <c r="P58" s="13" t="str">
        <f>Q16&amp;" I "&amp;(VLOOKUP(Q14,Table2456[],6,FALSE))</f>
        <v>Medium/Clay I Grass</v>
      </c>
      <c r="Q58" s="13" t="str">
        <f>R16&amp;" I "&amp;(VLOOKUP(R14,Table2456[],6,FALSE))</f>
        <v>Medium/Clay I Grass</v>
      </c>
      <c r="R58" s="13" t="str">
        <f>S16&amp;" I "&amp;(VLOOKUP(S14,Table2456[],6,FALSE))</f>
        <v>Medium/Clay I Grass</v>
      </c>
      <c r="S58" s="13" t="str">
        <f>T16&amp;" I "&amp;(VLOOKUP(T14,Table2456[],6,FALSE))</f>
        <v>Medium/Clay I Grass</v>
      </c>
      <c r="T58" s="13" t="str">
        <f>U16&amp;" I "&amp;(VLOOKUP(U14,Table2456[],6,FALSE))</f>
        <v>Medium/Clay I Grass</v>
      </c>
      <c r="U58" s="13" t="str">
        <f>V16&amp;" I "&amp;(VLOOKUP(V14,Table2456[],6,FALSE))</f>
        <v>Medium/Clay I Grass</v>
      </c>
    </row>
    <row r="59" spans="1:35" s="19" customFormat="1" x14ac:dyDescent="0.2">
      <c r="A59" s="111" t="s">
        <v>132</v>
      </c>
      <c r="B59" s="76">
        <f>VLOOKUP(C$14,Table2456[],5,FALSE)</f>
        <v>6.2</v>
      </c>
      <c r="C59" s="76">
        <f>VLOOKUP(D$14,Table2456[],5,FALSE)</f>
        <v>6.2</v>
      </c>
      <c r="D59" s="76">
        <f>VLOOKUP(E$14,Table2456[],5,FALSE)</f>
        <v>6.2</v>
      </c>
      <c r="E59" s="76">
        <f>VLOOKUP(F$14,Table2456[],5,FALSE)</f>
        <v>6.2</v>
      </c>
      <c r="F59" s="76">
        <f>VLOOKUP(G$14,Table2456[],5,FALSE)</f>
        <v>6.2</v>
      </c>
      <c r="G59" s="76">
        <f>VLOOKUP(H$14,Table2456[],5,FALSE)</f>
        <v>6.2</v>
      </c>
      <c r="H59" s="76">
        <f>VLOOKUP(I$14,Table2456[],5,FALSE)</f>
        <v>6.2</v>
      </c>
      <c r="I59" s="76">
        <f>VLOOKUP(J$14,Table2456[],5,FALSE)</f>
        <v>6.2</v>
      </c>
      <c r="J59" s="76">
        <f>VLOOKUP(K$14,Table2456[],5,FALSE)</f>
        <v>6.2</v>
      </c>
      <c r="K59" s="76">
        <f>VLOOKUP(L$14,Table2456[],5,FALSE)</f>
        <v>6.2</v>
      </c>
      <c r="L59" s="76">
        <f>VLOOKUP(M$14,Table2456[],5,FALSE)</f>
        <v>6.2</v>
      </c>
      <c r="M59" s="76">
        <f>VLOOKUP(N$14,Table2456[],5,FALSE)</f>
        <v>6.2</v>
      </c>
      <c r="N59" s="76">
        <f>VLOOKUP(O$14,Table2456[],5,FALSE)</f>
        <v>6.2</v>
      </c>
      <c r="O59" s="76">
        <f>VLOOKUP(P$14,Table2456[],5,FALSE)</f>
        <v>6.2</v>
      </c>
      <c r="P59" s="76">
        <f>VLOOKUP(Q$14,Table2456[],5,FALSE)</f>
        <v>6.2</v>
      </c>
      <c r="Q59" s="76">
        <f>VLOOKUP(R$14,Table2456[],5,FALSE)</f>
        <v>6.2</v>
      </c>
      <c r="R59" s="76">
        <f>VLOOKUP(S$14,Table2456[],5,FALSE)</f>
        <v>6.2</v>
      </c>
      <c r="S59" s="76">
        <f>VLOOKUP(T$14,Table2456[],5,FALSE)</f>
        <v>6.2</v>
      </c>
      <c r="T59" s="76">
        <f>VLOOKUP(U$14,Table2456[],5,FALSE)</f>
        <v>6.2</v>
      </c>
      <c r="U59" s="76">
        <f>VLOOKUP(V$14,Table2456[],5,FALSE)</f>
        <v>6.2</v>
      </c>
    </row>
    <row r="60" spans="1:35" s="19" customFormat="1" x14ac:dyDescent="0.2">
      <c r="A60" s="111" t="s">
        <v>4</v>
      </c>
      <c r="B60" s="76">
        <f>C10</f>
        <v>6.2</v>
      </c>
      <c r="C60" s="76">
        <f t="shared" ref="C60:U60" si="14">D10</f>
        <v>5.6</v>
      </c>
      <c r="D60" s="76">
        <f t="shared" si="14"/>
        <v>6.3</v>
      </c>
      <c r="E60" s="76">
        <f t="shared" si="14"/>
        <v>6</v>
      </c>
      <c r="F60" s="76">
        <f t="shared" si="14"/>
        <v>5.8</v>
      </c>
      <c r="G60" s="76">
        <f t="shared" si="14"/>
        <v>5.3</v>
      </c>
      <c r="H60" s="76">
        <f t="shared" si="14"/>
        <v>6</v>
      </c>
      <c r="I60" s="76">
        <f t="shared" si="14"/>
        <v>6.1</v>
      </c>
      <c r="J60" s="76">
        <f t="shared" si="14"/>
        <v>5.5</v>
      </c>
      <c r="K60" s="76">
        <f t="shared" si="14"/>
        <v>6.1</v>
      </c>
      <c r="L60" s="76">
        <f t="shared" si="14"/>
        <v>5.5</v>
      </c>
      <c r="M60" s="76">
        <f t="shared" si="14"/>
        <v>5.6</v>
      </c>
      <c r="N60" s="76">
        <f t="shared" si="14"/>
        <v>5.9</v>
      </c>
      <c r="O60" s="76">
        <f t="shared" si="14"/>
        <v>6.5</v>
      </c>
      <c r="P60" s="76">
        <f t="shared" si="14"/>
        <v>5.7</v>
      </c>
      <c r="Q60" s="76">
        <f t="shared" si="14"/>
        <v>6.4</v>
      </c>
      <c r="R60" s="76">
        <f t="shared" si="14"/>
        <v>6.7</v>
      </c>
      <c r="S60" s="76">
        <f t="shared" si="14"/>
        <v>5.4</v>
      </c>
      <c r="T60" s="76">
        <f t="shared" si="14"/>
        <v>5.5</v>
      </c>
      <c r="U60" s="76">
        <f t="shared" si="14"/>
        <v>6.4</v>
      </c>
    </row>
    <row r="61" spans="1:35" s="19" customFormat="1" x14ac:dyDescent="0.2">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f t="shared" si="15"/>
        <v>6</v>
      </c>
      <c r="R61" s="76">
        <f t="shared" si="15"/>
        <v>6</v>
      </c>
      <c r="S61" s="76">
        <f t="shared" si="15"/>
        <v>6</v>
      </c>
      <c r="T61" s="76">
        <f t="shared" si="15"/>
        <v>6</v>
      </c>
      <c r="U61" s="76">
        <f t="shared" si="15"/>
        <v>6</v>
      </c>
    </row>
    <row r="62" spans="1:35" s="19" customFormat="1" x14ac:dyDescent="0.2">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0</v>
      </c>
      <c r="C64" s="77">
        <f t="shared" ref="C64:U64" si="17">(C59-C60)*C61</f>
        <v>3.6000000000000032</v>
      </c>
      <c r="D64" s="77">
        <f t="shared" si="17"/>
        <v>-0.59999999999999787</v>
      </c>
      <c r="E64" s="77">
        <f t="shared" si="17"/>
        <v>1.2000000000000011</v>
      </c>
      <c r="F64" s="77">
        <f t="shared" si="17"/>
        <v>2.4000000000000021</v>
      </c>
      <c r="G64" s="77">
        <f t="shared" si="17"/>
        <v>5.4000000000000021</v>
      </c>
      <c r="H64" s="77">
        <f t="shared" si="17"/>
        <v>1.2000000000000011</v>
      </c>
      <c r="I64" s="77">
        <f t="shared" si="17"/>
        <v>0.6000000000000032</v>
      </c>
      <c r="J64" s="77">
        <f t="shared" si="17"/>
        <v>4.2000000000000011</v>
      </c>
      <c r="K64" s="77">
        <f t="shared" si="17"/>
        <v>0.6000000000000032</v>
      </c>
      <c r="L64" s="77">
        <f t="shared" si="17"/>
        <v>4.2000000000000011</v>
      </c>
      <c r="M64" s="77">
        <f t="shared" si="17"/>
        <v>3.6000000000000032</v>
      </c>
      <c r="N64" s="77">
        <f t="shared" si="17"/>
        <v>1.7999999999999989</v>
      </c>
      <c r="O64" s="77">
        <f t="shared" si="17"/>
        <v>-1.7999999999999989</v>
      </c>
      <c r="P64" s="77">
        <f t="shared" si="17"/>
        <v>3</v>
      </c>
      <c r="Q64" s="77">
        <f t="shared" si="17"/>
        <v>-1.2000000000000011</v>
      </c>
      <c r="R64" s="77">
        <f t="shared" si="17"/>
        <v>-3</v>
      </c>
      <c r="S64" s="77">
        <f t="shared" si="17"/>
        <v>4.7999999999999989</v>
      </c>
      <c r="T64" s="77">
        <f t="shared" si="17"/>
        <v>4.2000000000000011</v>
      </c>
      <c r="U64" s="77">
        <f t="shared" si="17"/>
        <v>-1.2000000000000011</v>
      </c>
    </row>
    <row r="65" spans="1:21" s="19" customFormat="1" ht="51" x14ac:dyDescent="0.2">
      <c r="A65" s="112" t="s">
        <v>157</v>
      </c>
      <c r="B65" s="77">
        <f>B63-B64</f>
        <v>0</v>
      </c>
      <c r="C65" s="77">
        <f t="shared" ref="C65:U65" si="18">C63-C64</f>
        <v>-3.6000000000000032</v>
      </c>
      <c r="D65" s="77">
        <f t="shared" si="18"/>
        <v>0.59999999999999787</v>
      </c>
      <c r="E65" s="77">
        <f t="shared" si="18"/>
        <v>-1.2000000000000011</v>
      </c>
      <c r="F65" s="77">
        <f t="shared" si="18"/>
        <v>-2.4000000000000021</v>
      </c>
      <c r="G65" s="77">
        <f t="shared" si="18"/>
        <v>-5.4000000000000021</v>
      </c>
      <c r="H65" s="77">
        <f t="shared" si="18"/>
        <v>-1.2000000000000011</v>
      </c>
      <c r="I65" s="77">
        <f t="shared" si="18"/>
        <v>-0.6000000000000032</v>
      </c>
      <c r="J65" s="77">
        <f t="shared" si="18"/>
        <v>-4.2000000000000011</v>
      </c>
      <c r="K65" s="77">
        <f t="shared" si="18"/>
        <v>-0.6000000000000032</v>
      </c>
      <c r="L65" s="77">
        <f t="shared" si="18"/>
        <v>-4.2000000000000011</v>
      </c>
      <c r="M65" s="77">
        <f t="shared" si="18"/>
        <v>-3.6000000000000032</v>
      </c>
      <c r="N65" s="77">
        <f t="shared" si="18"/>
        <v>-1.7999999999999989</v>
      </c>
      <c r="O65" s="77">
        <f t="shared" si="18"/>
        <v>1.7999999999999989</v>
      </c>
      <c r="P65" s="77">
        <f t="shared" si="18"/>
        <v>-3</v>
      </c>
      <c r="Q65" s="77">
        <f t="shared" si="18"/>
        <v>1.2000000000000011</v>
      </c>
      <c r="R65" s="77">
        <f t="shared" si="18"/>
        <v>3</v>
      </c>
      <c r="S65" s="77">
        <f t="shared" si="18"/>
        <v>-4.7999999999999989</v>
      </c>
      <c r="T65" s="77">
        <f t="shared" si="18"/>
        <v>-4.2000000000000011</v>
      </c>
      <c r="U65" s="77">
        <f t="shared" si="18"/>
        <v>1.2000000000000011</v>
      </c>
    </row>
    <row r="66" spans="1:21" s="19" customFormat="1" ht="38.25" x14ac:dyDescent="0.2">
      <c r="A66" s="112" t="s">
        <v>148</v>
      </c>
      <c r="B66" s="78" t="str">
        <f>IF(B64&lt;=B63,"OVER","UNDER")</f>
        <v>OVER</v>
      </c>
      <c r="C66" s="78" t="str">
        <f t="shared" ref="C66:U66" si="19">IF(C64&lt;=C63,"OVER","UNDER")</f>
        <v>UNDER</v>
      </c>
      <c r="D66" s="78" t="str">
        <f t="shared" si="19"/>
        <v>OVER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str">
        <f t="shared" si="19"/>
        <v>UNDER</v>
      </c>
      <c r="N66" s="78" t="str">
        <f t="shared" si="19"/>
        <v>UNDER</v>
      </c>
      <c r="O66" s="78" t="str">
        <f t="shared" si="19"/>
        <v>OVER</v>
      </c>
      <c r="P66" s="78" t="str">
        <f t="shared" si="19"/>
        <v>UNDER</v>
      </c>
      <c r="Q66" s="78" t="str">
        <f t="shared" si="19"/>
        <v>OVER</v>
      </c>
      <c r="R66" s="78" t="str">
        <f t="shared" si="19"/>
        <v>OVER</v>
      </c>
      <c r="S66" s="78" t="str">
        <f t="shared" si="19"/>
        <v>UNDER</v>
      </c>
      <c r="T66" s="78" t="str">
        <f t="shared" si="19"/>
        <v>UNDER</v>
      </c>
      <c r="U66" s="78" t="str">
        <f t="shared" si="19"/>
        <v>OVER</v>
      </c>
    </row>
  </sheetData>
  <sheetProtection algorithmName="SHA-512" hashValue="LbNX3pu7mu+btv/24l8nIAtmvkAeq8FOCZ+BIlujiazYRvETHcZRjHFuOgM2Ztoo4+6ooeT4sFIrnDMhSdT0OA==" saltValue="D7G18kZu4c2i9GagKbzlz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41" priority="37" operator="equal">
      <formula>"DECREASE"</formula>
    </cfRule>
    <cfRule type="cellIs" dxfId="40" priority="38" operator="equal">
      <formula>"INCREASE"</formula>
    </cfRule>
  </conditionalFormatting>
  <conditionalFormatting sqref="B31:B50 B62:U66">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40625" defaultRowHeight="12.75" x14ac:dyDescent="0.2"/>
  <cols>
    <col min="1" max="13" width="9.140625" style="79"/>
    <col min="14" max="14" width="9.7109375" style="79" bestFit="1" customWidth="1"/>
    <col min="15" max="19" width="9.140625" style="79"/>
    <col min="20" max="20" width="10" style="79" bestFit="1" customWidth="1"/>
    <col min="21" max="16384" width="9.140625" style="79"/>
  </cols>
  <sheetData>
    <row r="1" spans="1:21" ht="38.25" x14ac:dyDescent="0.2">
      <c r="A1" s="144" t="s">
        <v>84</v>
      </c>
      <c r="B1" s="38" t="str">
        <f>Secanim!B29</f>
        <v>Application Rate</v>
      </c>
      <c r="C1" s="38" t="str">
        <f>Secanim!C29</f>
        <v>Nitrogen Addition</v>
      </c>
      <c r="D1" s="38" t="str">
        <f>Secanim!D29</f>
        <v>Phosphate Addition</v>
      </c>
      <c r="E1" s="38" t="str">
        <f>Secanim!E29</f>
        <v>Potash  Addition</v>
      </c>
      <c r="F1" s="38" t="str">
        <f>Secanim!F29</f>
        <v>Mg Oxide Addition</v>
      </c>
      <c r="G1" s="38" t="str">
        <f>Secanim!G29</f>
        <v>Copper Addition</v>
      </c>
      <c r="H1" s="38" t="str">
        <f>Secanim!H29</f>
        <v>Zinc Addition</v>
      </c>
      <c r="I1" s="38" t="str">
        <f>Secanim!I29</f>
        <v>Lead Addition</v>
      </c>
      <c r="J1" s="38" t="str">
        <f>Secanim!J29</f>
        <v>Cadmium Addition</v>
      </c>
      <c r="K1" s="38" t="str">
        <f>Secanim!K29</f>
        <v>Mercury Addition</v>
      </c>
      <c r="L1" s="38" t="str">
        <f>Secanim!L29</f>
        <v>Nickel Addition</v>
      </c>
      <c r="M1" s="38" t="str">
        <f>Secanim!M29</f>
        <v>Chromium Addition</v>
      </c>
      <c r="N1" s="38" t="str">
        <f>Secanim!N29</f>
        <v>Aluminium Addition</v>
      </c>
      <c r="O1" s="38" t="str">
        <f>Secanim!O29</f>
        <v>Iron Addition</v>
      </c>
      <c r="P1" s="38" t="str">
        <f>Secanim!P29</f>
        <v xml:space="preserve">Sodium Addition                 </v>
      </c>
      <c r="Q1" s="38" t="str">
        <f>Secanim!Q29</f>
        <v>SO3  Addition                             kg/ha</v>
      </c>
      <c r="R1" s="38" t="str">
        <f>Secanim!R29</f>
        <v xml:space="preserve">Selenium Addition </v>
      </c>
      <c r="S1" s="38" t="str">
        <f>Secanim!S29</f>
        <v xml:space="preserve">Arsenic  Addition  </v>
      </c>
      <c r="T1" s="38" t="str">
        <f>Secanim!T29</f>
        <v xml:space="preserve">Molybdenum Addition  </v>
      </c>
      <c r="U1" s="38" t="str">
        <f>Secanim!U29</f>
        <v xml:space="preserve">Fluoride Addition </v>
      </c>
    </row>
    <row r="2" spans="1:21" ht="25.5" x14ac:dyDescent="0.2">
      <c r="A2" s="144"/>
      <c r="B2" s="38" t="str">
        <f>Secanim!B30</f>
        <v>tonnes/ha</v>
      </c>
      <c r="C2" s="38" t="str">
        <f>Secanim!C30</f>
        <v>kg/ha</v>
      </c>
      <c r="D2" s="38" t="str">
        <f>Secanim!D30</f>
        <v>P2O5 
kg/ha</v>
      </c>
      <c r="E2" s="38" t="str">
        <f>Secanim!E30</f>
        <v>K2O 
kg/ha</v>
      </c>
      <c r="F2" s="38" t="str">
        <f>Secanim!F30</f>
        <v>MgO 
kg/ha</v>
      </c>
      <c r="G2" s="38" t="str">
        <f>Secanim!G30</f>
        <v>kg/ha</v>
      </c>
      <c r="H2" s="38" t="str">
        <f>Secanim!H30</f>
        <v>kg/ha</v>
      </c>
      <c r="I2" s="38" t="str">
        <f>Secanim!I30</f>
        <v>kg/ha</v>
      </c>
      <c r="J2" s="38" t="str">
        <f>Secanim!J30</f>
        <v>kg/ha</v>
      </c>
      <c r="K2" s="38" t="str">
        <f>Secanim!K30</f>
        <v>kg/ha</v>
      </c>
      <c r="L2" s="38" t="str">
        <f>Secanim!L30</f>
        <v>kg/ha</v>
      </c>
      <c r="M2" s="38" t="str">
        <f>Secanim!M30</f>
        <v>kg/ha</v>
      </c>
      <c r="N2" s="38" t="str">
        <f>Secanim!N30</f>
        <v>kg/ha</v>
      </c>
      <c r="O2" s="38" t="str">
        <f>Secanim!O30</f>
        <v>kg/ha</v>
      </c>
      <c r="P2" s="38" t="str">
        <f>Secanim!P30</f>
        <v>kg/ha</v>
      </c>
      <c r="Q2" s="38" t="str">
        <f>Secanim!Q30</f>
        <v>kg/ha</v>
      </c>
      <c r="R2" s="38" t="str">
        <f>Secanim!R30</f>
        <v>kg/ha</v>
      </c>
      <c r="S2" s="38" t="str">
        <f>Secanim!S30</f>
        <v>kg/ha</v>
      </c>
      <c r="T2" s="38" t="str">
        <f>Secanim!T30</f>
        <v>kg/ha</v>
      </c>
      <c r="U2" s="38" t="str">
        <f>Secanim!U30</f>
        <v>kg/ha</v>
      </c>
    </row>
    <row r="3" spans="1:21" x14ac:dyDescent="0.2">
      <c r="A3" s="36">
        <v>1</v>
      </c>
      <c r="B3" s="33">
        <f>Secanim!B31</f>
        <v>32</v>
      </c>
      <c r="C3" s="33">
        <f>Secanim!C31</f>
        <v>96</v>
      </c>
      <c r="D3" s="33">
        <f>Secanim!D31</f>
        <v>63.341567999999995</v>
      </c>
      <c r="E3" s="33">
        <f>Secanim!E31</f>
        <v>20.128320000000002</v>
      </c>
      <c r="F3" s="33">
        <f>Secanim!F31</f>
        <v>3.3372223999999999</v>
      </c>
      <c r="G3" s="33">
        <f>Secanim!G31</f>
        <v>7.4880000000000002E-2</v>
      </c>
      <c r="H3" s="33">
        <f>Secanim!H31</f>
        <v>1.8208</v>
      </c>
      <c r="I3" s="33">
        <f>Secanim!I31</f>
        <v>0.10272000000000001</v>
      </c>
      <c r="J3" s="33">
        <f>Secanim!J31</f>
        <v>1.6000000000000001E-3</v>
      </c>
      <c r="K3" s="33">
        <f>Secanim!K31</f>
        <v>1.6000000000000001E-3</v>
      </c>
      <c r="L3" s="33">
        <f>Secanim!L31</f>
        <v>2.4960000000000003E-2</v>
      </c>
      <c r="M3" s="33">
        <f>Secanim!M31</f>
        <v>2.9760000000000002E-2</v>
      </c>
      <c r="N3" s="33">
        <f>Secanim!N31</f>
        <v>0</v>
      </c>
      <c r="O3" s="33">
        <f>Secanim!O31</f>
        <v>0</v>
      </c>
      <c r="P3" s="33">
        <f>Secanim!P31</f>
        <v>48.864000000000004</v>
      </c>
      <c r="Q3" s="33">
        <f>Secanim!Q31</f>
        <v>71.52</v>
      </c>
      <c r="R3" s="33">
        <f>Secanim!R31</f>
        <v>0</v>
      </c>
      <c r="S3" s="33">
        <f>Secanim!S31</f>
        <v>0</v>
      </c>
      <c r="T3" s="33">
        <f>Secanim!T31</f>
        <v>0</v>
      </c>
      <c r="U3" s="33">
        <f>Secanim!U31</f>
        <v>0</v>
      </c>
    </row>
    <row r="4" spans="1:21" x14ac:dyDescent="0.2">
      <c r="A4" s="36">
        <v>2</v>
      </c>
      <c r="B4" s="33">
        <f>'Croda Goole'!B31</f>
        <v>132</v>
      </c>
      <c r="C4" s="33">
        <f>'Croda Goole'!C31</f>
        <v>92.4</v>
      </c>
      <c r="D4" s="33">
        <f>'Croda Goole'!D31</f>
        <v>63.204107999999991</v>
      </c>
      <c r="E4" s="33">
        <f>'Croda Goole'!E31</f>
        <v>10.736550000000001</v>
      </c>
      <c r="F4" s="33">
        <f>'Croda Goole'!F31</f>
        <v>5.5370567999999993</v>
      </c>
      <c r="G4" s="33">
        <f>'Croda Goole'!G31</f>
        <v>6.2039999999999998E-2</v>
      </c>
      <c r="H4" s="33">
        <f>'Croda Goole'!H31</f>
        <v>0.93588000000000005</v>
      </c>
      <c r="I4" s="33">
        <f>'Croda Goole'!I31</f>
        <v>6.6000000000000003E-2</v>
      </c>
      <c r="J4" s="33">
        <f>'Croda Goole'!J31</f>
        <v>1.3200000000000002E-3</v>
      </c>
      <c r="K4" s="33">
        <f>'Croda Goole'!K31</f>
        <v>6.6E-3</v>
      </c>
      <c r="L4" s="33">
        <f>'Croda Goole'!L31</f>
        <v>3.0360000000000002E-2</v>
      </c>
      <c r="M4" s="33">
        <f>'Croda Goole'!M31</f>
        <v>0.26400000000000001</v>
      </c>
      <c r="N4" s="33">
        <f>'Croda Goole'!N31</f>
        <v>0</v>
      </c>
      <c r="O4" s="33">
        <f>'Croda Goole'!O31</f>
        <v>0</v>
      </c>
      <c r="P4" s="33">
        <f>'Croda Goole'!P31</f>
        <v>372.108</v>
      </c>
      <c r="Q4" s="33">
        <f>'Croda Goole'!Q31</f>
        <v>420.75</v>
      </c>
      <c r="R4" s="33">
        <f>'Croda Goole'!R31</f>
        <v>0</v>
      </c>
      <c r="S4" s="33">
        <f>'Croda Goole'!S31</f>
        <v>0</v>
      </c>
      <c r="T4" s="33">
        <f>'Croda Goole'!T31</f>
        <v>0</v>
      </c>
      <c r="U4" s="33">
        <f>'Croda Goole'!U31</f>
        <v>0</v>
      </c>
    </row>
    <row r="5" spans="1:21" x14ac:dyDescent="0.2">
      <c r="A5" s="36">
        <v>3</v>
      </c>
      <c r="B5" s="33">
        <f>'Croda Widnes'!B31</f>
        <v>130</v>
      </c>
      <c r="C5" s="33">
        <f>'Croda Widnes'!C31</f>
        <v>143</v>
      </c>
      <c r="D5" s="33">
        <f>'Croda Widnes'!D31</f>
        <v>49.141949999999994</v>
      </c>
      <c r="E5" s="33">
        <f>'Croda Widnes'!E31</f>
        <v>14.615445000000001</v>
      </c>
      <c r="F5" s="33">
        <f>'Croda Widnes'!F31</f>
        <v>17.221646000000003</v>
      </c>
      <c r="G5" s="33">
        <f>'Croda Widnes'!G31</f>
        <v>8.8919999999999999E-2</v>
      </c>
      <c r="H5" s="33">
        <f>'Croda Widnes'!H31</f>
        <v>0.49269999999999997</v>
      </c>
      <c r="I5" s="33">
        <f>'Croda Widnes'!I31</f>
        <v>6.5000000000000002E-2</v>
      </c>
      <c r="J5" s="33">
        <f>'Croda Widnes'!J31</f>
        <v>1.3000000000000002E-3</v>
      </c>
      <c r="K5" s="33">
        <f>'Croda Widnes'!K31</f>
        <v>6.5000000000000006E-3</v>
      </c>
      <c r="L5" s="33">
        <f>'Croda Widnes'!L31</f>
        <v>2.6000000000000002E-2</v>
      </c>
      <c r="M5" s="33">
        <f>'Croda Widnes'!M31</f>
        <v>2.9380000000000003E-2</v>
      </c>
      <c r="N5" s="33">
        <f>'Croda Widnes'!N31</f>
        <v>0</v>
      </c>
      <c r="O5" s="33">
        <f>'Croda Widnes'!O31</f>
        <v>0</v>
      </c>
      <c r="P5" s="33">
        <f>'Croda Widnes'!P31</f>
        <v>43.68</v>
      </c>
      <c r="Q5" s="33">
        <f>'Croda Widnes'!Q31</f>
        <v>63.375</v>
      </c>
      <c r="R5" s="33">
        <f>'Croda Widnes'!R31</f>
        <v>0</v>
      </c>
      <c r="S5" s="33">
        <f>'Croda Widnes'!S31</f>
        <v>0</v>
      </c>
      <c r="T5" s="33">
        <f>'Croda Widnes'!T31</f>
        <v>0</v>
      </c>
      <c r="U5" s="33">
        <f>'Croda Widnes'!U31</f>
        <v>0</v>
      </c>
    </row>
    <row r="6" spans="1:21" x14ac:dyDescent="0.2">
      <c r="A6" s="36">
        <v>4</v>
      </c>
      <c r="B6" s="33">
        <f>Maelor!B31</f>
        <v>39</v>
      </c>
      <c r="C6" s="33">
        <f>Maelor!C31</f>
        <v>132.60000000000002</v>
      </c>
      <c r="D6" s="33">
        <f>Maelor!D31</f>
        <v>63.705836999999995</v>
      </c>
      <c r="E6" s="33">
        <f>Maelor!E31</f>
        <v>8.0361450000000012</v>
      </c>
      <c r="F6" s="33">
        <f>Maelor!F31</f>
        <v>11.121864</v>
      </c>
      <c r="G6" s="33">
        <f>Maelor!G31</f>
        <v>0.12909000000000001</v>
      </c>
      <c r="H6" s="33">
        <f>Maelor!H31</f>
        <v>0.71760000000000002</v>
      </c>
      <c r="I6" s="33">
        <f>Maelor!I31</f>
        <v>1.95E-2</v>
      </c>
      <c r="J6" s="33">
        <f>Maelor!J31</f>
        <v>3.9000000000000005E-4</v>
      </c>
      <c r="K6" s="33">
        <f>Maelor!K31</f>
        <v>1.9500000000000001E-3</v>
      </c>
      <c r="L6" s="33">
        <f>Maelor!L31</f>
        <v>5.3430000000000005E-2</v>
      </c>
      <c r="M6" s="33">
        <f>Maelor!M31</f>
        <v>3.5100000000000006E-2</v>
      </c>
      <c r="N6" s="33">
        <f>Maelor!N31</f>
        <v>0</v>
      </c>
      <c r="O6" s="33">
        <f>Maelor!O31</f>
        <v>0</v>
      </c>
      <c r="P6" s="33">
        <f>Maelor!P31</f>
        <v>33.384</v>
      </c>
      <c r="Q6" s="33">
        <f>Maelor!Q31</f>
        <v>51.3825</v>
      </c>
      <c r="R6" s="33">
        <f>Maelor!R31</f>
        <v>0</v>
      </c>
      <c r="S6" s="33">
        <f>Maelor!S31</f>
        <v>0</v>
      </c>
      <c r="T6" s="33">
        <f>Maelor!T31</f>
        <v>0</v>
      </c>
      <c r="U6" s="33">
        <f>Maelor!U31</f>
        <v>0</v>
      </c>
    </row>
    <row r="7" spans="1:21" x14ac:dyDescent="0.2">
      <c r="A7" s="36">
        <v>5</v>
      </c>
      <c r="B7" s="33">
        <f>Encirc!B31</f>
        <v>0</v>
      </c>
      <c r="C7" s="33">
        <f>Encirc!C31</f>
        <v>0</v>
      </c>
      <c r="D7" s="33">
        <f>Encirc!D31</f>
        <v>0</v>
      </c>
      <c r="E7" s="33">
        <f>Encirc!E31</f>
        <v>0</v>
      </c>
      <c r="F7" s="33">
        <f>Encirc!F31</f>
        <v>0</v>
      </c>
      <c r="G7" s="33">
        <f>Encirc!G31</f>
        <v>0</v>
      </c>
      <c r="H7" s="33">
        <f>Encirc!H31</f>
        <v>0</v>
      </c>
      <c r="I7" s="33">
        <f>Encirc!I31</f>
        <v>0</v>
      </c>
      <c r="J7" s="33">
        <f>Encirc!J31</f>
        <v>0</v>
      </c>
      <c r="K7" s="33">
        <f>Encirc!K31</f>
        <v>0</v>
      </c>
      <c r="L7" s="33">
        <f>Encirc!L31</f>
        <v>0</v>
      </c>
      <c r="M7" s="33">
        <f>Encirc!M31</f>
        <v>0</v>
      </c>
      <c r="N7" s="33">
        <f>Encirc!N31</f>
        <v>0</v>
      </c>
      <c r="O7" s="33">
        <f>Encirc!O31</f>
        <v>0</v>
      </c>
      <c r="P7" s="33">
        <f>Encirc!P31</f>
        <v>0</v>
      </c>
      <c r="Q7" s="33">
        <f>Encirc!Q31</f>
        <v>0</v>
      </c>
      <c r="R7" s="33">
        <f>Encirc!R31</f>
        <v>0</v>
      </c>
      <c r="S7" s="33">
        <f>Encirc!S31</f>
        <v>0</v>
      </c>
      <c r="T7" s="33">
        <f>Encirc!T31</f>
        <v>0</v>
      </c>
      <c r="U7" s="33">
        <f>Encirc!U31</f>
        <v>0</v>
      </c>
    </row>
    <row r="8" spans="1:21" x14ac:dyDescent="0.2">
      <c r="A8" s="36">
        <v>6</v>
      </c>
      <c r="B8" s="33">
        <f>'Beechdean Ice Cream'!B31</f>
        <v>250</v>
      </c>
      <c r="C8" s="33">
        <f>'Beechdean Ice Cream'!C31</f>
        <v>50</v>
      </c>
      <c r="D8" s="33">
        <f>'Beechdean Ice Cream'!D31</f>
        <v>27.7211</v>
      </c>
      <c r="E8" s="33">
        <f>'Beechdean Ice Cream'!E31</f>
        <v>28.227125000000001</v>
      </c>
      <c r="F8" s="33">
        <f>'Beechdean Ice Cream'!F31</f>
        <v>4.3936999999999999</v>
      </c>
      <c r="G8" s="33">
        <f>'Beechdean Ice Cream'!G31</f>
        <v>6.25E-2</v>
      </c>
      <c r="H8" s="33">
        <f>'Beechdean Ice Cream'!H31</f>
        <v>0.13500000000000001</v>
      </c>
      <c r="I8" s="33">
        <f>'Beechdean Ice Cream'!I31</f>
        <v>0.125</v>
      </c>
      <c r="J8" s="33">
        <f>'Beechdean Ice Cream'!J31</f>
        <v>2.5000000000000001E-3</v>
      </c>
      <c r="K8" s="33">
        <f>'Beechdean Ice Cream'!K31</f>
        <v>1.2500000000000001E-2</v>
      </c>
      <c r="L8" s="33">
        <f>'Beechdean Ice Cream'!L31</f>
        <v>0.05</v>
      </c>
      <c r="M8" s="33">
        <f>'Beechdean Ice Cream'!M31</f>
        <v>0.05</v>
      </c>
      <c r="N8" s="33">
        <f>'Beechdean Ice Cream'!N31</f>
        <v>0</v>
      </c>
      <c r="O8" s="33">
        <f>'Beechdean Ice Cream'!O31</f>
        <v>0</v>
      </c>
      <c r="P8" s="33">
        <f>'Beechdean Ice Cream'!P31</f>
        <v>60.75</v>
      </c>
      <c r="Q8" s="33">
        <f>'Beechdean Ice Cream'!Q31</f>
        <v>23.125</v>
      </c>
      <c r="R8" s="33">
        <f>'Beechdean Ice Cream'!R31</f>
        <v>0</v>
      </c>
      <c r="S8" s="33">
        <f>'Beechdean Ice Cream'!S31</f>
        <v>0</v>
      </c>
      <c r="T8" s="33">
        <f>'Beechdean Ice Cream'!T31</f>
        <v>0</v>
      </c>
      <c r="U8" s="33">
        <f>'Beechdean Ice Cream'!U31</f>
        <v>0</v>
      </c>
    </row>
    <row r="9" spans="1:21" x14ac:dyDescent="0.2">
      <c r="A9" s="36">
        <v>7</v>
      </c>
      <c r="B9" s="33">
        <f>'Penderyn Distillery'!B31</f>
        <v>142</v>
      </c>
      <c r="C9" s="33">
        <f>'Penderyn Distillery'!C31</f>
        <v>99.4</v>
      </c>
      <c r="D9" s="33">
        <f>'Penderyn Distillery'!D31</f>
        <v>64.413755999999992</v>
      </c>
      <c r="E9" s="33">
        <f>'Penderyn Distillery'!E31</f>
        <v>85.726110000000006</v>
      </c>
      <c r="F9" s="33">
        <f>'Penderyn Distillery'!F31</f>
        <v>16.433432799999999</v>
      </c>
      <c r="G9" s="33">
        <f>'Penderyn Distillery'!G31</f>
        <v>0.67024000000000006</v>
      </c>
      <c r="H9" s="33">
        <f>'Penderyn Distillery'!H31</f>
        <v>0.28684000000000004</v>
      </c>
      <c r="I9" s="33">
        <f>'Penderyn Distillery'!I31</f>
        <v>7.1000000000000008E-2</v>
      </c>
      <c r="J9" s="33">
        <f>'Penderyn Distillery'!J31</f>
        <v>1.42E-3</v>
      </c>
      <c r="K9" s="33">
        <f>'Penderyn Distillery'!K31</f>
        <v>7.1000000000000004E-3</v>
      </c>
      <c r="L9" s="33">
        <f>'Penderyn Distillery'!L31</f>
        <v>2.8400000000000002E-2</v>
      </c>
      <c r="M9" s="33">
        <f>'Penderyn Distillery'!M31</f>
        <v>2.8400000000000002E-2</v>
      </c>
      <c r="N9" s="33">
        <f>'Penderyn Distillery'!N31</f>
        <v>0</v>
      </c>
      <c r="O9" s="33">
        <f>'Penderyn Distillery'!O31</f>
        <v>0</v>
      </c>
      <c r="P9" s="33">
        <f>'Penderyn Distillery'!P31</f>
        <v>3.7345999999999999</v>
      </c>
      <c r="Q9" s="33">
        <f>'Penderyn Distillery'!Q31</f>
        <v>32.0565</v>
      </c>
      <c r="R9" s="33">
        <f>'Penderyn Distillery'!R31</f>
        <v>0</v>
      </c>
      <c r="S9" s="33">
        <f>'Penderyn Distillery'!S31</f>
        <v>0</v>
      </c>
      <c r="T9" s="33">
        <f>'Penderyn Distillery'!T31</f>
        <v>0</v>
      </c>
      <c r="U9" s="33">
        <f>'Penderyn Distillery'!U31</f>
        <v>0</v>
      </c>
    </row>
    <row r="10" spans="1:21" x14ac:dyDescent="0.2">
      <c r="A10" s="36">
        <v>8</v>
      </c>
      <c r="B10" s="33">
        <f>Kelloggs!B31</f>
        <v>52</v>
      </c>
      <c r="C10" s="33">
        <f>Kelloggs!C31</f>
        <v>166.4</v>
      </c>
      <c r="D10" s="33">
        <f>Kelloggs!D31</f>
        <v>62.663432</v>
      </c>
      <c r="E10" s="33">
        <f>Kelloggs!E31</f>
        <v>15.790319999999999</v>
      </c>
      <c r="F10" s="33">
        <f>Kelloggs!F31</f>
        <v>5.5609320000000002</v>
      </c>
      <c r="G10" s="33">
        <f>Kelloggs!G31</f>
        <v>6.291999999999999E-2</v>
      </c>
      <c r="H10" s="33">
        <f>Kelloggs!H31</f>
        <v>0.12116</v>
      </c>
      <c r="I10" s="33">
        <f>Kelloggs!I31</f>
        <v>2.6000000000000002E-2</v>
      </c>
      <c r="J10" s="33">
        <f>Kelloggs!J31</f>
        <v>5.2000000000000006E-4</v>
      </c>
      <c r="K10" s="33">
        <f>Kelloggs!K31</f>
        <v>2.6000000000000003E-3</v>
      </c>
      <c r="L10" s="33">
        <f>Kelloggs!L31</f>
        <v>1.0400000000000001E-2</v>
      </c>
      <c r="M10" s="33">
        <f>Kelloggs!M31</f>
        <v>2.4596E-2</v>
      </c>
      <c r="N10" s="33">
        <f>Kelloggs!N31</f>
        <v>0</v>
      </c>
      <c r="O10" s="33">
        <f>Kelloggs!O31</f>
        <v>0</v>
      </c>
      <c r="P10" s="33">
        <f>Kelloggs!P31</f>
        <v>3.2084000000000001</v>
      </c>
      <c r="Q10" s="33">
        <f>Kelloggs!Q31</f>
        <v>23.009999999999998</v>
      </c>
      <c r="R10" s="33">
        <f>Kelloggs!R31</f>
        <v>0</v>
      </c>
      <c r="S10" s="33">
        <f>Kelloggs!S31</f>
        <v>0</v>
      </c>
      <c r="T10" s="33">
        <f>Kelloggs!T31</f>
        <v>0</v>
      </c>
      <c r="U10" s="33">
        <f>Kelloggs!U31</f>
        <v>0</v>
      </c>
    </row>
    <row r="11" spans="1:21" x14ac:dyDescent="0.2">
      <c r="A11" s="36">
        <v>9</v>
      </c>
      <c r="B11" s="33">
        <f>'Waste 9'!B31</f>
        <v>0</v>
      </c>
      <c r="C11" s="33">
        <f>'Waste 9'!C31</f>
        <v>0</v>
      </c>
      <c r="D11" s="33">
        <f>'Waste 9'!D31</f>
        <v>0</v>
      </c>
      <c r="E11" s="33">
        <f>'Waste 9'!E31</f>
        <v>0</v>
      </c>
      <c r="F11" s="33">
        <f>'Waste 9'!F31</f>
        <v>0</v>
      </c>
      <c r="G11" s="33">
        <f>'Waste 9'!G31</f>
        <v>0</v>
      </c>
      <c r="H11" s="33">
        <f>'Waste 9'!H31</f>
        <v>0</v>
      </c>
      <c r="I11" s="33">
        <f>'Waste 9'!I31</f>
        <v>0</v>
      </c>
      <c r="J11" s="33">
        <f>'Waste 9'!J31</f>
        <v>0</v>
      </c>
      <c r="K11" s="33">
        <f>'Waste 9'!K31</f>
        <v>0</v>
      </c>
      <c r="L11" s="33">
        <f>'Waste 9'!L31</f>
        <v>0</v>
      </c>
      <c r="M11" s="33">
        <f>'Waste 9'!M31</f>
        <v>0</v>
      </c>
      <c r="N11" s="33">
        <f>'Waste 9'!N31</f>
        <v>0</v>
      </c>
      <c r="O11" s="33">
        <f>'Waste 9'!O31</f>
        <v>0</v>
      </c>
      <c r="P11" s="33">
        <f>'Waste 9'!P31</f>
        <v>0</v>
      </c>
      <c r="Q11" s="33">
        <f>'Waste 9'!Q31</f>
        <v>0</v>
      </c>
      <c r="R11" s="33">
        <f>'Waste 9'!R31</f>
        <v>0</v>
      </c>
      <c r="S11" s="33">
        <f>'Waste 9'!S31</f>
        <v>0</v>
      </c>
      <c r="T11" s="33">
        <f>'Waste 9'!T31</f>
        <v>0</v>
      </c>
      <c r="U11" s="33">
        <f>'Waste 9'!U31</f>
        <v>0</v>
      </c>
    </row>
    <row r="12" spans="1:21" x14ac:dyDescent="0.2">
      <c r="A12" s="36">
        <v>10</v>
      </c>
      <c r="B12" s="33">
        <f>'Waste 10'!B31</f>
        <v>0</v>
      </c>
      <c r="C12" s="33">
        <f>'Waste 10'!C31</f>
        <v>0</v>
      </c>
      <c r="D12" s="33">
        <f>'Waste 10'!D31</f>
        <v>0</v>
      </c>
      <c r="E12" s="33">
        <f>'Waste 10'!E31</f>
        <v>0</v>
      </c>
      <c r="F12" s="33">
        <f>'Waste 10'!F31</f>
        <v>0</v>
      </c>
      <c r="G12" s="33">
        <f>'Waste 10'!G31</f>
        <v>0</v>
      </c>
      <c r="H12" s="33">
        <f>'Waste 10'!H31</f>
        <v>0</v>
      </c>
      <c r="I12" s="33">
        <f>'Waste 10'!I31</f>
        <v>0</v>
      </c>
      <c r="J12" s="33">
        <f>'Waste 10'!J31</f>
        <v>0</v>
      </c>
      <c r="K12" s="33">
        <f>'Waste 10'!K31</f>
        <v>0</v>
      </c>
      <c r="L12" s="33">
        <f>'Waste 10'!L31</f>
        <v>0</v>
      </c>
      <c r="M12" s="33">
        <f>'Waste 10'!M31</f>
        <v>0</v>
      </c>
      <c r="N12" s="33">
        <f>'Waste 10'!N31</f>
        <v>0</v>
      </c>
      <c r="O12" s="33">
        <f>'Waste 10'!O31</f>
        <v>0</v>
      </c>
      <c r="P12" s="33">
        <f>'Waste 10'!P31</f>
        <v>0</v>
      </c>
      <c r="Q12" s="33">
        <f>'Waste 10'!Q31</f>
        <v>0</v>
      </c>
      <c r="R12" s="33">
        <f>'Waste 10'!R31</f>
        <v>0</v>
      </c>
      <c r="S12" s="33">
        <f>'Waste 10'!S31</f>
        <v>0</v>
      </c>
      <c r="T12" s="33">
        <f>'Waste 10'!T31</f>
        <v>0</v>
      </c>
      <c r="U12" s="33">
        <f>'Waste 10'!U31</f>
        <v>0</v>
      </c>
    </row>
    <row r="13" spans="1:21" s="82" customFormat="1" ht="15.75" x14ac:dyDescent="0.25">
      <c r="A13" s="80" t="s">
        <v>85</v>
      </c>
      <c r="B13" s="81">
        <f>SUM(B3:B12)</f>
        <v>777</v>
      </c>
      <c r="C13" s="81">
        <f t="shared" ref="C13:U13" si="0">SUM(C3:C12)</f>
        <v>779.8</v>
      </c>
      <c r="D13" s="81">
        <f t="shared" si="0"/>
        <v>394.19175099999995</v>
      </c>
      <c r="E13" s="81">
        <f t="shared" si="0"/>
        <v>183.26001500000001</v>
      </c>
      <c r="F13" s="81">
        <f t="shared" si="0"/>
        <v>63.605854000000008</v>
      </c>
      <c r="G13" s="81">
        <f t="shared" si="0"/>
        <v>1.1505900000000002</v>
      </c>
      <c r="H13" s="81">
        <f t="shared" si="0"/>
        <v>4.5099799999999997</v>
      </c>
      <c r="I13" s="81">
        <f t="shared" si="0"/>
        <v>0.47522000000000003</v>
      </c>
      <c r="J13" s="81">
        <f t="shared" si="0"/>
        <v>9.049999999999999E-3</v>
      </c>
      <c r="K13" s="81">
        <f t="shared" si="0"/>
        <v>3.8850000000000003E-2</v>
      </c>
      <c r="L13" s="81">
        <f t="shared" si="0"/>
        <v>0.22355000000000003</v>
      </c>
      <c r="M13" s="81">
        <f t="shared" si="0"/>
        <v>0.46123600000000003</v>
      </c>
      <c r="N13" s="81">
        <f t="shared" si="0"/>
        <v>0</v>
      </c>
      <c r="O13" s="81">
        <f t="shared" si="0"/>
        <v>0</v>
      </c>
      <c r="P13" s="81">
        <f t="shared" si="0"/>
        <v>565.72900000000004</v>
      </c>
      <c r="Q13" s="81">
        <f t="shared" si="0"/>
        <v>685.21900000000005</v>
      </c>
      <c r="R13" s="81">
        <f t="shared" si="0"/>
        <v>0</v>
      </c>
      <c r="S13" s="81">
        <f t="shared" si="0"/>
        <v>0</v>
      </c>
      <c r="T13" s="81">
        <f t="shared" si="0"/>
        <v>0</v>
      </c>
      <c r="U13" s="81">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40625" defaultRowHeight="12.75" x14ac:dyDescent="0.2"/>
  <cols>
    <col min="1" max="2" width="9.140625" style="79"/>
    <col min="3" max="3" width="11" style="79" customWidth="1"/>
    <col min="4" max="4" width="9.140625" style="79"/>
    <col min="5" max="5" width="9.7109375" style="79" customWidth="1"/>
    <col min="6" max="14" width="9.140625" style="79"/>
    <col min="15" max="15" width="9.7109375" style="79" bestFit="1" customWidth="1"/>
    <col min="16" max="20" width="9.140625" style="79"/>
    <col min="21" max="21" width="10" style="79" bestFit="1" customWidth="1"/>
    <col min="22" max="16384" width="9.140625" style="79"/>
  </cols>
  <sheetData>
    <row r="1" spans="1:22" s="83" customFormat="1" ht="38.25" x14ac:dyDescent="0.25">
      <c r="A1" s="145" t="s">
        <v>84</v>
      </c>
      <c r="B1" s="34" t="s">
        <v>152</v>
      </c>
      <c r="C1" s="35" t="str">
        <f>Secanim!B29</f>
        <v>Application Rate</v>
      </c>
      <c r="D1" s="35" t="str">
        <f>Secanim!C29</f>
        <v>Nitrogen Addition</v>
      </c>
      <c r="E1" s="35" t="str">
        <f>Secanim!D29</f>
        <v>Phosphate Addition</v>
      </c>
      <c r="F1" s="35" t="str">
        <f>Secanim!E29</f>
        <v>Potash  Addition</v>
      </c>
      <c r="G1" s="35" t="str">
        <f>Secanim!F29</f>
        <v>Mg Oxide Addition</v>
      </c>
      <c r="H1" s="35" t="str">
        <f>Secanim!G29</f>
        <v>Copper Addition</v>
      </c>
      <c r="I1" s="35" t="str">
        <f>Secanim!H29</f>
        <v>Zinc Addition</v>
      </c>
      <c r="J1" s="35" t="str">
        <f>Secanim!I29</f>
        <v>Lead Addition</v>
      </c>
      <c r="K1" s="35" t="str">
        <f>Secanim!J29</f>
        <v>Cadmium Addition</v>
      </c>
      <c r="L1" s="35" t="str">
        <f>Secanim!K29</f>
        <v>Mercury Addition</v>
      </c>
      <c r="M1" s="35" t="str">
        <f>Secanim!L29</f>
        <v>Nickel Addition</v>
      </c>
      <c r="N1" s="35" t="str">
        <f>Secanim!M29</f>
        <v>Chromium Addition</v>
      </c>
      <c r="O1" s="35" t="str">
        <f>Secanim!N29</f>
        <v>Aluminium Addition</v>
      </c>
      <c r="P1" s="35" t="str">
        <f>Secanim!O29</f>
        <v>Iron Addition</v>
      </c>
      <c r="Q1" s="35" t="str">
        <f>Secanim!P29</f>
        <v xml:space="preserve">Sodium Addition                 </v>
      </c>
      <c r="R1" s="35" t="str">
        <f>Secanim!Q29</f>
        <v>SO3  Addition                             kg/ha</v>
      </c>
      <c r="S1" s="35" t="str">
        <f>Secanim!R29</f>
        <v xml:space="preserve">Selenium Addition </v>
      </c>
      <c r="T1" s="35" t="str">
        <f>Secanim!S29</f>
        <v xml:space="preserve">Arsenic  Addition  </v>
      </c>
      <c r="U1" s="35" t="str">
        <f>Secanim!T29</f>
        <v xml:space="preserve">Molybdenum Addition  </v>
      </c>
      <c r="V1" s="35" t="str">
        <f>Secanim!U29</f>
        <v xml:space="preserve">Fluoride Addition </v>
      </c>
    </row>
    <row r="2" spans="1:22" s="83" customFormat="1" ht="25.5" x14ac:dyDescent="0.25">
      <c r="A2" s="145"/>
      <c r="B2" s="32" t="s">
        <v>46</v>
      </c>
      <c r="C2" s="35" t="str">
        <f>Secanim!B30</f>
        <v>tonnes/ha</v>
      </c>
      <c r="D2" s="35" t="str">
        <f>Secanim!C30</f>
        <v>kg/ha</v>
      </c>
      <c r="E2" s="35" t="str">
        <f>Secanim!D30</f>
        <v>P2O5 
kg/ha</v>
      </c>
      <c r="F2" s="35" t="str">
        <f>Secanim!E30</f>
        <v>K2O 
kg/ha</v>
      </c>
      <c r="G2" s="35" t="str">
        <f>Secanim!F30</f>
        <v>MgO 
kg/ha</v>
      </c>
      <c r="H2" s="35" t="str">
        <f>Secanim!G30</f>
        <v>kg/ha</v>
      </c>
      <c r="I2" s="35" t="str">
        <f>Secanim!H30</f>
        <v>kg/ha</v>
      </c>
      <c r="J2" s="35" t="str">
        <f>Secanim!I30</f>
        <v>kg/ha</v>
      </c>
      <c r="K2" s="35" t="str">
        <f>Secanim!J30</f>
        <v>kg/ha</v>
      </c>
      <c r="L2" s="35" t="str">
        <f>Secanim!K30</f>
        <v>kg/ha</v>
      </c>
      <c r="M2" s="35" t="str">
        <f>Secanim!L30</f>
        <v>kg/ha</v>
      </c>
      <c r="N2" s="35" t="str">
        <f>Secanim!M30</f>
        <v>kg/ha</v>
      </c>
      <c r="O2" s="35" t="str">
        <f>Secanim!N30</f>
        <v>kg/ha</v>
      </c>
      <c r="P2" s="35" t="str">
        <f>Secanim!O30</f>
        <v>kg/ha</v>
      </c>
      <c r="Q2" s="35" t="str">
        <f>Secanim!P30</f>
        <v>kg/ha</v>
      </c>
      <c r="R2" s="35" t="str">
        <f>Secanim!Q30</f>
        <v>kg/ha</v>
      </c>
      <c r="S2" s="35" t="str">
        <f>Secanim!R30</f>
        <v>kg/ha</v>
      </c>
      <c r="T2" s="35" t="str">
        <f>Secanim!S30</f>
        <v>kg/ha</v>
      </c>
      <c r="U2" s="35" t="str">
        <f>Secanim!T30</f>
        <v>kg/ha</v>
      </c>
      <c r="V2" s="35" t="str">
        <f>Secanim!U30</f>
        <v>kg/ha</v>
      </c>
    </row>
    <row r="3" spans="1:22" x14ac:dyDescent="0.2">
      <c r="A3" s="36">
        <v>1</v>
      </c>
      <c r="B3" s="91"/>
      <c r="C3" s="33">
        <f>Secanim!B31</f>
        <v>32</v>
      </c>
      <c r="D3" s="33">
        <f>Secanim!C31</f>
        <v>96</v>
      </c>
      <c r="E3" s="33">
        <f>Secanim!D31</f>
        <v>63.341567999999995</v>
      </c>
      <c r="F3" s="33">
        <f>Secanim!E31</f>
        <v>20.128320000000002</v>
      </c>
      <c r="G3" s="33">
        <f>Secanim!F31</f>
        <v>3.3372223999999999</v>
      </c>
      <c r="H3" s="33">
        <f>Secanim!G31</f>
        <v>7.4880000000000002E-2</v>
      </c>
      <c r="I3" s="33">
        <f>Secanim!H31</f>
        <v>1.8208</v>
      </c>
      <c r="J3" s="33">
        <f>Secanim!I31</f>
        <v>0.10272000000000001</v>
      </c>
      <c r="K3" s="33">
        <f>Secanim!J31</f>
        <v>1.6000000000000001E-3</v>
      </c>
      <c r="L3" s="33">
        <f>Secanim!K31</f>
        <v>1.6000000000000001E-3</v>
      </c>
      <c r="M3" s="33">
        <f>Secanim!L31</f>
        <v>2.4960000000000003E-2</v>
      </c>
      <c r="N3" s="33">
        <f>Secanim!M31</f>
        <v>2.9760000000000002E-2</v>
      </c>
      <c r="O3" s="33">
        <f>Secanim!N31</f>
        <v>0</v>
      </c>
      <c r="P3" s="33">
        <f>Secanim!O31</f>
        <v>0</v>
      </c>
      <c r="Q3" s="33">
        <f>Secanim!P31</f>
        <v>48.864000000000004</v>
      </c>
      <c r="R3" s="33">
        <f>Secanim!Q31</f>
        <v>71.52</v>
      </c>
      <c r="S3" s="33">
        <f>Secanim!R31</f>
        <v>0</v>
      </c>
      <c r="T3" s="33">
        <f>Secanim!S31</f>
        <v>0</v>
      </c>
      <c r="U3" s="33">
        <f>Secanim!T31</f>
        <v>0</v>
      </c>
      <c r="V3" s="33">
        <f>Secanim!U31</f>
        <v>0</v>
      </c>
    </row>
    <row r="4" spans="1:22" x14ac:dyDescent="0.2">
      <c r="A4" s="36">
        <v>2</v>
      </c>
      <c r="B4" s="91"/>
      <c r="C4" s="33">
        <f>'Croda Goole'!B31</f>
        <v>132</v>
      </c>
      <c r="D4" s="33">
        <f>'Croda Goole'!C31</f>
        <v>92.4</v>
      </c>
      <c r="E4" s="33">
        <f>'Croda Goole'!D31</f>
        <v>63.204107999999991</v>
      </c>
      <c r="F4" s="33">
        <f>'Croda Goole'!E31</f>
        <v>10.736550000000001</v>
      </c>
      <c r="G4" s="33">
        <f>'Croda Goole'!F31</f>
        <v>5.5370567999999993</v>
      </c>
      <c r="H4" s="33">
        <f>'Croda Goole'!G31</f>
        <v>6.2039999999999998E-2</v>
      </c>
      <c r="I4" s="33">
        <f>'Croda Goole'!H31</f>
        <v>0.93588000000000005</v>
      </c>
      <c r="J4" s="33">
        <f>'Croda Goole'!I31</f>
        <v>6.6000000000000003E-2</v>
      </c>
      <c r="K4" s="33">
        <f>'Croda Goole'!J31</f>
        <v>1.3200000000000002E-3</v>
      </c>
      <c r="L4" s="33">
        <f>'Croda Goole'!K31</f>
        <v>6.6E-3</v>
      </c>
      <c r="M4" s="33">
        <f>'Croda Goole'!L31</f>
        <v>3.0360000000000002E-2</v>
      </c>
      <c r="N4" s="33">
        <f>'Croda Goole'!M31</f>
        <v>0.26400000000000001</v>
      </c>
      <c r="O4" s="33">
        <f>'Croda Goole'!N31</f>
        <v>0</v>
      </c>
      <c r="P4" s="33">
        <f>'Croda Goole'!O31</f>
        <v>0</v>
      </c>
      <c r="Q4" s="33">
        <f>'Croda Goole'!P31</f>
        <v>372.108</v>
      </c>
      <c r="R4" s="33">
        <f>'Croda Goole'!Q31</f>
        <v>420.75</v>
      </c>
      <c r="S4" s="33">
        <f>'Croda Goole'!R31</f>
        <v>0</v>
      </c>
      <c r="T4" s="33">
        <f>'Croda Goole'!S31</f>
        <v>0</v>
      </c>
      <c r="U4" s="33">
        <f>'Croda Goole'!T31</f>
        <v>0</v>
      </c>
      <c r="V4" s="33">
        <f>'Croda Goole'!U31</f>
        <v>0</v>
      </c>
    </row>
    <row r="5" spans="1:22" x14ac:dyDescent="0.2">
      <c r="A5" s="36">
        <v>3</v>
      </c>
      <c r="B5" s="91"/>
      <c r="C5" s="33">
        <f>'Croda Widnes'!B31</f>
        <v>130</v>
      </c>
      <c r="D5" s="33">
        <f>'Croda Widnes'!C31</f>
        <v>143</v>
      </c>
      <c r="E5" s="33">
        <f>'Croda Widnes'!D31</f>
        <v>49.141949999999994</v>
      </c>
      <c r="F5" s="33">
        <f>'Croda Widnes'!E31</f>
        <v>14.615445000000001</v>
      </c>
      <c r="G5" s="33">
        <f>'Croda Widnes'!F31</f>
        <v>17.221646000000003</v>
      </c>
      <c r="H5" s="33">
        <f>'Croda Widnes'!G31</f>
        <v>8.8919999999999999E-2</v>
      </c>
      <c r="I5" s="33">
        <f>'Croda Widnes'!H31</f>
        <v>0.49269999999999997</v>
      </c>
      <c r="J5" s="33">
        <f>'Croda Widnes'!I31</f>
        <v>6.5000000000000002E-2</v>
      </c>
      <c r="K5" s="33">
        <f>'Croda Widnes'!J31</f>
        <v>1.3000000000000002E-3</v>
      </c>
      <c r="L5" s="33">
        <f>'Croda Widnes'!K31</f>
        <v>6.5000000000000006E-3</v>
      </c>
      <c r="M5" s="33">
        <f>'Croda Widnes'!L31</f>
        <v>2.6000000000000002E-2</v>
      </c>
      <c r="N5" s="33">
        <f>'Croda Widnes'!M31</f>
        <v>2.9380000000000003E-2</v>
      </c>
      <c r="O5" s="33">
        <f>'Croda Widnes'!N31</f>
        <v>0</v>
      </c>
      <c r="P5" s="33">
        <f>'Croda Widnes'!O31</f>
        <v>0</v>
      </c>
      <c r="Q5" s="33">
        <f>'Croda Widnes'!P31</f>
        <v>43.68</v>
      </c>
      <c r="R5" s="33">
        <f>'Croda Widnes'!Q31</f>
        <v>63.375</v>
      </c>
      <c r="S5" s="33">
        <f>'Croda Widnes'!R31</f>
        <v>0</v>
      </c>
      <c r="T5" s="33">
        <f>'Croda Widnes'!S31</f>
        <v>0</v>
      </c>
      <c r="U5" s="33">
        <f>'Croda Widnes'!T31</f>
        <v>0</v>
      </c>
      <c r="V5" s="33">
        <f>'Croda Widnes'!U31</f>
        <v>0</v>
      </c>
    </row>
    <row r="6" spans="1:22" x14ac:dyDescent="0.2">
      <c r="A6" s="36">
        <v>4</v>
      </c>
      <c r="B6" s="91"/>
      <c r="C6" s="33">
        <f>Maelor!B31</f>
        <v>39</v>
      </c>
      <c r="D6" s="33">
        <f>Maelor!C31</f>
        <v>132.60000000000002</v>
      </c>
      <c r="E6" s="33">
        <f>Maelor!D31</f>
        <v>63.705836999999995</v>
      </c>
      <c r="F6" s="33">
        <f>Maelor!E31</f>
        <v>8.0361450000000012</v>
      </c>
      <c r="G6" s="33">
        <f>Maelor!F31</f>
        <v>11.121864</v>
      </c>
      <c r="H6" s="33">
        <f>Maelor!G31</f>
        <v>0.12909000000000001</v>
      </c>
      <c r="I6" s="33">
        <f>Maelor!H31</f>
        <v>0.71760000000000002</v>
      </c>
      <c r="J6" s="33">
        <f>Maelor!I31</f>
        <v>1.95E-2</v>
      </c>
      <c r="K6" s="33">
        <f>Maelor!J31</f>
        <v>3.9000000000000005E-4</v>
      </c>
      <c r="L6" s="33">
        <f>Maelor!K31</f>
        <v>1.9500000000000001E-3</v>
      </c>
      <c r="M6" s="33">
        <f>Maelor!L31</f>
        <v>5.3430000000000005E-2</v>
      </c>
      <c r="N6" s="33">
        <f>Maelor!M31</f>
        <v>3.5100000000000006E-2</v>
      </c>
      <c r="O6" s="33">
        <f>Maelor!N31</f>
        <v>0</v>
      </c>
      <c r="P6" s="33">
        <f>Maelor!O31</f>
        <v>0</v>
      </c>
      <c r="Q6" s="33">
        <f>Maelor!P31</f>
        <v>33.384</v>
      </c>
      <c r="R6" s="33">
        <f>Maelor!Q31</f>
        <v>51.3825</v>
      </c>
      <c r="S6" s="33">
        <f>Maelor!R31</f>
        <v>0</v>
      </c>
      <c r="T6" s="33">
        <f>Maelor!S31</f>
        <v>0</v>
      </c>
      <c r="U6" s="33">
        <f>Maelor!T31</f>
        <v>0</v>
      </c>
      <c r="V6" s="33">
        <f>Maelor!U31</f>
        <v>0</v>
      </c>
    </row>
    <row r="7" spans="1:22" x14ac:dyDescent="0.2">
      <c r="A7" s="36">
        <v>5</v>
      </c>
      <c r="B7" s="91"/>
      <c r="C7" s="33">
        <f>Encirc!B31</f>
        <v>0</v>
      </c>
      <c r="D7" s="33">
        <f>Encirc!C31</f>
        <v>0</v>
      </c>
      <c r="E7" s="33">
        <f>Encirc!D31</f>
        <v>0</v>
      </c>
      <c r="F7" s="33">
        <f>Encirc!E31</f>
        <v>0</v>
      </c>
      <c r="G7" s="33">
        <f>Encirc!F31</f>
        <v>0</v>
      </c>
      <c r="H7" s="33">
        <f>Encirc!G31</f>
        <v>0</v>
      </c>
      <c r="I7" s="33">
        <f>Encirc!H31</f>
        <v>0</v>
      </c>
      <c r="J7" s="33">
        <f>Encirc!I31</f>
        <v>0</v>
      </c>
      <c r="K7" s="33">
        <f>Encirc!J31</f>
        <v>0</v>
      </c>
      <c r="L7" s="33">
        <f>Encirc!K31</f>
        <v>0</v>
      </c>
      <c r="M7" s="33">
        <f>Encirc!L31</f>
        <v>0</v>
      </c>
      <c r="N7" s="33">
        <f>Encirc!M31</f>
        <v>0</v>
      </c>
      <c r="O7" s="33">
        <f>Encirc!N31</f>
        <v>0</v>
      </c>
      <c r="P7" s="33">
        <f>Encirc!O31</f>
        <v>0</v>
      </c>
      <c r="Q7" s="33">
        <f>Encirc!P31</f>
        <v>0</v>
      </c>
      <c r="R7" s="33">
        <f>Encirc!Q31</f>
        <v>0</v>
      </c>
      <c r="S7" s="33">
        <f>Encirc!R31</f>
        <v>0</v>
      </c>
      <c r="T7" s="33">
        <f>Encirc!S31</f>
        <v>0</v>
      </c>
      <c r="U7" s="33">
        <f>Encirc!T31</f>
        <v>0</v>
      </c>
      <c r="V7" s="33">
        <f>Encirc!U31</f>
        <v>0</v>
      </c>
    </row>
    <row r="8" spans="1:22" x14ac:dyDescent="0.2">
      <c r="A8" s="36">
        <v>6</v>
      </c>
      <c r="B8" s="91"/>
      <c r="C8" s="33">
        <f>'Beechdean Ice Cream'!B31</f>
        <v>250</v>
      </c>
      <c r="D8" s="33">
        <f>'Beechdean Ice Cream'!C31</f>
        <v>50</v>
      </c>
      <c r="E8" s="33">
        <f>'Beechdean Ice Cream'!D31</f>
        <v>27.7211</v>
      </c>
      <c r="F8" s="33">
        <f>'Beechdean Ice Cream'!E31</f>
        <v>28.227125000000001</v>
      </c>
      <c r="G8" s="33">
        <f>'Beechdean Ice Cream'!F31</f>
        <v>4.3936999999999999</v>
      </c>
      <c r="H8" s="33">
        <f>'Beechdean Ice Cream'!G31</f>
        <v>6.25E-2</v>
      </c>
      <c r="I8" s="33">
        <f>'Beechdean Ice Cream'!H31</f>
        <v>0.13500000000000001</v>
      </c>
      <c r="J8" s="33">
        <f>'Beechdean Ice Cream'!I31</f>
        <v>0.125</v>
      </c>
      <c r="K8" s="33">
        <f>'Beechdean Ice Cream'!J31</f>
        <v>2.5000000000000001E-3</v>
      </c>
      <c r="L8" s="33">
        <f>'Beechdean Ice Cream'!K31</f>
        <v>1.2500000000000001E-2</v>
      </c>
      <c r="M8" s="33">
        <f>'Beechdean Ice Cream'!L31</f>
        <v>0.05</v>
      </c>
      <c r="N8" s="33">
        <f>'Beechdean Ice Cream'!M31</f>
        <v>0.05</v>
      </c>
      <c r="O8" s="33">
        <f>'Beechdean Ice Cream'!N31</f>
        <v>0</v>
      </c>
      <c r="P8" s="33">
        <f>'Beechdean Ice Cream'!O31</f>
        <v>0</v>
      </c>
      <c r="Q8" s="33">
        <f>'Beechdean Ice Cream'!P31</f>
        <v>60.75</v>
      </c>
      <c r="R8" s="33">
        <f>'Beechdean Ice Cream'!Q31</f>
        <v>23.125</v>
      </c>
      <c r="S8" s="33">
        <f>'Beechdean Ice Cream'!R31</f>
        <v>0</v>
      </c>
      <c r="T8" s="33">
        <f>'Beechdean Ice Cream'!S31</f>
        <v>0</v>
      </c>
      <c r="U8" s="33">
        <f>'Beechdean Ice Cream'!T31</f>
        <v>0</v>
      </c>
      <c r="V8" s="33">
        <f>'Beechdean Ice Cream'!U31</f>
        <v>0</v>
      </c>
    </row>
    <row r="9" spans="1:22" x14ac:dyDescent="0.2">
      <c r="A9" s="36">
        <v>7</v>
      </c>
      <c r="B9" s="91"/>
      <c r="C9" s="33">
        <f>'Penderyn Distillery'!B31</f>
        <v>142</v>
      </c>
      <c r="D9" s="33">
        <f>'Penderyn Distillery'!C31</f>
        <v>99.4</v>
      </c>
      <c r="E9" s="33">
        <f>'Penderyn Distillery'!D31</f>
        <v>64.413755999999992</v>
      </c>
      <c r="F9" s="33">
        <f>'Penderyn Distillery'!E31</f>
        <v>85.726110000000006</v>
      </c>
      <c r="G9" s="33">
        <f>'Penderyn Distillery'!F31</f>
        <v>16.433432799999999</v>
      </c>
      <c r="H9" s="33">
        <f>'Penderyn Distillery'!G31</f>
        <v>0.67024000000000006</v>
      </c>
      <c r="I9" s="33">
        <f>'Penderyn Distillery'!H31</f>
        <v>0.28684000000000004</v>
      </c>
      <c r="J9" s="33">
        <f>'Penderyn Distillery'!I31</f>
        <v>7.1000000000000008E-2</v>
      </c>
      <c r="K9" s="33">
        <f>'Penderyn Distillery'!J31</f>
        <v>1.42E-3</v>
      </c>
      <c r="L9" s="33">
        <f>'Penderyn Distillery'!K31</f>
        <v>7.1000000000000004E-3</v>
      </c>
      <c r="M9" s="33">
        <f>'Penderyn Distillery'!L31</f>
        <v>2.8400000000000002E-2</v>
      </c>
      <c r="N9" s="33">
        <f>'Penderyn Distillery'!M31</f>
        <v>2.8400000000000002E-2</v>
      </c>
      <c r="O9" s="33">
        <f>'Penderyn Distillery'!N31</f>
        <v>0</v>
      </c>
      <c r="P9" s="33">
        <f>'Penderyn Distillery'!O31</f>
        <v>0</v>
      </c>
      <c r="Q9" s="33">
        <f>'Penderyn Distillery'!P31</f>
        <v>3.7345999999999999</v>
      </c>
      <c r="R9" s="33">
        <f>'Penderyn Distillery'!Q31</f>
        <v>32.0565</v>
      </c>
      <c r="S9" s="33">
        <f>'Penderyn Distillery'!R31</f>
        <v>0</v>
      </c>
      <c r="T9" s="33">
        <f>'Penderyn Distillery'!S31</f>
        <v>0</v>
      </c>
      <c r="U9" s="33">
        <f>'Penderyn Distillery'!T31</f>
        <v>0</v>
      </c>
      <c r="V9" s="33">
        <f>'Penderyn Distillery'!U31</f>
        <v>0</v>
      </c>
    </row>
    <row r="10" spans="1:22" x14ac:dyDescent="0.2">
      <c r="A10" s="36">
        <v>8</v>
      </c>
      <c r="B10" s="91"/>
      <c r="C10" s="33">
        <f>Kelloggs!B31</f>
        <v>52</v>
      </c>
      <c r="D10" s="33">
        <f>Kelloggs!C31</f>
        <v>166.4</v>
      </c>
      <c r="E10" s="33">
        <f>Kelloggs!D31</f>
        <v>62.663432</v>
      </c>
      <c r="F10" s="33">
        <f>Kelloggs!E31</f>
        <v>15.790319999999999</v>
      </c>
      <c r="G10" s="33">
        <f>Kelloggs!F31</f>
        <v>5.5609320000000002</v>
      </c>
      <c r="H10" s="33">
        <f>Kelloggs!G31</f>
        <v>6.291999999999999E-2</v>
      </c>
      <c r="I10" s="33">
        <f>Kelloggs!H31</f>
        <v>0.12116</v>
      </c>
      <c r="J10" s="33">
        <f>Kelloggs!I31</f>
        <v>2.6000000000000002E-2</v>
      </c>
      <c r="K10" s="33">
        <f>Kelloggs!J31</f>
        <v>5.2000000000000006E-4</v>
      </c>
      <c r="L10" s="33">
        <f>Kelloggs!K31</f>
        <v>2.6000000000000003E-3</v>
      </c>
      <c r="M10" s="33">
        <f>Kelloggs!L31</f>
        <v>1.0400000000000001E-2</v>
      </c>
      <c r="N10" s="33">
        <f>Kelloggs!M31</f>
        <v>2.4596E-2</v>
      </c>
      <c r="O10" s="33">
        <f>Kelloggs!N31</f>
        <v>0</v>
      </c>
      <c r="P10" s="33">
        <f>Kelloggs!O31</f>
        <v>0</v>
      </c>
      <c r="Q10" s="33">
        <f>Kelloggs!P31</f>
        <v>3.2084000000000001</v>
      </c>
      <c r="R10" s="33">
        <f>Kelloggs!Q31</f>
        <v>23.009999999999998</v>
      </c>
      <c r="S10" s="33">
        <f>Kelloggs!R31</f>
        <v>0</v>
      </c>
      <c r="T10" s="33">
        <f>Kelloggs!S31</f>
        <v>0</v>
      </c>
      <c r="U10" s="33">
        <f>Kelloggs!T31</f>
        <v>0</v>
      </c>
      <c r="V10" s="33">
        <f>Kelloggs!U31</f>
        <v>0</v>
      </c>
    </row>
    <row r="11" spans="1:22" x14ac:dyDescent="0.2">
      <c r="A11" s="36">
        <v>9</v>
      </c>
      <c r="B11" s="91"/>
      <c r="C11" s="33">
        <f>'Waste 9'!B31</f>
        <v>0</v>
      </c>
      <c r="D11" s="33">
        <f>'Waste 9'!C31</f>
        <v>0</v>
      </c>
      <c r="E11" s="33">
        <f>'Waste 9'!D31</f>
        <v>0</v>
      </c>
      <c r="F11" s="33">
        <f>'Waste 9'!E31</f>
        <v>0</v>
      </c>
      <c r="G11" s="33">
        <f>'Waste 9'!F31</f>
        <v>0</v>
      </c>
      <c r="H11" s="33">
        <f>'Waste 9'!G31</f>
        <v>0</v>
      </c>
      <c r="I11" s="33">
        <f>'Waste 9'!H31</f>
        <v>0</v>
      </c>
      <c r="J11" s="33">
        <f>'Waste 9'!I31</f>
        <v>0</v>
      </c>
      <c r="K11" s="33">
        <f>'Waste 9'!J31</f>
        <v>0</v>
      </c>
      <c r="L11" s="33">
        <f>'Waste 9'!K31</f>
        <v>0</v>
      </c>
      <c r="M11" s="33">
        <f>'Waste 9'!L31</f>
        <v>0</v>
      </c>
      <c r="N11" s="33">
        <f>'Waste 9'!M31</f>
        <v>0</v>
      </c>
      <c r="O11" s="33">
        <f>'Waste 9'!N31</f>
        <v>0</v>
      </c>
      <c r="P11" s="33">
        <f>'Waste 9'!O31</f>
        <v>0</v>
      </c>
      <c r="Q11" s="33">
        <f>'Waste 9'!P31</f>
        <v>0</v>
      </c>
      <c r="R11" s="33">
        <f>'Waste 9'!Q31</f>
        <v>0</v>
      </c>
      <c r="S11" s="33">
        <f>'Waste 9'!R31</f>
        <v>0</v>
      </c>
      <c r="T11" s="33">
        <f>'Waste 9'!S31</f>
        <v>0</v>
      </c>
      <c r="U11" s="33">
        <f>'Waste 9'!T31</f>
        <v>0</v>
      </c>
      <c r="V11" s="33">
        <f>'Waste 9'!U31</f>
        <v>0</v>
      </c>
    </row>
    <row r="12" spans="1:22" x14ac:dyDescent="0.2">
      <c r="A12" s="36">
        <v>10</v>
      </c>
      <c r="B12" s="91"/>
      <c r="C12" s="33">
        <f>'Waste 10'!B31</f>
        <v>0</v>
      </c>
      <c r="D12" s="33">
        <f>'Waste 10'!C31</f>
        <v>0</v>
      </c>
      <c r="E12" s="33">
        <f>'Waste 10'!D31</f>
        <v>0</v>
      </c>
      <c r="F12" s="33">
        <f>'Waste 10'!E31</f>
        <v>0</v>
      </c>
      <c r="G12" s="33">
        <f>'Waste 10'!F31</f>
        <v>0</v>
      </c>
      <c r="H12" s="33">
        <f>'Waste 10'!G31</f>
        <v>0</v>
      </c>
      <c r="I12" s="33">
        <f>'Waste 10'!H31</f>
        <v>0</v>
      </c>
      <c r="J12" s="33">
        <f>'Waste 10'!I31</f>
        <v>0</v>
      </c>
      <c r="K12" s="33">
        <f>'Waste 10'!J31</f>
        <v>0</v>
      </c>
      <c r="L12" s="33">
        <f>'Waste 10'!K31</f>
        <v>0</v>
      </c>
      <c r="M12" s="33">
        <f>'Waste 10'!L31</f>
        <v>0</v>
      </c>
      <c r="N12" s="33">
        <f>'Waste 10'!M31</f>
        <v>0</v>
      </c>
      <c r="O12" s="33">
        <f>'Waste 10'!N31</f>
        <v>0</v>
      </c>
      <c r="P12" s="33">
        <f>'Waste 10'!O31</f>
        <v>0</v>
      </c>
      <c r="Q12" s="33">
        <f>'Waste 10'!P31</f>
        <v>0</v>
      </c>
      <c r="R12" s="33">
        <f>'Waste 10'!Q31</f>
        <v>0</v>
      </c>
      <c r="S12" s="33">
        <f>'Waste 10'!R31</f>
        <v>0</v>
      </c>
      <c r="T12" s="33">
        <f>'Waste 10'!S31</f>
        <v>0</v>
      </c>
      <c r="U12" s="33">
        <f>'Waste 10'!T31</f>
        <v>0</v>
      </c>
      <c r="V12" s="33">
        <f>'Waste 10'!U31</f>
        <v>0</v>
      </c>
    </row>
    <row r="13" spans="1:22" x14ac:dyDescent="0.2">
      <c r="B13" s="37"/>
      <c r="C13" s="22"/>
      <c r="D13" s="22"/>
      <c r="E13" s="22"/>
      <c r="F13" s="22"/>
      <c r="G13" s="22"/>
      <c r="H13" s="22"/>
      <c r="I13" s="22"/>
      <c r="J13" s="22"/>
      <c r="K13" s="22"/>
      <c r="L13" s="22"/>
      <c r="M13" s="22"/>
      <c r="N13" s="22"/>
      <c r="O13" s="22"/>
      <c r="P13" s="22"/>
      <c r="Q13" s="22"/>
      <c r="R13" s="22"/>
      <c r="S13" s="22"/>
      <c r="T13" s="22"/>
      <c r="U13" s="22"/>
      <c r="V13" s="22"/>
    </row>
    <row r="14" spans="1:22" x14ac:dyDescent="0.2">
      <c r="A14" s="84" t="s">
        <v>86</v>
      </c>
      <c r="C14" s="84"/>
      <c r="D14" s="84"/>
      <c r="E14" s="84"/>
      <c r="F14" s="84"/>
      <c r="G14" s="84"/>
      <c r="H14" s="84"/>
      <c r="I14" s="84"/>
      <c r="J14" s="84"/>
      <c r="K14" s="84"/>
      <c r="L14" s="84"/>
      <c r="M14" s="84"/>
      <c r="N14" s="84"/>
    </row>
    <row r="15" spans="1:22" ht="38.25" x14ac:dyDescent="0.2">
      <c r="A15" s="144" t="s">
        <v>84</v>
      </c>
      <c r="B15" s="35" t="s">
        <v>152</v>
      </c>
      <c r="C15" s="35">
        <f>Secanim!B43</f>
        <v>32</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5" x14ac:dyDescent="0.2">
      <c r="A16" s="144"/>
      <c r="B16" s="32" t="s">
        <v>46</v>
      </c>
      <c r="C16" s="35">
        <f>Secanim!B44</f>
        <v>32</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
      <c r="A17" s="85">
        <v>1</v>
      </c>
      <c r="B17" s="86">
        <f>B3</f>
        <v>0</v>
      </c>
      <c r="C17" s="87">
        <f>C3</f>
        <v>32</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
      <c r="A18" s="85">
        <v>2</v>
      </c>
      <c r="B18" s="86">
        <f t="shared" ref="B18:C18" si="3">B4</f>
        <v>0</v>
      </c>
      <c r="C18" s="87">
        <f t="shared" si="3"/>
        <v>132</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
      <c r="A19" s="85">
        <v>3</v>
      </c>
      <c r="B19" s="86">
        <f t="shared" ref="B19:C19" si="5">B5</f>
        <v>0</v>
      </c>
      <c r="C19" s="87">
        <f t="shared" si="5"/>
        <v>130</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
      <c r="A20" s="85">
        <v>4</v>
      </c>
      <c r="B20" s="86">
        <f t="shared" ref="B20:C20" si="7">B6</f>
        <v>0</v>
      </c>
      <c r="C20" s="87">
        <f t="shared" si="7"/>
        <v>39</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
      <c r="A21" s="85">
        <v>5</v>
      </c>
      <c r="B21" s="86">
        <f t="shared" ref="B21:C21" si="9">B7</f>
        <v>0</v>
      </c>
      <c r="C21" s="87">
        <f t="shared" si="9"/>
        <v>0</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
      <c r="A22" s="85">
        <v>6</v>
      </c>
      <c r="B22" s="86">
        <f t="shared" ref="B22:C22" si="11">B8</f>
        <v>0</v>
      </c>
      <c r="C22" s="87">
        <f t="shared" si="11"/>
        <v>250</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
      <c r="A23" s="85">
        <v>7</v>
      </c>
      <c r="B23" s="86">
        <f t="shared" ref="B23:C23" si="13">B9</f>
        <v>0</v>
      </c>
      <c r="C23" s="87">
        <f t="shared" si="13"/>
        <v>142</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
      <c r="A24" s="85">
        <v>8</v>
      </c>
      <c r="B24" s="86">
        <f t="shared" ref="B24:C24" si="15">B10</f>
        <v>0</v>
      </c>
      <c r="C24" s="87">
        <f t="shared" si="15"/>
        <v>52</v>
      </c>
      <c r="D24" s="88">
        <f>D10*$B$10</f>
        <v>0</v>
      </c>
      <c r="E24" s="88">
        <f t="shared" ref="E24:V24" si="16">E10*$B$10</f>
        <v>0</v>
      </c>
      <c r="F24" s="88">
        <f t="shared" si="16"/>
        <v>0</v>
      </c>
      <c r="G24" s="88">
        <f t="shared" si="16"/>
        <v>0</v>
      </c>
      <c r="H24" s="88">
        <f t="shared" si="16"/>
        <v>0</v>
      </c>
      <c r="I24" s="88">
        <f t="shared" si="16"/>
        <v>0</v>
      </c>
      <c r="J24" s="88">
        <f t="shared" si="16"/>
        <v>0</v>
      </c>
      <c r="K24" s="88">
        <f t="shared" si="16"/>
        <v>0</v>
      </c>
      <c r="L24" s="88">
        <f t="shared" si="16"/>
        <v>0</v>
      </c>
      <c r="M24" s="88">
        <f t="shared" si="16"/>
        <v>0</v>
      </c>
      <c r="N24" s="88">
        <f t="shared" si="16"/>
        <v>0</v>
      </c>
      <c r="O24" s="88">
        <f t="shared" si="16"/>
        <v>0</v>
      </c>
      <c r="P24" s="88">
        <f t="shared" si="16"/>
        <v>0</v>
      </c>
      <c r="Q24" s="88">
        <f t="shared" si="16"/>
        <v>0</v>
      </c>
      <c r="R24" s="88">
        <f t="shared" si="16"/>
        <v>0</v>
      </c>
      <c r="S24" s="88">
        <f t="shared" si="16"/>
        <v>0</v>
      </c>
      <c r="T24" s="88">
        <f t="shared" si="16"/>
        <v>0</v>
      </c>
      <c r="U24" s="88">
        <f t="shared" si="16"/>
        <v>0</v>
      </c>
      <c r="V24" s="88">
        <f t="shared" si="16"/>
        <v>0</v>
      </c>
    </row>
    <row r="25" spans="1:22" x14ac:dyDescent="0.2">
      <c r="A25" s="85">
        <v>9</v>
      </c>
      <c r="B25" s="86">
        <f t="shared" ref="B25:C25" si="17">B11</f>
        <v>0</v>
      </c>
      <c r="C25" s="87">
        <f t="shared" si="17"/>
        <v>0</v>
      </c>
      <c r="D25" s="88">
        <f>D11*$B$11</f>
        <v>0</v>
      </c>
      <c r="E25" s="88">
        <f t="shared" ref="E25:V25" si="18">E11*$B$11</f>
        <v>0</v>
      </c>
      <c r="F25" s="88">
        <f t="shared" si="18"/>
        <v>0</v>
      </c>
      <c r="G25" s="88">
        <f t="shared" si="18"/>
        <v>0</v>
      </c>
      <c r="H25" s="88">
        <f t="shared" si="18"/>
        <v>0</v>
      </c>
      <c r="I25" s="88">
        <f t="shared" si="18"/>
        <v>0</v>
      </c>
      <c r="J25" s="88">
        <f t="shared" si="18"/>
        <v>0</v>
      </c>
      <c r="K25" s="88">
        <f t="shared" si="18"/>
        <v>0</v>
      </c>
      <c r="L25" s="88">
        <f t="shared" si="18"/>
        <v>0</v>
      </c>
      <c r="M25" s="88">
        <f t="shared" si="18"/>
        <v>0</v>
      </c>
      <c r="N25" s="88">
        <f t="shared" si="18"/>
        <v>0</v>
      </c>
      <c r="O25" s="88">
        <f t="shared" si="18"/>
        <v>0</v>
      </c>
      <c r="P25" s="88">
        <f t="shared" si="18"/>
        <v>0</v>
      </c>
      <c r="Q25" s="88">
        <f t="shared" si="18"/>
        <v>0</v>
      </c>
      <c r="R25" s="88">
        <f t="shared" si="18"/>
        <v>0</v>
      </c>
      <c r="S25" s="88">
        <f t="shared" si="18"/>
        <v>0</v>
      </c>
      <c r="T25" s="88">
        <f t="shared" si="18"/>
        <v>0</v>
      </c>
      <c r="U25" s="88">
        <f t="shared" si="18"/>
        <v>0</v>
      </c>
      <c r="V25" s="88">
        <f t="shared" si="18"/>
        <v>0</v>
      </c>
    </row>
    <row r="26" spans="1:22" x14ac:dyDescent="0.2">
      <c r="A26" s="85">
        <v>10</v>
      </c>
      <c r="B26" s="86">
        <f t="shared" ref="B26:C26" si="19">B12</f>
        <v>0</v>
      </c>
      <c r="C26" s="87">
        <f t="shared" si="19"/>
        <v>0</v>
      </c>
      <c r="D26" s="88">
        <f>D12*$B$12</f>
        <v>0</v>
      </c>
      <c r="E26" s="88">
        <f t="shared" ref="E26:V26" si="20">E12*$B$12</f>
        <v>0</v>
      </c>
      <c r="F26" s="88">
        <f t="shared" si="20"/>
        <v>0</v>
      </c>
      <c r="G26" s="88">
        <f t="shared" si="20"/>
        <v>0</v>
      </c>
      <c r="H26" s="88">
        <f t="shared" si="20"/>
        <v>0</v>
      </c>
      <c r="I26" s="88">
        <f t="shared" si="20"/>
        <v>0</v>
      </c>
      <c r="J26" s="88">
        <f t="shared" si="20"/>
        <v>0</v>
      </c>
      <c r="K26" s="88">
        <f t="shared" si="20"/>
        <v>0</v>
      </c>
      <c r="L26" s="88">
        <f t="shared" si="20"/>
        <v>0</v>
      </c>
      <c r="M26" s="88">
        <f t="shared" si="20"/>
        <v>0</v>
      </c>
      <c r="N26" s="88">
        <f t="shared" si="20"/>
        <v>0</v>
      </c>
      <c r="O26" s="88">
        <f t="shared" si="20"/>
        <v>0</v>
      </c>
      <c r="P26" s="88">
        <f t="shared" si="20"/>
        <v>0</v>
      </c>
      <c r="Q26" s="88">
        <f t="shared" si="20"/>
        <v>0</v>
      </c>
      <c r="R26" s="88">
        <f t="shared" si="20"/>
        <v>0</v>
      </c>
      <c r="S26" s="88">
        <f t="shared" si="20"/>
        <v>0</v>
      </c>
      <c r="T26" s="88">
        <f t="shared" si="20"/>
        <v>0</v>
      </c>
      <c r="U26" s="88">
        <f t="shared" si="20"/>
        <v>0</v>
      </c>
      <c r="V26" s="88">
        <f t="shared" si="20"/>
        <v>0</v>
      </c>
    </row>
    <row r="27" spans="1:22" s="90" customFormat="1" ht="15.75" x14ac:dyDescent="0.25">
      <c r="A27" s="146" t="s">
        <v>85</v>
      </c>
      <c r="B27" s="146"/>
      <c r="C27" s="146"/>
      <c r="D27" s="89">
        <f>SUM(D17:D26)</f>
        <v>0</v>
      </c>
      <c r="E27" s="89">
        <f t="shared" ref="E27:V27" si="21">SUM(E17:E26)</f>
        <v>0</v>
      </c>
      <c r="F27" s="89">
        <f t="shared" si="21"/>
        <v>0</v>
      </c>
      <c r="G27" s="89">
        <f t="shared" si="21"/>
        <v>0</v>
      </c>
      <c r="H27" s="89">
        <f t="shared" si="21"/>
        <v>0</v>
      </c>
      <c r="I27" s="89">
        <f t="shared" si="21"/>
        <v>0</v>
      </c>
      <c r="J27" s="89">
        <f t="shared" si="21"/>
        <v>0</v>
      </c>
      <c r="K27" s="89">
        <f t="shared" si="21"/>
        <v>0</v>
      </c>
      <c r="L27" s="89">
        <f t="shared" si="21"/>
        <v>0</v>
      </c>
      <c r="M27" s="89">
        <f t="shared" si="21"/>
        <v>0</v>
      </c>
      <c r="N27" s="89">
        <f t="shared" si="21"/>
        <v>0</v>
      </c>
      <c r="O27" s="89">
        <f t="shared" si="21"/>
        <v>0</v>
      </c>
      <c r="P27" s="89">
        <f t="shared" si="21"/>
        <v>0</v>
      </c>
      <c r="Q27" s="89">
        <f t="shared" si="21"/>
        <v>0</v>
      </c>
      <c r="R27" s="89">
        <f t="shared" si="21"/>
        <v>0</v>
      </c>
      <c r="S27" s="89">
        <f t="shared" si="21"/>
        <v>0</v>
      </c>
      <c r="T27" s="89">
        <f t="shared" si="21"/>
        <v>0</v>
      </c>
      <c r="U27" s="89">
        <f t="shared" si="21"/>
        <v>0</v>
      </c>
      <c r="V27" s="89">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9be56660-2c31-41ef-bc00-23e72f632f2a">REGU-204-2747797</_dlc_DocId>
    <_dlc_DocIdUrl xmlns="9be56660-2c31-41ef-bc00-23e72f632f2a">
      <Url>https://cyfoethnaturiolcymru.sharepoint.com/teams/Regulatory/Permitting/_layouts/15/DocIdRedir.aspx?ID=REGU-204-2747797</Url>
      <Description>REGU-204-2747797</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IconOverlay xmlns="http://schemas.microsoft.com/sharepoint/v4" xsi:nil="true"/>
    <lcf76f155ced4ddcb4097134ff3c332f xmlns="f4145418-6eb2-4e2f-90f8-d42e4734b249"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2023-05-29T23:00:00+00:00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Trade Effluent Services Limited</Customer_x0020_Name>
    <Surrendered_x002f_Expired_x0020_Date xmlns="859f7ad6-93f6-4205-b62b-a17f28acbba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haredContentType xmlns="Microsoft.SharePoint.Taxonomy.ContentTypeSync" SourceId="78499d3b-94a8-4059-8763-489d4400b14a" ContentTypeId="0x01010067EB80C5FE939D4A9B3D8BA62129B7F50202" PreviousValue="false"/>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773" ma:contentTypeDescription="Permitting &amp; Compliance Excel Document" ma:contentTypeScope="" ma:versionID="5835806c93a02fcc5c616a17421e4f26">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xmlns:ns7="f4145418-6eb2-4e2f-90f8-d42e4734b249" targetNamespace="http://schemas.microsoft.com/office/2006/metadata/properties" ma:root="true" ma:fieldsID="67c69c688fb050e90f3ee9880e2929d6" ns2:_="" ns4:_="" ns5:_="" ns6:_="" ns7:_="">
    <xsd:import namespace="859f7ad6-93f6-4205-b62b-a17f28acbbac"/>
    <xsd:import namespace="005db27c-c37f-4c3b-898d-3fee1249b087"/>
    <xsd:import namespace="http://schemas.microsoft.com/sharepoint/v4"/>
    <xsd:import namespace="9be56660-2c31-41ef-bc00-23e72f632f2a"/>
    <xsd:import namespace="f4145418-6eb2-4e2f-90f8-d42e4734b249"/>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element ref="ns6:_dlc_DocId" minOccurs="0"/>
                <xsd:element ref="ns6:_dlc_DocIdUrl" minOccurs="0"/>
                <xsd:element ref="ns6:_dlc_DocIdPersistId" minOccurs="0"/>
                <xsd:element ref="ns7: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lcf76f155ced4ddcb4097134ff3c332f" ma:index="31"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EB88BFD-E29A-4849-A8E6-116EB74B98EA}">
  <ds:schemaRefs>
    <ds:schemaRef ds:uri="http://schemas.microsoft.com/office/2006/documentManagement/types"/>
    <ds:schemaRef ds:uri="http://schemas.microsoft.com/office/2006/metadata/properties"/>
    <ds:schemaRef ds:uri="http://purl.org/dc/terms/"/>
    <ds:schemaRef ds:uri="http://schemas.openxmlformats.org/package/2006/metadata/core-properties"/>
    <ds:schemaRef ds:uri="http://purl.org/dc/dcmitype/"/>
    <ds:schemaRef ds:uri="http://schemas.microsoft.com/office/infopath/2007/PartnerControls"/>
    <ds:schemaRef ds:uri="9be56660-2c31-41ef-bc00-23e72f632f2a"/>
    <ds:schemaRef ds:uri="http://www.w3.org/XML/1998/namespace"/>
    <ds:schemaRef ds:uri="http://purl.org/dc/elements/1.1/"/>
  </ds:schemaRefs>
</ds:datastoreItem>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DEDA82A9-E601-46A0-A0E8-2EA555F424B6}"/>
</file>

<file path=customXml/itemProps4.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5.xml><?xml version="1.0" encoding="utf-8"?>
<ds:datastoreItem xmlns:ds="http://schemas.openxmlformats.org/officeDocument/2006/customXml" ds:itemID="{9EACF6B3-1903-4E4A-A374-4F04F4281C8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Secanim</vt:lpstr>
      <vt:lpstr>Croda Goole</vt:lpstr>
      <vt:lpstr>Croda Widnes</vt:lpstr>
      <vt:lpstr>Maelor</vt:lpstr>
      <vt:lpstr>Encirc</vt:lpstr>
      <vt:lpstr>Beechdean Ice Cream</vt:lpstr>
      <vt:lpstr>Penderyn Distillery</vt:lpstr>
      <vt:lpstr>Kelloggs</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Louise Bailey</cp:lastModifiedBy>
  <dcterms:created xsi:type="dcterms:W3CDTF">2016-09-26T10:07:59Z</dcterms:created>
  <dcterms:modified xsi:type="dcterms:W3CDTF">2023-05-16T14:18:42Z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0x01010067EB80C5FE939D4A9B3D8BA62129B7F5020200B1B7B466219E9344942345EF36A7F90A</vt:lpwstr>
  </property>
  <property fmtid="{D5CDD505-2E9C-101B-9397-08002B2CF9AE}" pid="3" name="_dlc_DocIdItemGuid">
    <vt:lpwstr>36098b64-a560-4ad3-b3ad-1b6bd73e11e0</vt:lpwstr>
  </property>
  <property fmtid="{D5CDD505-2E9C-101B-9397-08002B2CF9AE}" pid="4" name="MediaServiceImageTags">
    <vt:lpwstr/>
  </property>
</Properties>
</file>