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1636 TES K/"/>
    </mc:Choice>
  </mc:AlternateContent>
  <xr:revisionPtr revIDLastSave="0" documentId="13_ncr:1_{BE88B51C-CEBD-4587-B234-89DE307A3880}" xr6:coauthVersionLast="47" xr6:coauthVersionMax="47" xr10:uidLastSave="{00000000-0000-0000-0000-000000000000}"/>
  <bookViews>
    <workbookView xWindow="-28920" yWindow="1665" windowWidth="29040" windowHeight="15840" tabRatio="870" xr2:uid="{00000000-000D-0000-FFFF-FFFF00000000}"/>
  </bookViews>
  <sheets>
    <sheet name="Secanim" sheetId="1" r:id="rId1"/>
    <sheet name="Croda Goole" sheetId="21" r:id="rId2"/>
    <sheet name="Croda Widnes" sheetId="27" r:id="rId3"/>
    <sheet name="Maelor" sheetId="28" r:id="rId4"/>
    <sheet name="Encirc" sheetId="30" r:id="rId5"/>
    <sheet name="Beechdean Ice cream" sheetId="26" r:id="rId6"/>
    <sheet name="Penderyn Distillery " sheetId="24" r:id="rId7"/>
    <sheet name="Kelloggs"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3"/>
  <c r="L65" i="23"/>
  <c r="M65" i="23"/>
  <c r="N65" i="23"/>
  <c r="O65" i="23"/>
  <c r="P65" i="23"/>
  <c r="Q65" i="23"/>
  <c r="R65" i="23"/>
  <c r="S65" i="23"/>
  <c r="T65" i="23"/>
  <c r="U65" i="23"/>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T22" i="29"/>
  <c r="S22" i="29"/>
  <c r="Q22" i="29"/>
  <c r="L22" i="29"/>
  <c r="V20" i="29"/>
  <c r="U20" i="29"/>
  <c r="T20" i="29"/>
  <c r="S20" i="29"/>
  <c r="R20" i="29"/>
  <c r="Q20" i="29"/>
  <c r="P20" i="29"/>
  <c r="O20" i="29"/>
  <c r="N20" i="29"/>
  <c r="M20" i="29"/>
  <c r="L20" i="29"/>
  <c r="V18" i="29"/>
  <c r="T18" i="29"/>
  <c r="P18" i="29"/>
  <c r="N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V20" i="28"/>
  <c r="U20" i="28"/>
  <c r="T20" i="28"/>
  <c r="S20" i="28"/>
  <c r="R20" i="28"/>
  <c r="Q20" i="28"/>
  <c r="P20" i="28"/>
  <c r="O20" i="28"/>
  <c r="N20" i="28"/>
  <c r="M20" i="28"/>
  <c r="L20" i="28"/>
  <c r="V18" i="28"/>
  <c r="U18" i="28"/>
  <c r="N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Q22" i="27"/>
  <c r="V20" i="27"/>
  <c r="U20" i="27"/>
  <c r="T20" i="27"/>
  <c r="S20" i="27"/>
  <c r="R20" i="27"/>
  <c r="Q20" i="27"/>
  <c r="P20" i="27"/>
  <c r="O20" i="27"/>
  <c r="N20" i="27"/>
  <c r="M20" i="27"/>
  <c r="L20" i="27"/>
  <c r="U18" i="27"/>
  <c r="T18" i="27"/>
  <c r="S18" i="27"/>
  <c r="L18" i="27"/>
  <c r="K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Q22" i="26"/>
  <c r="V20" i="26"/>
  <c r="U20" i="26"/>
  <c r="T20" i="26"/>
  <c r="S20" i="26"/>
  <c r="R20" i="26"/>
  <c r="Q20" i="26"/>
  <c r="P20" i="26"/>
  <c r="O20" i="26"/>
  <c r="N20" i="26"/>
  <c r="M20" i="26"/>
  <c r="L20" i="26"/>
  <c r="V18"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U22" i="24"/>
  <c r="M22" i="24"/>
  <c r="E22" i="24"/>
  <c r="V20" i="24"/>
  <c r="U20" i="24"/>
  <c r="T20" i="24"/>
  <c r="S20" i="24"/>
  <c r="R20" i="24"/>
  <c r="Q20" i="24"/>
  <c r="P20" i="24"/>
  <c r="O20" i="24"/>
  <c r="N20" i="24"/>
  <c r="M20" i="24"/>
  <c r="L20" i="24"/>
  <c r="V18" i="24"/>
  <c r="U18" i="24"/>
  <c r="P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21" i="23"/>
  <c r="E23" i="23" s="1"/>
  <c r="L59" i="23"/>
  <c r="M17" i="23"/>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R59" i="28"/>
  <c r="S17" i="28"/>
  <c r="S21" i="28"/>
  <c r="S23" i="28" s="1"/>
  <c r="I59" i="29"/>
  <c r="J17" i="29"/>
  <c r="J21" i="29"/>
  <c r="J23" i="29" s="1"/>
  <c r="J24"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17" i="23"/>
  <c r="N19" i="23" s="1"/>
  <c r="U59" i="23"/>
  <c r="V21" i="23"/>
  <c r="V23" i="23" s="1"/>
  <c r="V17" i="23"/>
  <c r="I17" i="24"/>
  <c r="I19" i="24" s="1"/>
  <c r="I20" i="24" s="1"/>
  <c r="I21" i="24"/>
  <c r="Q17" i="24"/>
  <c r="Q19" i="24" s="1"/>
  <c r="Q21" i="24"/>
  <c r="Q23" i="24" s="1"/>
  <c r="D59" i="26"/>
  <c r="E21" i="26"/>
  <c r="E17" i="26"/>
  <c r="E19" i="26" s="1"/>
  <c r="E20"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19" i="29" s="1"/>
  <c r="K20"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K19" i="24" s="1"/>
  <c r="K20" i="24" s="1"/>
  <c r="R59" i="24"/>
  <c r="S21" i="24"/>
  <c r="S23"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19" i="24" s="1"/>
  <c r="E20" i="24" s="1"/>
  <c r="E21" i="24"/>
  <c r="L59" i="24"/>
  <c r="M17" i="24"/>
  <c r="M19" i="24" s="1"/>
  <c r="M21" i="24"/>
  <c r="M23"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F20" i="24" s="1"/>
  <c r="M59" i="24"/>
  <c r="N21" i="24"/>
  <c r="N23" i="24" s="1"/>
  <c r="N17" i="24"/>
  <c r="N19" i="24" s="1"/>
  <c r="U59" i="24"/>
  <c r="V21" i="24"/>
  <c r="V17" i="24"/>
  <c r="V19" i="24" s="1"/>
  <c r="I58" i="26"/>
  <c r="I61" i="26" s="1"/>
  <c r="J17" i="26"/>
  <c r="J19" i="26" s="1"/>
  <c r="J20" i="26" s="1"/>
  <c r="J21" i="26"/>
  <c r="J23" i="26" s="1"/>
  <c r="J24" i="26" s="1"/>
  <c r="Q58" i="26"/>
  <c r="Q61" i="26" s="1"/>
  <c r="R21" i="26"/>
  <c r="R23" i="26" s="1"/>
  <c r="R17" i="26"/>
  <c r="R19" i="26" s="1"/>
  <c r="F63" i="26"/>
  <c r="I17" i="27"/>
  <c r="I19" i="27" s="1"/>
  <c r="I20" i="27" s="1"/>
  <c r="Q17" i="27"/>
  <c r="I21" i="28"/>
  <c r="I23" i="28" s="1"/>
  <c r="I24" i="28" s="1"/>
  <c r="I17" i="28"/>
  <c r="Q21" i="28"/>
  <c r="Q23" i="28" s="1"/>
  <c r="Q17" i="28"/>
  <c r="Q19" i="28" s="1"/>
  <c r="H21" i="29"/>
  <c r="H23" i="29" s="1"/>
  <c r="H24" i="29" s="1"/>
  <c r="H17" i="29"/>
  <c r="H19" i="29" s="1"/>
  <c r="H20" i="29" s="1"/>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G21" i="27"/>
  <c r="G23" i="27" s="1"/>
  <c r="G24" i="27" s="1"/>
  <c r="O21" i="27"/>
  <c r="O23"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Q23" i="30"/>
  <c r="E23" i="30"/>
  <c r="U23" i="30"/>
  <c r="J58" i="28"/>
  <c r="J61" i="28" s="1"/>
  <c r="J64" i="28" s="1"/>
  <c r="R58" i="22"/>
  <c r="R61" i="22" s="1"/>
  <c r="R64" i="22" s="1"/>
  <c r="J58" i="23"/>
  <c r="J61" i="23" s="1"/>
  <c r="J58" i="24"/>
  <c r="J61" i="24" s="1"/>
  <c r="J64"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E58" i="22"/>
  <c r="E61"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G23" i="30"/>
  <c r="R19" i="30"/>
  <c r="F63" i="30"/>
  <c r="N63" i="30"/>
  <c r="S19" i="30"/>
  <c r="S23" i="30"/>
  <c r="A31" i="30"/>
  <c r="A33" i="30"/>
  <c r="A39" i="30"/>
  <c r="A41" i="30"/>
  <c r="A47" i="30"/>
  <c r="A49" i="30"/>
  <c r="G57" i="30"/>
  <c r="O57" i="30"/>
  <c r="G59" i="30"/>
  <c r="O59" i="30"/>
  <c r="G63" i="30"/>
  <c r="O63" i="30"/>
  <c r="P63" i="30"/>
  <c r="I63" i="30"/>
  <c r="Q63" i="30"/>
  <c r="T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J20" i="29" s="1"/>
  <c r="R19" i="29"/>
  <c r="F57" i="29"/>
  <c r="N57" i="29"/>
  <c r="F59" i="29"/>
  <c r="N59" i="29"/>
  <c r="F63" i="29"/>
  <c r="N63" i="29"/>
  <c r="H63" i="29"/>
  <c r="S19" i="29"/>
  <c r="K23" i="29"/>
  <c r="K24" i="29" s="1"/>
  <c r="S23" i="29"/>
  <c r="A31" i="29"/>
  <c r="A33" i="29"/>
  <c r="A39" i="29"/>
  <c r="A41" i="29"/>
  <c r="A47" i="29"/>
  <c r="A49" i="29"/>
  <c r="G57" i="29"/>
  <c r="O57" i="29"/>
  <c r="G59" i="29"/>
  <c r="O59" i="29"/>
  <c r="G63" i="29"/>
  <c r="O63" i="29"/>
  <c r="M19" i="29"/>
  <c r="U19" i="29"/>
  <c r="M23" i="29"/>
  <c r="U23" i="29"/>
  <c r="I57" i="29"/>
  <c r="Q57" i="29"/>
  <c r="I63" i="29"/>
  <c r="Q63" i="29"/>
  <c r="F19" i="29"/>
  <c r="F20" i="29" s="1"/>
  <c r="N19" i="29"/>
  <c r="V19" i="29"/>
  <c r="N23" i="29"/>
  <c r="B63" i="29"/>
  <c r="J63" i="29"/>
  <c r="R63" i="29"/>
  <c r="L19"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L19" i="28"/>
  <c r="L23" i="28"/>
  <c r="T23" i="28"/>
  <c r="H59" i="28"/>
  <c r="P59" i="28"/>
  <c r="H63" i="28"/>
  <c r="P63" i="28"/>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D63" i="27"/>
  <c r="L63" i="27"/>
  <c r="T63" i="27"/>
  <c r="H63" i="27"/>
  <c r="Q19" i="27"/>
  <c r="E63" i="27"/>
  <c r="M63" i="27"/>
  <c r="U64" i="26"/>
  <c r="U66" i="26" s="1"/>
  <c r="O23" i="26"/>
  <c r="A31" i="26"/>
  <c r="A33" i="26"/>
  <c r="A37" i="26"/>
  <c r="A39" i="26"/>
  <c r="A41" i="26"/>
  <c r="A45" i="26"/>
  <c r="A47" i="26"/>
  <c r="A49" i="26"/>
  <c r="G57" i="26"/>
  <c r="O57" i="26"/>
  <c r="G59" i="26"/>
  <c r="O59" i="26"/>
  <c r="G63" i="26"/>
  <c r="O63" i="26"/>
  <c r="L19" i="26"/>
  <c r="T19" i="26"/>
  <c r="L23" i="26"/>
  <c r="T23" i="26"/>
  <c r="H63" i="26"/>
  <c r="P63" i="26"/>
  <c r="M19" i="26"/>
  <c r="E23" i="26"/>
  <c r="E24" i="26" s="1"/>
  <c r="M23" i="26"/>
  <c r="I57" i="26"/>
  <c r="Q57" i="26"/>
  <c r="I59" i="26"/>
  <c r="Q59" i="26"/>
  <c r="Q64" i="26" s="1"/>
  <c r="I63" i="26"/>
  <c r="Q63" i="26"/>
  <c r="N19" i="26"/>
  <c r="N23" i="26"/>
  <c r="V23" i="26"/>
  <c r="B63" i="26"/>
  <c r="J63" i="26"/>
  <c r="R63" i="26"/>
  <c r="G19" i="26"/>
  <c r="G20" i="26" s="1"/>
  <c r="O19" i="26"/>
  <c r="A32" i="26"/>
  <c r="A34" i="26"/>
  <c r="A40" i="26"/>
  <c r="A42" i="26"/>
  <c r="A48" i="26"/>
  <c r="A50" i="26"/>
  <c r="C63" i="26"/>
  <c r="K63" i="26"/>
  <c r="S63" i="26"/>
  <c r="P19" i="26"/>
  <c r="D63" i="26"/>
  <c r="L63" i="26"/>
  <c r="I19" i="26"/>
  <c r="I20" i="26" s="1"/>
  <c r="J23" i="24"/>
  <c r="J24" i="24" s="1"/>
  <c r="P23" i="24"/>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I57" i="24"/>
  <c r="Q57" i="24"/>
  <c r="I63" i="24"/>
  <c r="Q63" i="24"/>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M23" i="23"/>
  <c r="I57" i="23"/>
  <c r="Q57"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7" l="1"/>
  <c r="J65" i="24"/>
  <c r="J65" i="28"/>
  <c r="H65" i="30"/>
  <c r="I65" i="27"/>
  <c r="I65" i="28"/>
  <c r="I65" i="29"/>
  <c r="D65" i="21"/>
  <c r="D65" i="28"/>
  <c r="C19" i="29"/>
  <c r="C20" i="29" s="1"/>
  <c r="B65" i="24"/>
  <c r="C65" i="21"/>
  <c r="J64" i="23"/>
  <c r="J65" i="23" s="1"/>
  <c r="J64" i="30"/>
  <c r="J65" i="30" s="1"/>
  <c r="I64" i="30"/>
  <c r="I65" i="30" s="1"/>
  <c r="H64" i="26"/>
  <c r="H65" i="26" s="1"/>
  <c r="E64" i="22"/>
  <c r="E65" i="22" s="1"/>
  <c r="E64" i="27"/>
  <c r="E65" i="27" s="1"/>
  <c r="E64" i="30"/>
  <c r="E65" i="30" s="1"/>
  <c r="D64" i="24"/>
  <c r="D65" i="24" s="1"/>
  <c r="D64" i="30"/>
  <c r="D65" i="30" s="1"/>
  <c r="C64" i="29"/>
  <c r="C65" i="29" s="1"/>
  <c r="C64" i="26"/>
  <c r="C65" i="26" s="1"/>
  <c r="C64" i="27"/>
  <c r="C65" i="27" s="1"/>
  <c r="C64" i="30"/>
  <c r="C65" i="30" s="1"/>
  <c r="C64" i="23"/>
  <c r="C65" i="23" s="1"/>
  <c r="B64" i="30"/>
  <c r="B65" i="30" s="1"/>
  <c r="I64" i="26"/>
  <c r="I65" i="26" s="1"/>
  <c r="G64" i="30"/>
  <c r="G65" i="30" s="1"/>
  <c r="F64" i="26"/>
  <c r="F66" i="26"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H66" i="23"/>
  <c r="J66" i="27"/>
  <c r="G64" i="27"/>
  <c r="F64" i="27"/>
  <c r="T66" i="27"/>
  <c r="L66" i="29"/>
  <c r="Q66" i="22"/>
  <c r="C66" i="22"/>
  <c r="T66" i="21"/>
  <c r="S66" i="23"/>
  <c r="H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J66" i="24"/>
  <c r="Q66" i="29"/>
  <c r="F64" i="29"/>
  <c r="O64" i="23"/>
  <c r="O66" i="23" s="1"/>
  <c r="O64" i="30"/>
  <c r="O66" i="30" s="1"/>
  <c r="N64" i="24"/>
  <c r="N66" i="24" s="1"/>
  <c r="B66" i="24"/>
  <c r="K66" i="30"/>
  <c r="C66" i="30"/>
  <c r="R66" i="29"/>
  <c r="M66" i="29"/>
  <c r="I66" i="29"/>
  <c r="S66" i="29"/>
  <c r="T66" i="28"/>
  <c r="D66" i="28"/>
  <c r="M66" i="28"/>
  <c r="Q66" i="28"/>
  <c r="I66" i="28"/>
  <c r="S66" i="28"/>
  <c r="K66" i="28"/>
  <c r="Q66" i="27"/>
  <c r="I66" i="27"/>
  <c r="P66" i="27"/>
  <c r="Q66" i="26"/>
  <c r="P66" i="26"/>
  <c r="C66" i="26"/>
  <c r="L66" i="24"/>
  <c r="P66" i="24"/>
  <c r="D66" i="24"/>
  <c r="K66" i="24"/>
  <c r="M66" i="24"/>
  <c r="I66" i="23"/>
  <c r="N66" i="23"/>
  <c r="E66" i="23"/>
  <c r="I66" i="22"/>
  <c r="M66" i="22"/>
  <c r="S66" i="22"/>
  <c r="K66" i="22"/>
  <c r="T66" i="22"/>
  <c r="M66" i="21"/>
  <c r="K66" i="21"/>
  <c r="C66" i="21"/>
  <c r="D66" i="21"/>
  <c r="R66" i="21"/>
  <c r="N64" i="1"/>
  <c r="M64" i="1"/>
  <c r="T64" i="1"/>
  <c r="L64" i="1"/>
  <c r="J64" i="1"/>
  <c r="K64" i="1"/>
  <c r="O64" i="1"/>
  <c r="C64" i="1"/>
  <c r="C65" i="1" s="1"/>
  <c r="I64" i="1"/>
  <c r="H64" i="1"/>
  <c r="G64" i="1"/>
  <c r="F64" i="1"/>
  <c r="F65" i="1" s="1"/>
  <c r="E64" i="1"/>
  <c r="D64" i="1"/>
  <c r="D65" i="1" s="1"/>
  <c r="B64" i="1"/>
  <c r="B65" i="1" s="1"/>
  <c r="D63" i="1"/>
  <c r="L63" i="1"/>
  <c r="F63" i="1"/>
  <c r="R63" i="1"/>
  <c r="J63" i="1"/>
  <c r="Q63" i="1"/>
  <c r="Q66" i="1" s="1"/>
  <c r="I63" i="1"/>
  <c r="C63" i="1"/>
  <c r="K63" i="1"/>
  <c r="P63" i="1"/>
  <c r="H63" i="1"/>
  <c r="T63" i="1"/>
  <c r="T66" i="1" s="1"/>
  <c r="S63" i="1"/>
  <c r="O63" i="1"/>
  <c r="G63" i="1"/>
  <c r="N63" i="1"/>
  <c r="E63" i="1"/>
  <c r="B63" i="1"/>
  <c r="U63" i="1"/>
  <c r="M63" i="1"/>
  <c r="J65" i="1" l="1"/>
  <c r="G65" i="1"/>
  <c r="H65" i="1"/>
  <c r="I65" i="1"/>
  <c r="E65" i="1"/>
  <c r="J66" i="26"/>
  <c r="J66" i="30"/>
  <c r="I66" i="26"/>
  <c r="I66" i="30"/>
  <c r="I66" i="24"/>
  <c r="H66" i="26"/>
  <c r="E66" i="27"/>
  <c r="E66" i="30"/>
  <c r="C66" i="27"/>
  <c r="C66" i="23"/>
  <c r="B66" i="30"/>
  <c r="G66" i="30"/>
  <c r="F65" i="26"/>
  <c r="J66" i="29"/>
  <c r="J65" i="29"/>
  <c r="J66" i="21"/>
  <c r="J65" i="21"/>
  <c r="J66" i="22"/>
  <c r="J65" i="22"/>
  <c r="I66" i="21"/>
  <c r="I65" i="21"/>
  <c r="H66" i="27"/>
  <c r="H65" i="27"/>
  <c r="H66" i="28"/>
  <c r="H65" i="28"/>
  <c r="H66" i="24"/>
  <c r="H65" i="24"/>
  <c r="H66" i="29"/>
  <c r="H65" i="29"/>
  <c r="H66" i="21"/>
  <c r="G66" i="24"/>
  <c r="G65" i="24"/>
  <c r="G66" i="22"/>
  <c r="G65" i="22"/>
  <c r="G66" i="28"/>
  <c r="G65" i="28"/>
  <c r="G66" i="27"/>
  <c r="G65" i="27"/>
  <c r="G66" i="29"/>
  <c r="G65" i="29"/>
  <c r="G66" i="21"/>
  <c r="G65" i="21"/>
  <c r="G66" i="23"/>
  <c r="G65" i="23"/>
  <c r="G66" i="26"/>
  <c r="G65" i="26"/>
  <c r="F66" i="29"/>
  <c r="F65" i="29"/>
  <c r="F66" i="23"/>
  <c r="F65" i="23"/>
  <c r="F66" i="28"/>
  <c r="F65" i="28"/>
  <c r="F66" i="24"/>
  <c r="F65" i="24"/>
  <c r="F66" i="30"/>
  <c r="F65" i="30"/>
  <c r="F66" i="21"/>
  <c r="F65" i="21"/>
  <c r="F66" i="22"/>
  <c r="F65" i="22"/>
  <c r="F66" i="27"/>
  <c r="F65" i="27"/>
  <c r="E66" i="29"/>
  <c r="E65" i="29"/>
  <c r="E66" i="26"/>
  <c r="E65" i="26"/>
  <c r="E66" i="28"/>
  <c r="E65" i="28"/>
  <c r="E66" i="21"/>
  <c r="E65" i="21"/>
  <c r="E66" i="24"/>
  <c r="E65" i="24"/>
  <c r="D66" i="23"/>
  <c r="D66" i="22"/>
  <c r="D66" i="26"/>
  <c r="D66" i="29"/>
  <c r="C66" i="28"/>
  <c r="C65" i="28"/>
  <c r="C66" i="24"/>
  <c r="C65" i="24"/>
  <c r="B66" i="27"/>
  <c r="B65" i="27"/>
  <c r="B66" i="29"/>
  <c r="B65" i="29"/>
  <c r="B66" i="21"/>
  <c r="B65" i="21"/>
  <c r="B66" i="22"/>
  <c r="B65" i="22"/>
  <c r="B66" i="26"/>
  <c r="B65" i="26"/>
  <c r="B66" i="28"/>
  <c r="B65" i="28"/>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<sst xmlns="http://schemas.openxmlformats.org/spreadsheetml/2006/main" count="2176" uniqueCount="190">
  <si>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</si>
  <si>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</si>
  <si>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</si>
  <si>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</si>
  <si>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</si>
  <si>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</si>
  <si>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</si>
  <si>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</si>
  <si>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</si>
  <si>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</si>
  <si>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</si>
  <si>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</si>
  <si>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</si>
  <si>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</si>
  <si>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</si>
  <si>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</si>
  <si>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</si>
  <si>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</si>
  <si>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</si>
  <si>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</si>
  <si>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</si>
  <si>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</si>
  <si>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</si>
  <si>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</si>
  <si>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</si>
  <si>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</si>
  <si>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</si>
  <si>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</si>
  <si>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</si>
  <si>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</si>
  <si>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</si>
  <si>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</si>
  <si>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</si>
  <si>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</si>
  <si>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</si>
  <si>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</si>
  <si>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</si>
  <si>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</si>
  <si>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</si>
  <si>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</si>
  <si>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</si>
  <si>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</si>
  <si>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</si>
  <si>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</si>
  <si>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</si>
  <si>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</si>
  <si>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</si>
  <si>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</si>
  <si>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</si>
  <si>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</si>
  <si>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</si>
  <si>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</si>
  <si>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</si>
  <si>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</si>
  <si>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</si>
  <si>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</si>
  <si>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</si>
  <si>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</si>
  <si>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</si>
  <si>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</si>
  <si>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</si>
  <si>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</si>
  <si>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</si>
  <si>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</si>
  <si>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</si>
  <si>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</si>
  <si>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</si>
  <si>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</si>
  <si>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</si>
  <si>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</si>
  <si>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</si>
  <si>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</si>
  <si>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</si>
  <si>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</si>
  <si>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</si>
  <si>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</si>
  <si>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</si>
  <si>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</si>
  <si>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</si>
  <si>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</si>
  <si>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</si>
  <si>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</si>
  <si>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</si>
  <si>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</si>
  <si>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</si>
  <si>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</si>
  <si>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</si>
  <si>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</si>
  <si>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</si>
  <si>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</si>
  <si>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</si>
  <si>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</si>
  <si>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</si>
  <si>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</si>
  <si>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</si>
  <si>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</si>
  <si>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</si>
  <si>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</si>
  <si>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</si>
  <si>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</si>
  <si>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</si>
  <si>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</si>
  <si>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</si>
  <si>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</si>
  <si>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</si>
  <si>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</si>
  <si>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</si>
  <si>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</si>
  <si>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</si>
  <si>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</si>
  <si>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</si>
  <si>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</si>
  <si>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</si>
  <si>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</si>
  <si>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</si>
  <si>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</si>
  <si>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</si>
  <si>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</si>
  <si>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</si>
  <si>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</si>
  <si>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</si>
  <si>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</si>
  <si>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</si>
  <si>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</si>
  <si>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</si>
  <si>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</si>
  <si>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</si>
  <si>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</si>
  <si>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</si>
  <si>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</si>
  <si>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</si>
  <si>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</si>
  <si>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</si>
  <si>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</si>
  <si>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</si>
  <si>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</si>
  <si>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</si>
  <si>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</si>
  <si>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</si>
  <si>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</si>
  <si>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</si>
  <si>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</si>
  <si>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</si>
  <si>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</si>
  <si>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</si>
  <si>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</si>
  <si>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</si>
  <si>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</si>
  <si>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</si>
  <si>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</si>
  <si>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</si>
  <si>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</si>
  <si>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</si>
  <si>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</si>
  <si>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</si>
  <si>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</si>
  <si>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</si>
  <si>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</si>
  <si>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</si>
  <si>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</si>
  <si>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PAN-021636</t>
  </si>
  <si>
    <t>EPR-KP3594VE</t>
  </si>
  <si>
    <t>Trade Effluent Services Limited</t>
  </si>
  <si>
    <t>Kilford farm, Whitchurch Road, Denbighshire, LL16 4ER</t>
  </si>
  <si>
    <t>Louise Bailey</t>
  </si>
  <si>
    <t>DE1</t>
  </si>
  <si>
    <t>DE2</t>
  </si>
  <si>
    <t>DE3</t>
  </si>
  <si>
    <t>DE4</t>
  </si>
  <si>
    <t>DE5</t>
  </si>
  <si>
    <t>DE6</t>
  </si>
  <si>
    <t>DE9</t>
  </si>
  <si>
    <t>DE9A</t>
  </si>
  <si>
    <t>DE10</t>
  </si>
  <si>
    <t>02 02 04</t>
  </si>
  <si>
    <t xml:space="preserve">Secanim </t>
  </si>
  <si>
    <t>07 07 12</t>
  </si>
  <si>
    <t>Croda Goole</t>
  </si>
  <si>
    <t>Croda Widnes</t>
  </si>
  <si>
    <t>02 03 05</t>
  </si>
  <si>
    <t>Maelor</t>
  </si>
  <si>
    <t>Encirc</t>
  </si>
  <si>
    <t>02 07 05</t>
  </si>
  <si>
    <t>Beechdean Ice cream</t>
  </si>
  <si>
    <t>02 05 01</t>
  </si>
  <si>
    <t xml:space="preserve">Penderyn Distillery </t>
  </si>
  <si>
    <t>Kelloggs</t>
  </si>
  <si>
    <t>2-</t>
  </si>
  <si>
    <t>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</si>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</sst>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5" dataDxfId="403" headerRowBorderDxfId="404" tableBorderDxfId="402" totalsRowBorderDxfId="401">
  <autoFilter ref="AI1:AN26" xr:uid="{F8B5EC87-3095-445A-A980-2CFAA0A7B9A2}"/>
  <sortState xmlns:xlrd2="http://schemas.microsoft.com/office/spreadsheetml/2017/richdata2" ref="AI2:AL25">
    <sortCondition ref="AL1:AL25"/>
  </sortState>
  <tableColumns count="6">
    <tableColumn id="1" xr3:uid="{360F44E4-7249-415F-8D5E-41D249F9A162}" name="Crop" dataDxfId="400"/>
    <tableColumn id="2" xr3:uid="{55E07717-B4EC-4E8A-B9A9-34F3CF85E32D}" name="P Offtake" dataDxfId="399"/>
    <tableColumn id="3" xr3:uid="{7B25FA52-8104-4FE3-AED4-B53CBFDF89B2}" name="K Offtake" dataDxfId="398"/>
    <tableColumn id="4" xr3:uid="{0DBAE461-2D09-43C8-9342-3980D552AE4D}" name="Order" dataDxfId="397"/>
    <tableColumn id="5" xr3:uid="{52CACE7B-0CBA-46FC-9F24-02CBD6100239}" name="Lime pH requirement" dataDxfId="396"/>
    <tableColumn id="6" xr3:uid="{F1432630-9B16-4266-8147-CE754A715307}" name="Column1" dataDxfId="3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63" dataDxfId="361" headerRowBorderDxfId="362" tableBorderDxfId="360" totalsRowBorderDxfId="359">
  <autoFilter ref="AI1:AN26" xr:uid="{F8B5EC87-3095-445A-A980-2CFAA0A7B9A2}"/>
  <sortState xmlns:xlrd2="http://schemas.microsoft.com/office/spreadsheetml/2017/richdata2" ref="AI2:AL25">
    <sortCondition ref="AL1:AL25"/>
  </sortState>
  <tableColumns count="6">
    <tableColumn id="1" xr3:uid="{7E96A84B-948F-445F-BD6E-30CC8E6E6DD1}" name="Crop" dataDxfId="358"/>
    <tableColumn id="2" xr3:uid="{12657DDB-F680-47DE-ABB1-8675D5F91E41}" name="P Offtake" dataDxfId="357"/>
    <tableColumn id="3" xr3:uid="{DEB99109-D325-4F98-8A71-E70C03433437}" name="K Offtake" dataDxfId="356"/>
    <tableColumn id="4" xr3:uid="{E96A561F-7E7F-4FB3-97AA-0B35D8C8E93A}" name="Order" dataDxfId="355"/>
    <tableColumn id="5" xr3:uid="{181DD475-0A71-4C52-AF1A-8BFF46F5A827}" name="Lime pH requirement" dataDxfId="354"/>
    <tableColumn id="6" xr3:uid="{AC3FA7E8-D76B-43A3-B715-04446DFF63C6}" name="Column1" dataDxfId="35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21" dataDxfId="319" headerRowBorderDxfId="320" tableBorderDxfId="318" totalsRowBorderDxfId="317">
  <autoFilter ref="AI1:AN26" xr:uid="{F8B5EC87-3095-445A-A980-2CFAA0A7B9A2}"/>
  <sortState xmlns:xlrd2="http://schemas.microsoft.com/office/spreadsheetml/2017/richdata2" ref="AI2:AL25">
    <sortCondition ref="AL1:AL25"/>
  </sortState>
  <tableColumns count="6">
    <tableColumn id="1" xr3:uid="{06008BA1-A1E9-4286-B67A-352533C06A26}" name="Crop" dataDxfId="316"/>
    <tableColumn id="2" xr3:uid="{2AEB5EEB-C9D1-41DC-913E-953A33D1A4AF}" name="P Offtake" dataDxfId="315"/>
    <tableColumn id="3" xr3:uid="{8FA16A0B-1017-4CEE-862E-0A8CBD8EB3D3}" name="K Offtake" dataDxfId="314"/>
    <tableColumn id="4" xr3:uid="{E7A3B8CD-4036-47F4-B818-C3F22E80C749}" name="Order" dataDxfId="313"/>
    <tableColumn id="5" xr3:uid="{8F3EBD84-7904-4559-9B5C-63088B792C98}" name="Lime pH requirement" dataDxfId="312"/>
    <tableColumn id="6" xr3:uid="{A21DD95A-C955-4510-9114-E3F1CB645370}" name="Column1" dataDxfId="31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79" dataDxfId="277" headerRowBorderDxfId="278" tableBorderDxfId="276" totalsRowBorderDxfId="275">
  <autoFilter ref="AI1:AN26" xr:uid="{F8B5EC87-3095-445A-A980-2CFAA0A7B9A2}"/>
  <sortState xmlns:xlrd2="http://schemas.microsoft.com/office/spreadsheetml/2017/richdata2" ref="AI2:AL25">
    <sortCondition ref="AL1:AL25"/>
  </sortState>
  <tableColumns count="6">
    <tableColumn id="1" xr3:uid="{11579FCC-3D9F-49AD-888D-5D79B801F6AE}" name="Crop" dataDxfId="274"/>
    <tableColumn id="2" xr3:uid="{05C08116-56D5-4CC6-A649-B06AF891B931}" name="P Offtake" dataDxfId="273"/>
    <tableColumn id="3" xr3:uid="{59CDE959-192B-4757-9203-A0F691CF0F96}" name="K Offtake" dataDxfId="272"/>
    <tableColumn id="4" xr3:uid="{9FB8E4F7-B91F-4CE0-AF39-D4895D0ECF2F}" name="Order" dataDxfId="271"/>
    <tableColumn id="5" xr3:uid="{688FF2A4-D7C6-4425-A915-A9ADD700A9EE}" name="Lime pH requirement" dataDxfId="270"/>
    <tableColumn id="6" xr3:uid="{05FC5CFF-3D81-4B5F-87C7-2364076F2714}" name="Column1" dataDxfId="26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37" dataDxfId="235" headerRowBorderDxfId="236" tableBorderDxfId="234" totalsRowBorderDxfId="233">
  <autoFilter ref="AI1:AN26" xr:uid="{F8B5EC87-3095-445A-A980-2CFAA0A7B9A2}"/>
  <sortState xmlns:xlrd2="http://schemas.microsoft.com/office/spreadsheetml/2017/richdata2" ref="AI2:AL25">
    <sortCondition ref="AL1:AL25"/>
  </sortState>
  <tableColumns count="6">
    <tableColumn id="1" xr3:uid="{973D7FFB-D248-4199-9B2E-B3C6CC09D382}" name="Crop" dataDxfId="232"/>
    <tableColumn id="2" xr3:uid="{7F2A3986-EC86-4CF9-BD10-791170BA6682}" name="P Offtake" dataDxfId="231"/>
    <tableColumn id="3" xr3:uid="{D6129C35-9DC6-42E5-AE3F-EA3A083168E6}" name="K Offtake" dataDxfId="230"/>
    <tableColumn id="4" xr3:uid="{C1CC42B5-564A-4DE7-B817-B7D686FE9A11}" name="Order" dataDxfId="229"/>
    <tableColumn id="5" xr3:uid="{620F3ABD-564C-411A-8DEA-CE1A34F9FC36}" name="Lime pH requirement" dataDxfId="228"/>
    <tableColumn id="6" xr3:uid="{76C9BC4F-4FF3-4AFB-8E7B-16DC0CC3E97C}" name="Column1" dataDxfId="22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95" dataDxfId="193" headerRowBorderDxfId="194" tableBorderDxfId="192" totalsRowBorderDxfId="191">
  <autoFilter ref="AI1:AN26" xr:uid="{F8B5EC87-3095-445A-A980-2CFAA0A7B9A2}"/>
  <sortState xmlns:xlrd2="http://schemas.microsoft.com/office/spreadsheetml/2017/richdata2" ref="AI2:AL25">
    <sortCondition ref="AL1:AL25"/>
  </sortState>
  <tableColumns count="6">
    <tableColumn id="1" xr3:uid="{D13A12FC-EAE6-4280-A219-C2622262E5F4}" name="Crop" dataDxfId="190"/>
    <tableColumn id="2" xr3:uid="{FD06C4A3-4B75-490D-88CF-232C7DC3EFC6}" name="P Offtake" dataDxfId="189"/>
    <tableColumn id="3" xr3:uid="{B043BEFF-10D4-4840-989B-BB13A502ECDF}" name="K Offtake" dataDxfId="188"/>
    <tableColumn id="4" xr3:uid="{48481FDC-5D20-466C-B554-D45886EA366A}" name="Order" dataDxfId="187"/>
    <tableColumn id="5" xr3:uid="{9E0852D2-9D0D-44AB-98B7-FBA51F331ACF}" name="Lime pH requirement" dataDxfId="186"/>
    <tableColumn id="6" xr3:uid="{29F9C4A5-6854-4F37-8BD1-0DD9B6024A55}" name="Column1" dataDxfId="1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53" dataDxfId="151" headerRowBorderDxfId="152" tableBorderDxfId="150" totalsRowBorderDxfId="149">
  <autoFilter ref="AI1:AN26" xr:uid="{F8B5EC87-3095-445A-A980-2CFAA0A7B9A2}"/>
  <sortState xmlns:xlrd2="http://schemas.microsoft.com/office/spreadsheetml/2017/richdata2" ref="AI2:AL25">
    <sortCondition ref="AL1:AL25"/>
  </sortState>
  <tableColumns count="6">
    <tableColumn id="1" xr3:uid="{1B554ED3-7AAF-4192-827C-B071945474B8}" name="Crop" dataDxfId="148"/>
    <tableColumn id="2" xr3:uid="{35F435E0-8D8E-44D1-84BD-C2FF51C3F944}" name="P Offtake" dataDxfId="147"/>
    <tableColumn id="3" xr3:uid="{38465C9D-AA8F-443A-80F5-96D1F6258317}" name="K Offtake" dataDxfId="146"/>
    <tableColumn id="4" xr3:uid="{E0C0E6AF-5628-4BC3-9625-81A87B93D279}" name="Order" dataDxfId="145"/>
    <tableColumn id="5" xr3:uid="{ACDE1D9A-7F94-4404-BDDC-1235C32C758F}" name="Lime pH requirement" dataDxfId="144"/>
    <tableColumn id="6" xr3:uid="{B093C9DF-C4CF-4906-9658-89F446EB9C12}" name="Column1" dataDxfId="14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11" dataDxfId="109" headerRowBorderDxfId="110" tableBorderDxfId="108" totalsRowBorderDxfId="107">
  <autoFilter ref="AI1:AN26" xr:uid="{F8B5EC87-3095-445A-A980-2CFAA0A7B9A2}"/>
  <sortState xmlns:xlrd2="http://schemas.microsoft.com/office/spreadsheetml/2017/richdata2" ref="AI2:AL25">
    <sortCondition ref="AL1:AL25"/>
  </sortState>
  <tableColumns count="6">
    <tableColumn id="1" xr3:uid="{C4B2E6E9-5990-417D-9E04-7933BDF1FC69}" name="Crop" dataDxfId="106"/>
    <tableColumn id="2" xr3:uid="{E74EF8D0-6C68-49B8-AE52-40C276CA5FC9}" name="P Offtake" dataDxfId="105"/>
    <tableColumn id="3" xr3:uid="{9E0A7857-36E3-482D-B4B2-65B90760417F}" name="K Offtake" dataDxfId="104"/>
    <tableColumn id="4" xr3:uid="{A78867D2-7566-4070-AF99-15EE4CEB1699}" name="Order" dataDxfId="103"/>
    <tableColumn id="5" xr3:uid="{240FD5FA-5659-468E-8544-C93086800EC9}" name="Lime pH requirement" dataDxfId="102"/>
    <tableColumn id="6" xr3:uid="{D5C8E9C3-9076-473B-AE62-DA32692BAABC}" name="Column1" dataDxfId="10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69" dataDxfId="67" headerRowBorderDxfId="68" tableBorderDxfId="66" totalsRowBorderDxfId="65">
  <autoFilter ref="AI1:AN26" xr:uid="{F8B5EC87-3095-445A-A980-2CFAA0A7B9A2}"/>
  <sortState xmlns:xlrd2="http://schemas.microsoft.com/office/spreadsheetml/2017/richdata2" ref="AI2:AL25">
    <sortCondition ref="AL1:AL25"/>
  </sortState>
  <tableColumns count="6">
    <tableColumn id="1" xr3:uid="{82F1A1D2-F5AA-4D76-98E8-3C18592FB8CF}" name="Crop" dataDxfId="64"/>
    <tableColumn id="2" xr3:uid="{17F60BEE-3BBA-4198-AA21-518EC4696EB6}" name="P Offtake" dataDxfId="63"/>
    <tableColumn id="3" xr3:uid="{95D820EB-2583-433A-A070-6E8356E186E7}" name="K Offtake" dataDxfId="62"/>
    <tableColumn id="4" xr3:uid="{F3AE1839-F59F-4A70-B11A-A32E3FDD1A00}" name="Order" dataDxfId="61"/>
    <tableColumn id="5" xr3:uid="{C52880C5-B266-4CF0-9A11-778ABC47F9F0}" name="Lime pH requirement" dataDxfId="60"/>
    <tableColumn id="6" xr3:uid="{233F7657-9414-44B1-9E43-A91A69CB97ED}" name="Column1"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7" dataDxfId="25" headerRowBorderDxfId="26" tableBorderDxfId="24" totalsRowBorderDxfId="23">
  <autoFilter ref="AI1:AN26" xr:uid="{F8B5EC87-3095-445A-A980-2CFAA0A7B9A2}"/>
  <sortState xmlns:xlrd2="http://schemas.microsoft.com/office/spreadsheetml/2017/richdata2" ref="AI2:AL25">
    <sortCondition ref="AL1:AL25"/>
  </sortState>
  <tableColumns count="6">
    <tableColumn id="1" xr3:uid="{34C99CE0-FFE9-4282-9A7F-89014FFD2010}" name="Crop" dataDxfId="22"/>
    <tableColumn id="2" xr3:uid="{D81725A7-3522-491F-9BAF-35ADAADB5C49}" name="P Offtake" dataDxfId="21"/>
    <tableColumn id="3" xr3:uid="{E1F3CA70-D73E-4B9D-9A9F-F209536EAEFF}" name="K Offtake" dataDxfId="20"/>
    <tableColumn id="4" xr3:uid="{41F03B60-DF58-4AA1-9642-EF87A44AF9EC}" name="Order" dataDxfId="19"/>
    <tableColumn id="5" xr3:uid="{F3D9EC0E-6F67-4466-B24D-F47864B8CBA4}" name="Lime pH requirement" dataDxfId="18"/>
    <tableColumn id="6" xr3:uid="{D49CA6DF-7C49-4445-A0D2-0F2C2FDFB7ED}" name="Column1" dataDxfId="1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L15" sqref="L1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8" t="s">
        <v>41</v>
      </c>
      <c r="B1" s="128"/>
      <c r="C1" s="122" t="s">
        <v>160</v>
      </c>
      <c r="D1" s="123"/>
      <c r="E1" s="93" t="s">
        <v>45</v>
      </c>
      <c r="F1" s="96">
        <v>48.79</v>
      </c>
      <c r="G1" s="124" t="s">
        <v>43</v>
      </c>
      <c r="H1" s="125"/>
      <c r="I1" s="119">
        <v>6.01</v>
      </c>
      <c r="J1" s="128" t="s">
        <v>153</v>
      </c>
      <c r="K1" s="128"/>
      <c r="L1" s="119">
        <v>648</v>
      </c>
      <c r="AB1" s="18"/>
      <c r="AC1" s="18"/>
      <c r="AD1" s="30" t="s">
        <v>126</v>
      </c>
      <c r="AE1" s="17"/>
      <c r="AF1" s="17"/>
      <c r="AG1" s="18"/>
      <c r="AH1" s="18"/>
      <c r="AI1" s="40" t="s">
        <v>79</v>
      </c>
      <c r="AJ1" s="41" t="s">
        <v>94</v>
      </c>
      <c r="AK1" s="42" t="s">
        <v>95</v>
      </c>
      <c r="AL1" s="43" t="s">
        <v>125</v>
      </c>
      <c r="AM1" s="43" t="s">
        <v>131</v>
      </c>
      <c r="AN1" s="43" t="s">
        <v>111</v>
      </c>
    </row>
    <row r="2" spans="1:40" x14ac:dyDescent="0.2">
      <c r="A2" s="128" t="s">
        <v>87</v>
      </c>
      <c r="B2" s="128"/>
      <c r="C2" s="120" t="s">
        <v>161</v>
      </c>
      <c r="D2" s="121"/>
      <c r="E2" s="93" t="s">
        <v>109</v>
      </c>
      <c r="F2" s="96" t="s">
        <v>174</v>
      </c>
      <c r="G2" s="126" t="s">
        <v>110</v>
      </c>
      <c r="H2" s="127"/>
      <c r="I2" s="119">
        <v>1818</v>
      </c>
      <c r="J2" s="128" t="s">
        <v>158</v>
      </c>
      <c r="K2" s="128"/>
      <c r="L2" s="119">
        <v>0.3</v>
      </c>
      <c r="AB2" s="30" t="s">
        <v>56</v>
      </c>
      <c r="AC2" s="17"/>
      <c r="AD2" s="30" t="s">
        <v>70</v>
      </c>
      <c r="AE2" s="17"/>
      <c r="AF2" s="17"/>
      <c r="AG2" s="44" t="s">
        <v>76</v>
      </c>
      <c r="AH2" s="18"/>
      <c r="AI2" s="45" t="s">
        <v>126</v>
      </c>
      <c r="AJ2" s="46">
        <v>0</v>
      </c>
      <c r="AK2" s="47">
        <v>0</v>
      </c>
      <c r="AL2" s="10">
        <v>0</v>
      </c>
      <c r="AM2" s="11">
        <v>0</v>
      </c>
      <c r="AN2" s="11">
        <v>0</v>
      </c>
    </row>
    <row r="3" spans="1:40" x14ac:dyDescent="0.2">
      <c r="A3" s="124" t="s">
        <v>42</v>
      </c>
      <c r="B3" s="125"/>
      <c r="C3" s="120" t="s">
        <v>162</v>
      </c>
      <c r="D3" s="121"/>
      <c r="E3" s="93" t="s">
        <v>108</v>
      </c>
      <c r="F3" s="31"/>
      <c r="G3" s="128" t="s">
        <v>159</v>
      </c>
      <c r="H3" s="128"/>
      <c r="I3" s="119">
        <v>12720</v>
      </c>
      <c r="J3" s="124" t="s">
        <v>154</v>
      </c>
      <c r="K3" s="125"/>
      <c r="L3" s="96">
        <f>(L1/(L2*10000))*100</f>
        <v>21.6</v>
      </c>
      <c r="AB3" s="30" t="s">
        <v>57</v>
      </c>
      <c r="AC3" s="17"/>
      <c r="AD3" s="30" t="s">
        <v>71</v>
      </c>
      <c r="AE3" s="17"/>
      <c r="AF3" s="17"/>
      <c r="AG3" s="44" t="s">
        <v>77</v>
      </c>
      <c r="AH3" s="18"/>
      <c r="AI3" s="48" t="s">
        <v>113</v>
      </c>
      <c r="AJ3" s="49">
        <v>1.7</v>
      </c>
      <c r="AK3" s="50">
        <v>6</v>
      </c>
      <c r="AL3" s="51">
        <v>1</v>
      </c>
      <c r="AM3" s="11">
        <v>6.2</v>
      </c>
      <c r="AN3" s="11" t="s">
        <v>112</v>
      </c>
    </row>
    <row r="4" spans="1:40" x14ac:dyDescent="0.2">
      <c r="A4" s="128" t="s">
        <v>0</v>
      </c>
      <c r="B4" s="128"/>
      <c r="C4" s="122" t="s">
        <v>163</v>
      </c>
      <c r="D4" s="123"/>
      <c r="E4" s="94" t="s">
        <v>1</v>
      </c>
      <c r="F4" s="95" t="s">
        <v>175</v>
      </c>
      <c r="G4" s="128"/>
      <c r="H4" s="128"/>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x14ac:dyDescent="0.2">
      <c r="A5" s="128" t="s">
        <v>47</v>
      </c>
      <c r="B5" s="128"/>
      <c r="C5" s="129" t="s">
        <v>164</v>
      </c>
      <c r="D5" s="129"/>
      <c r="E5" s="94"/>
      <c r="F5" s="95"/>
      <c r="G5" s="128"/>
      <c r="H5" s="128"/>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8" t="s">
        <v>2</v>
      </c>
      <c r="B8" s="128"/>
      <c r="C8" s="15" t="s">
        <v>165</v>
      </c>
      <c r="D8" s="15" t="s">
        <v>166</v>
      </c>
      <c r="E8" s="15" t="s">
        <v>167</v>
      </c>
      <c r="F8" s="15" t="s">
        <v>168</v>
      </c>
      <c r="G8" s="15" t="s">
        <v>169</v>
      </c>
      <c r="H8" s="15" t="s">
        <v>170</v>
      </c>
      <c r="I8" s="15" t="s">
        <v>171</v>
      </c>
      <c r="J8" s="15" t="s">
        <v>172</v>
      </c>
      <c r="K8" s="15" t="s">
        <v>173</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8" t="s">
        <v>3</v>
      </c>
      <c r="B9" s="128"/>
      <c r="C9" s="15">
        <v>1</v>
      </c>
      <c r="D9" s="15">
        <v>1</v>
      </c>
      <c r="E9" s="15">
        <v>1</v>
      </c>
      <c r="F9" s="15">
        <v>1</v>
      </c>
      <c r="G9" s="15">
        <v>1</v>
      </c>
      <c r="H9" s="15">
        <v>1</v>
      </c>
      <c r="I9" s="15" t="s">
        <v>189</v>
      </c>
      <c r="J9" s="15" t="s">
        <v>189</v>
      </c>
      <c r="K9" s="15" t="s">
        <v>189</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8" t="s">
        <v>4</v>
      </c>
      <c r="B10" s="128"/>
      <c r="C10" s="15">
        <v>7</v>
      </c>
      <c r="D10" s="15">
        <v>6.6</v>
      </c>
      <c r="E10" s="15">
        <v>6.3</v>
      </c>
      <c r="F10" s="15">
        <v>6.9</v>
      </c>
      <c r="G10" s="15">
        <v>7</v>
      </c>
      <c r="H10" s="15">
        <v>6.8</v>
      </c>
      <c r="I10" s="15">
        <v>7.1</v>
      </c>
      <c r="J10" s="15">
        <v>7.4</v>
      </c>
      <c r="K10" s="15">
        <v>7.7</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8" t="s">
        <v>5</v>
      </c>
      <c r="B11" s="128"/>
      <c r="C11" s="15">
        <v>1</v>
      </c>
      <c r="D11" s="15">
        <v>1</v>
      </c>
      <c r="E11" s="15">
        <v>0</v>
      </c>
      <c r="F11" s="15">
        <v>0</v>
      </c>
      <c r="G11" s="15">
        <v>1</v>
      </c>
      <c r="H11" s="15">
        <v>0</v>
      </c>
      <c r="I11" s="15">
        <v>0</v>
      </c>
      <c r="J11" s="15">
        <v>0</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8" t="s">
        <v>6</v>
      </c>
      <c r="B12" s="128"/>
      <c r="C12" s="15" t="s">
        <v>187</v>
      </c>
      <c r="D12" s="15">
        <v>1</v>
      </c>
      <c r="E12" s="15" t="s">
        <v>187</v>
      </c>
      <c r="F12" s="15">
        <v>1</v>
      </c>
      <c r="G12" s="15" t="s">
        <v>188</v>
      </c>
      <c r="H12" s="15" t="s">
        <v>187</v>
      </c>
      <c r="I12" s="15">
        <v>0</v>
      </c>
      <c r="J12" s="15">
        <v>0</v>
      </c>
      <c r="K12" s="15">
        <v>1</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8" t="s">
        <v>7</v>
      </c>
      <c r="B13" s="128"/>
      <c r="C13" s="15">
        <v>2</v>
      </c>
      <c r="D13" s="15">
        <v>2</v>
      </c>
      <c r="E13" s="15">
        <v>2</v>
      </c>
      <c r="F13" s="15">
        <v>2</v>
      </c>
      <c r="G13" s="15">
        <v>2</v>
      </c>
      <c r="H13" s="15">
        <v>2</v>
      </c>
      <c r="I13" s="15">
        <v>2</v>
      </c>
      <c r="J13" s="15">
        <v>2</v>
      </c>
      <c r="K13" s="15">
        <v>2</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7" t="s">
        <v>8</v>
      </c>
      <c r="B14" s="137"/>
      <c r="C14" s="100" t="s">
        <v>124</v>
      </c>
      <c r="D14" s="100" t="s">
        <v>124</v>
      </c>
      <c r="E14" s="100" t="s">
        <v>124</v>
      </c>
      <c r="F14" s="100" t="s">
        <v>105</v>
      </c>
      <c r="G14" s="100" t="s">
        <v>105</v>
      </c>
      <c r="H14" s="100" t="s">
        <v>124</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6" t="s">
        <v>9</v>
      </c>
      <c r="B15" s="136"/>
      <c r="C15" s="15">
        <v>8</v>
      </c>
      <c r="D15" s="15">
        <v>8</v>
      </c>
      <c r="E15" s="15">
        <v>8</v>
      </c>
      <c r="F15" s="15">
        <v>40</v>
      </c>
      <c r="G15" s="15">
        <v>40</v>
      </c>
      <c r="H15" s="15">
        <v>8</v>
      </c>
      <c r="I15" s="15">
        <v>38</v>
      </c>
      <c r="J15" s="15">
        <v>38</v>
      </c>
      <c r="K15" s="15">
        <v>38</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8" t="s">
        <v>44</v>
      </c>
      <c r="B16" s="138"/>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83.135807999999983</v>
      </c>
      <c r="D18" s="16">
        <f>$D32</f>
        <v>83.135807999999983</v>
      </c>
      <c r="E18" s="16">
        <f>$D33</f>
        <v>83.135807999999983</v>
      </c>
      <c r="F18" s="16">
        <f>$D34</f>
        <v>65.320992000000004</v>
      </c>
      <c r="G18" s="16">
        <f>$D35</f>
        <v>65.320992000000004</v>
      </c>
      <c r="H18" s="16">
        <f>$D36</f>
        <v>83.135807999999983</v>
      </c>
      <c r="I18" s="16">
        <f>$D37</f>
        <v>83.135807999999983</v>
      </c>
      <c r="J18" s="16">
        <f>$D38</f>
        <v>83.135807999999983</v>
      </c>
      <c r="K18" s="16">
        <f>$D39</f>
        <v>83.135807999999983</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27.135807999999983</v>
      </c>
      <c r="D19" s="16">
        <f t="shared" ref="D19:V19" si="1">D18-D17</f>
        <v>27.135807999999983</v>
      </c>
      <c r="E19" s="16">
        <f t="shared" si="1"/>
        <v>27.135807999999983</v>
      </c>
      <c r="F19" s="16">
        <f t="shared" si="1"/>
        <v>9.3209920000000039</v>
      </c>
      <c r="G19" s="16">
        <f t="shared" si="1"/>
        <v>9.3209920000000039</v>
      </c>
      <c r="H19" s="16">
        <f t="shared" si="1"/>
        <v>27.135807999999983</v>
      </c>
      <c r="I19" s="16">
        <f t="shared" si="1"/>
        <v>18.535807999999989</v>
      </c>
      <c r="J19" s="16">
        <f t="shared" si="1"/>
        <v>18.535807999999989</v>
      </c>
      <c r="K19" s="16">
        <f t="shared" si="1"/>
        <v>18.535807999999989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26.418420000000001</v>
      </c>
      <c r="D22" s="16">
        <f>$E32</f>
        <v>26.418420000000001</v>
      </c>
      <c r="E22" s="16">
        <f>$E33</f>
        <v>26.418420000000001</v>
      </c>
      <c r="F22" s="16">
        <f>$E34</f>
        <v>20.75733</v>
      </c>
      <c r="G22" s="16">
        <f>$E35</f>
        <v>20.75733</v>
      </c>
      <c r="H22" s="16">
        <f>$E36</f>
        <v>26.418420000000001</v>
      </c>
      <c r="I22" s="16">
        <f>$E37</f>
        <v>26.418420000000001</v>
      </c>
      <c r="J22" s="16">
        <f>$E38</f>
        <v>26.418420000000001</v>
      </c>
      <c r="K22" s="16">
        <f>$E39</f>
        <v>26.418420000000001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-57.581580000000002</v>
      </c>
      <c r="D23" s="16">
        <f t="shared" ref="D23:V23" si="3">D22-D21</f>
        <v>-57.581580000000002</v>
      </c>
      <c r="E23" s="16">
        <f t="shared" si="3"/>
        <v>-57.581580000000002</v>
      </c>
      <c r="F23" s="16">
        <f t="shared" si="3"/>
        <v>-155.24267</v>
      </c>
      <c r="G23" s="16">
        <f t="shared" si="3"/>
        <v>-155.24267</v>
      </c>
      <c r="H23" s="16">
        <f t="shared" si="3"/>
        <v>-57.581580000000002</v>
      </c>
      <c r="I23" s="16">
        <f t="shared" si="3"/>
        <v>-201.58158</v>
      </c>
      <c r="J23" s="16">
        <f t="shared" si="3"/>
        <v>-201.58158</v>
      </c>
      <c r="K23" s="16">
        <f t="shared" si="3"/>
        <v>-201.58158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5.12</v>
      </c>
      <c r="C28" s="15">
        <v>0.3</v>
      </c>
      <c r="D28" s="15">
        <v>864</v>
      </c>
      <c r="E28" s="15">
        <v>522</v>
      </c>
      <c r="F28" s="15">
        <v>62.9</v>
      </c>
      <c r="G28" s="15">
        <v>2.34</v>
      </c>
      <c r="H28" s="15">
        <v>56.9</v>
      </c>
      <c r="I28" s="15">
        <v>3.21</v>
      </c>
      <c r="J28" s="15">
        <v>0.05</v>
      </c>
      <c r="K28" s="23">
        <v>0.05</v>
      </c>
      <c r="L28" s="15">
        <v>0.78</v>
      </c>
      <c r="M28" s="15">
        <v>0.93</v>
      </c>
      <c r="N28" s="15"/>
      <c r="O28" s="15"/>
      <c r="P28" s="15">
        <v>1527</v>
      </c>
      <c r="Q28" s="15">
        <v>894</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42</v>
      </c>
      <c r="C31" s="77">
        <f>IF(C$27="%w/w SAR",((C$28*10)*$B31),IF(C$27="%w/w DM",(((C$28*10)*($B$28/100))*$B31),IF(C$27="kg/t SAR",(C$28*$B31),IF(C$27="kg/t DM",((C$28*($B$28/100))*$B31),IF(C$27="mg/kg SAR",((C$28*0.001)*$B31),IF(C$27="mg/kg DM",(((C$28*0.001)*($B$28/100))*$B31),0))))))</f>
        <v>126</v>
      </c>
      <c r="D31" s="77">
        <f>(IF(D$27="%w/w SAR",((D$28*10)*$B31),IF(D$27="%w/w DM",(((D$28*10)*($B$28/100))*$B31),IF(D$27="kg/t SAR",(D$28*$B31),IF(D$27="kg/t DM",((D$28*($B$28/100))*$B31),IF(D$27="mg/kg SAR",((D$28*0.001)*$B31),IF(D$27="mg/kg DM",(((D$28*0.001)*($B$28/100))*$B31),"0")))))))*2.291</f>
        <v>83.135807999999983</v>
      </c>
      <c r="E31" s="77">
        <f>(IF(E$27="%w/w SAR",((E$28*10)*$B31),IF(E$27="%w/w DM",(((E$28*10)*($B$28/100))*$B31),IF(E$27="kg/t SAR",(E$28*$B31),IF(E$27="kg/t DM",((E$28*($B$28/100))*$B31),IF(E$27="mg/kg SAR",((E$28*0.001)*$B31),IF(E$27="mg/kg DM",(((E$28*0.001)*($B$28/100))*$B31),"0")))))))*1.205</f>
        <v>26.418420000000001</v>
      </c>
      <c r="F31" s="77">
        <f>(IF(F$27="%w/w SAR",((F$28*10)*$B31),IF(F$27="%w/w DM",(((F$28*10)*($B$28/100))*$B31),IF(F$27="kg/t SAR",(F$28*$B31),IF(F$27="kg/t DM",((F$28*($B$28/100))*$B31),IF(F$27="mg/kg SAR",((F$28*0.001)*$B31),IF(F$27="mg/kg DM",(((F$28*0.001)*($B$28/100))*$B31),"0")))))))*1.658</f>
        <v>4.3801043999999996</v>
      </c>
      <c r="G31" s="77">
        <f t="shared" ref="G31:P31" si="5">IF(G$27="%w/w SAR",((G$28*10)*$B31),IF(G$27="%w/w DM",(((G$28*10)*($B$28/100))*$B31),IF(G$27="kg/t SAR",(G$28*$B31),IF(G$27="kg/t DM",((G$28*($B$28/100))*$B31),IF(G$27="mg/kg SAR",((G$28*0.001)*$B31),IF(G$27="mg/kg DM",(((G$28*0.001)*($B$28/100))*$B31),0))))))</f>
        <v>9.8280000000000006E-2</v>
      </c>
      <c r="H31" s="77">
        <f t="shared" si="5"/>
        <v>2.3898000000000001</v>
      </c>
      <c r="I31" s="77">
        <f t="shared" si="5"/>
        <v>0.13482</v>
      </c>
      <c r="J31" s="77">
        <f t="shared" si="5"/>
        <v>2.1000000000000003E-3</v>
      </c>
      <c r="K31" s="77">
        <f t="shared" si="5"/>
        <v>2.1000000000000003E-3</v>
      </c>
      <c r="L31" s="77">
        <f t="shared" si="5"/>
        <v>3.2760000000000004E-2</v>
      </c>
      <c r="M31" s="77">
        <f t="shared" si="5"/>
        <v>3.9060000000000004E-2</v>
      </c>
      <c r="N31" s="77">
        <f t="shared" si="5"/>
        <v>0</v>
      </c>
      <c r="O31" s="77">
        <f t="shared" si="5"/>
        <v>0</v>
      </c>
      <c r="P31" s="77">
        <f t="shared" si="5"/>
        <v>64.134</v>
      </c>
      <c r="Q31" s="77">
        <f>(IF(Q$27="%w/w SAR",((Q$28*10)*$B31),IF(Q$27="%w/w DM",(((Q$28*10)*($B$28/100))*$B31),IF(Q$27="kg/t SAR",(Q$28*$B31),IF(Q$27="kg/t DM",((Q$28*($B$28/100))*$B31),IF(Q$27="mg/kg SAR",((Q$28*0.001)*$B31),IF(Q$27="mg/kg DM",(((Q$28*0.001)*($B$28/100))*$B31),0)))))))*2.5</f>
        <v>93.87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42</v>
      </c>
      <c r="C32" s="77">
        <f t="shared" ref="C32:C50" si="6">IF(C$27="%w/w SAR",((C$28*10)*$B32),IF(C$27="%w/w DM",(((C$28*10)*($B$28/100))*$B32),IF(C$27="kg/t SAR",(C$28*$B32),IF(C$27="kg/t DM",((C$28*($B$28/100))*$B32),IF(C$27="mg/kg SAR",((C$28*0.001)*$B32),IF(C$27="mg/kg DM",(((C$28*0.001)*($B$28/100))*$B32),0))))))</f>
        <v>126</v>
      </c>
      <c r="D32" s="77">
        <f t="shared" ref="D32:D50" si="7">(IF(D$27="%w/w SAR",((D$28*10)*$B32),IF(D$27="%w/w DM",(((D$28*10)*($B$28/100))*$B32),IF(D$27="kg/t SAR",(D$28*$B32),IF(D$27="kg/t DM",((D$28*($B$28/100))*$B32),IF(D$27="mg/kg SAR",((D$28*0.001)*$B32),IF(D$27="mg/kg DM",(((D$28*0.001)*($B$28/100))*$B32),"0")))))))*2.291</f>
        <v>83.135807999999983</v>
      </c>
      <c r="E32" s="77">
        <f t="shared" ref="E32:E50" si="8">(IF(E$27="%w/w SAR",((E$28*10)*$B32),IF(E$27="%w/w DM",(((E$28*10)*($B$28/100))*$B32),IF(E$27="kg/t SAR",(E$28*$B32),IF(E$27="kg/t DM",((E$28*($B$28/100))*$B32),IF(E$27="mg/kg SAR",((E$28*0.001)*$B32),IF(E$27="mg/kg DM",(((E$28*0.001)*($B$28/100))*$B32),"0")))))))*1.205</f>
        <v>26.418420000000001</v>
      </c>
      <c r="F32" s="77">
        <f t="shared" ref="F32:F50" si="9">(IF(F$27="%w/w SAR",((F$28*10)*$B32),IF(F$27="%w/w DM",(((F$28*10)*($B$28/100))*$B32),IF(F$27="kg/t SAR",(F$28*$B32),IF(F$27="kg/t DM",((F$28*($B$28/100))*$B32),IF(F$27="mg/kg SAR",((F$28*0.001)*$B32),IF(F$27="mg/kg DM",(((F$28*0.001)*($B$28/100))*$B32),"0")))))))*1.658</f>
        <v>4.3801043999999996</v>
      </c>
      <c r="G32" s="77">
        <f t="shared" ref="G32:P50" si="10">IF(G$27="%w/w SAR",((G$28*10)*$B32),IF(G$27="%w/w DM",(((G$28*10)*($B$28/100))*$B32),IF(G$27="kg/t SAR",(G$28*$B32),IF(G$27="kg/t DM",((G$28*($B$28/100))*$B32),IF(G$27="mg/kg SAR",((G$28*0.001)*$B32),IF(G$27="mg/kg DM",(((G$28*0.001)*($B$28/100))*$B32),0))))))</f>
        <v>9.8280000000000006E-2</v>
      </c>
      <c r="H32" s="77">
        <f t="shared" si="10"/>
        <v>2.3898000000000001</v>
      </c>
      <c r="I32" s="77">
        <f t="shared" si="10"/>
        <v>0.13482</v>
      </c>
      <c r="J32" s="77">
        <f t="shared" si="10"/>
        <v>2.1000000000000003E-3</v>
      </c>
      <c r="K32" s="77">
        <f t="shared" si="10"/>
        <v>2.1000000000000003E-3</v>
      </c>
      <c r="L32" s="77">
        <f t="shared" si="10"/>
        <v>3.2760000000000004E-2</v>
      </c>
      <c r="M32" s="77">
        <f t="shared" si="10"/>
        <v>3.9060000000000004E-2</v>
      </c>
      <c r="N32" s="77">
        <f t="shared" si="10"/>
        <v>0</v>
      </c>
      <c r="O32" s="77">
        <f t="shared" si="10"/>
        <v>0</v>
      </c>
      <c r="P32" s="77">
        <f t="shared" si="10"/>
        <v>64.134</v>
      </c>
      <c r="Q32" s="77">
        <f t="shared" ref="Q32:Q50" si="11">(IF(Q$27="%w/w SAR",((Q$28*10)*$B32),IF(Q$27="%w/w DM",(((Q$28*10)*($B$28/100))*$B32),IF(Q$27="kg/t SAR",(Q$28*$B32),IF(Q$27="kg/t DM",((Q$28*($B$28/100))*$B32),IF(Q$27="mg/kg SAR",((Q$28*0.001)*$B32),IF(Q$27="mg/kg DM",(((Q$28*0.001)*($B$28/100))*$B32),0)))))))*2.5</f>
        <v>93.87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DE3</v>
      </c>
      <c r="B33" s="15">
        <v>42</v>
      </c>
      <c r="C33" s="77">
        <f t="shared" si="6"/>
        <v>126</v>
      </c>
      <c r="D33" s="77">
        <f t="shared" si="7"/>
        <v>83.135807999999983</v>
      </c>
      <c r="E33" s="77">
        <f t="shared" si="8"/>
        <v>26.418420000000001</v>
      </c>
      <c r="F33" s="77">
        <f t="shared" si="9"/>
        <v>4.3801043999999996</v>
      </c>
      <c r="G33" s="77">
        <f t="shared" si="10"/>
        <v>9.8280000000000006E-2</v>
      </c>
      <c r="H33" s="77">
        <f t="shared" si="10"/>
        <v>2.3898000000000001</v>
      </c>
      <c r="I33" s="77">
        <f t="shared" si="10"/>
        <v>0.13482</v>
      </c>
      <c r="J33" s="77">
        <f t="shared" si="10"/>
        <v>2.1000000000000003E-3</v>
      </c>
      <c r="K33" s="77">
        <f t="shared" si="10"/>
        <v>2.1000000000000003E-3</v>
      </c>
      <c r="L33" s="77">
        <f t="shared" si="10"/>
        <v>3.2760000000000004E-2</v>
      </c>
      <c r="M33" s="77">
        <f t="shared" si="10"/>
        <v>3.9060000000000004E-2</v>
      </c>
      <c r="N33" s="77">
        <f t="shared" si="10"/>
        <v>0</v>
      </c>
      <c r="O33" s="77">
        <f t="shared" si="10"/>
        <v>0</v>
      </c>
      <c r="P33" s="77">
        <f t="shared" si="10"/>
        <v>64.134</v>
      </c>
      <c r="Q33" s="77">
        <f t="shared" si="11"/>
        <v>93.87</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DE4</v>
      </c>
      <c r="B34" s="15">
        <v>33</v>
      </c>
      <c r="C34" s="77">
        <f t="shared" si="6"/>
        <v>99</v>
      </c>
      <c r="D34" s="77">
        <f t="shared" si="7"/>
        <v>65.320992000000004</v>
      </c>
      <c r="E34" s="77">
        <f t="shared" si="8"/>
        <v>20.75733</v>
      </c>
      <c r="F34" s="77">
        <f t="shared" si="9"/>
        <v>3.4415105999999995</v>
      </c>
      <c r="G34" s="77">
        <f t="shared" si="10"/>
        <v>7.7219999999999997E-2</v>
      </c>
      <c r="H34" s="77">
        <f t="shared" si="10"/>
        <v>1.8776999999999999</v>
      </c>
      <c r="I34" s="77">
        <f t="shared" si="10"/>
        <v>0.10593000000000001</v>
      </c>
      <c r="J34" s="77">
        <f t="shared" si="10"/>
        <v>1.65E-3</v>
      </c>
      <c r="K34" s="77">
        <f t="shared" si="10"/>
        <v>1.65E-3</v>
      </c>
      <c r="L34" s="77">
        <f t="shared" si="10"/>
        <v>2.5740000000000002E-2</v>
      </c>
      <c r="M34" s="77">
        <f t="shared" si="10"/>
        <v>3.0690000000000002E-2</v>
      </c>
      <c r="N34" s="77">
        <f t="shared" si="10"/>
        <v>0</v>
      </c>
      <c r="O34" s="77">
        <f t="shared" si="10"/>
        <v>0</v>
      </c>
      <c r="P34" s="77">
        <f t="shared" si="10"/>
        <v>50.391000000000005</v>
      </c>
      <c r="Q34" s="77">
        <f t="shared" si="11"/>
        <v>73.754999999999995</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DE5</v>
      </c>
      <c r="B35" s="15">
        <v>33</v>
      </c>
      <c r="C35" s="77">
        <f t="shared" si="6"/>
        <v>99</v>
      </c>
      <c r="D35" s="77">
        <f t="shared" si="7"/>
        <v>65.320992000000004</v>
      </c>
      <c r="E35" s="77">
        <f t="shared" si="8"/>
        <v>20.75733</v>
      </c>
      <c r="F35" s="77">
        <f t="shared" si="9"/>
        <v>3.4415105999999995</v>
      </c>
      <c r="G35" s="77">
        <f t="shared" si="10"/>
        <v>7.7219999999999997E-2</v>
      </c>
      <c r="H35" s="77">
        <f t="shared" si="10"/>
        <v>1.8776999999999999</v>
      </c>
      <c r="I35" s="77">
        <f t="shared" si="10"/>
        <v>0.10593000000000001</v>
      </c>
      <c r="J35" s="77">
        <f t="shared" si="10"/>
        <v>1.65E-3</v>
      </c>
      <c r="K35" s="77">
        <f t="shared" si="10"/>
        <v>1.65E-3</v>
      </c>
      <c r="L35" s="77">
        <f t="shared" si="10"/>
        <v>2.5740000000000002E-2</v>
      </c>
      <c r="M35" s="77">
        <f t="shared" si="10"/>
        <v>3.0690000000000002E-2</v>
      </c>
      <c r="N35" s="77">
        <f t="shared" si="10"/>
        <v>0</v>
      </c>
      <c r="O35" s="77">
        <f t="shared" si="10"/>
        <v>0</v>
      </c>
      <c r="P35" s="77">
        <f t="shared" si="10"/>
        <v>50.391000000000005</v>
      </c>
      <c r="Q35" s="77">
        <f t="shared" si="11"/>
        <v>73.754999999999995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DE6</v>
      </c>
      <c r="B36" s="15">
        <v>42</v>
      </c>
      <c r="C36" s="77">
        <f t="shared" si="6"/>
        <v>126</v>
      </c>
      <c r="D36" s="77">
        <f t="shared" si="7"/>
        <v>83.135807999999983</v>
      </c>
      <c r="E36" s="77">
        <f t="shared" si="8"/>
        <v>26.418420000000001</v>
      </c>
      <c r="F36" s="77">
        <f t="shared" si="9"/>
        <v>4.3801043999999996</v>
      </c>
      <c r="G36" s="77">
        <f t="shared" si="10"/>
        <v>9.8280000000000006E-2</v>
      </c>
      <c r="H36" s="77">
        <f t="shared" si="10"/>
        <v>2.3898000000000001</v>
      </c>
      <c r="I36" s="77">
        <f t="shared" si="10"/>
        <v>0.13482</v>
      </c>
      <c r="J36" s="77">
        <f t="shared" si="10"/>
        <v>2.1000000000000003E-3</v>
      </c>
      <c r="K36" s="77">
        <f t="shared" si="10"/>
        <v>2.1000000000000003E-3</v>
      </c>
      <c r="L36" s="77">
        <f t="shared" si="10"/>
        <v>3.2760000000000004E-2</v>
      </c>
      <c r="M36" s="77">
        <f t="shared" si="10"/>
        <v>3.9060000000000004E-2</v>
      </c>
      <c r="N36" s="77">
        <f t="shared" si="10"/>
        <v>0</v>
      </c>
      <c r="O36" s="77">
        <f t="shared" si="10"/>
        <v>0</v>
      </c>
      <c r="P36" s="77">
        <f t="shared" si="10"/>
        <v>64.134</v>
      </c>
      <c r="Q36" s="77">
        <f t="shared" si="11"/>
        <v>93.87</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DE9</v>
      </c>
      <c r="B37" s="15">
        <v>42</v>
      </c>
      <c r="C37" s="77">
        <f t="shared" si="6"/>
        <v>126</v>
      </c>
      <c r="D37" s="77">
        <f t="shared" si="7"/>
        <v>83.135807999999983</v>
      </c>
      <c r="E37" s="77">
        <f t="shared" si="8"/>
        <v>26.418420000000001</v>
      </c>
      <c r="F37" s="77">
        <f t="shared" si="9"/>
        <v>4.3801043999999996</v>
      </c>
      <c r="G37" s="77">
        <f t="shared" si="10"/>
        <v>9.8280000000000006E-2</v>
      </c>
      <c r="H37" s="77">
        <f t="shared" si="10"/>
        <v>2.3898000000000001</v>
      </c>
      <c r="I37" s="77">
        <f t="shared" si="10"/>
        <v>0.13482</v>
      </c>
      <c r="J37" s="77">
        <f t="shared" si="10"/>
        <v>2.1000000000000003E-3</v>
      </c>
      <c r="K37" s="77">
        <f t="shared" si="10"/>
        <v>2.1000000000000003E-3</v>
      </c>
      <c r="L37" s="77">
        <f t="shared" si="10"/>
        <v>3.2760000000000004E-2</v>
      </c>
      <c r="M37" s="77">
        <f t="shared" si="10"/>
        <v>3.9060000000000004E-2</v>
      </c>
      <c r="N37" s="77">
        <f t="shared" si="10"/>
        <v>0</v>
      </c>
      <c r="O37" s="77">
        <f t="shared" si="10"/>
        <v>0</v>
      </c>
      <c r="P37" s="77">
        <f t="shared" si="10"/>
        <v>64.134</v>
      </c>
      <c r="Q37" s="77">
        <f t="shared" si="11"/>
        <v>93.87</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DE9A</v>
      </c>
      <c r="B38" s="15">
        <v>42</v>
      </c>
      <c r="C38" s="77">
        <f t="shared" si="6"/>
        <v>126</v>
      </c>
      <c r="D38" s="77">
        <f t="shared" si="7"/>
        <v>83.135807999999983</v>
      </c>
      <c r="E38" s="77">
        <f t="shared" si="8"/>
        <v>26.418420000000001</v>
      </c>
      <c r="F38" s="77">
        <f t="shared" si="9"/>
        <v>4.3801043999999996</v>
      </c>
      <c r="G38" s="77">
        <f t="shared" si="10"/>
        <v>9.8280000000000006E-2</v>
      </c>
      <c r="H38" s="77">
        <f t="shared" si="10"/>
        <v>2.3898000000000001</v>
      </c>
      <c r="I38" s="77">
        <f t="shared" si="10"/>
        <v>0.13482</v>
      </c>
      <c r="J38" s="77">
        <f t="shared" si="10"/>
        <v>2.1000000000000003E-3</v>
      </c>
      <c r="K38" s="77">
        <f t="shared" si="10"/>
        <v>2.1000000000000003E-3</v>
      </c>
      <c r="L38" s="77">
        <f t="shared" si="10"/>
        <v>3.2760000000000004E-2</v>
      </c>
      <c r="M38" s="77">
        <f t="shared" si="10"/>
        <v>3.9060000000000004E-2</v>
      </c>
      <c r="N38" s="77">
        <f t="shared" si="10"/>
        <v>0</v>
      </c>
      <c r="O38" s="77">
        <f t="shared" si="10"/>
        <v>0</v>
      </c>
      <c r="P38" s="77">
        <f t="shared" si="10"/>
        <v>64.134</v>
      </c>
      <c r="Q38" s="77">
        <f t="shared" si="11"/>
        <v>93.87</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t="str">
        <f>K8</f>
        <v>DE10</v>
      </c>
      <c r="B39" s="15">
        <v>42</v>
      </c>
      <c r="C39" s="77">
        <f t="shared" si="6"/>
        <v>126</v>
      </c>
      <c r="D39" s="77">
        <f t="shared" si="7"/>
        <v>83.135807999999983</v>
      </c>
      <c r="E39" s="77">
        <f t="shared" si="8"/>
        <v>26.418420000000001</v>
      </c>
      <c r="F39" s="77">
        <f t="shared" si="9"/>
        <v>4.3801043999999996</v>
      </c>
      <c r="G39" s="77">
        <f t="shared" si="10"/>
        <v>9.8280000000000006E-2</v>
      </c>
      <c r="H39" s="77">
        <f t="shared" si="10"/>
        <v>2.3898000000000001</v>
      </c>
      <c r="I39" s="77">
        <f t="shared" si="10"/>
        <v>0.13482</v>
      </c>
      <c r="J39" s="77">
        <f t="shared" si="10"/>
        <v>2.1000000000000003E-3</v>
      </c>
      <c r="K39" s="77">
        <f t="shared" si="10"/>
        <v>2.1000000000000003E-3</v>
      </c>
      <c r="L39" s="77">
        <f t="shared" si="10"/>
        <v>3.2760000000000004E-2</v>
      </c>
      <c r="M39" s="77">
        <f t="shared" si="10"/>
        <v>3.9060000000000004E-2</v>
      </c>
      <c r="N39" s="77">
        <f t="shared" si="10"/>
        <v>0</v>
      </c>
      <c r="O39" s="77">
        <f t="shared" si="10"/>
        <v>0</v>
      </c>
      <c r="P39" s="77">
        <f t="shared" si="10"/>
        <v>64.134</v>
      </c>
      <c r="Q39" s="77">
        <f t="shared" si="11"/>
        <v>93.87</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42</v>
      </c>
      <c r="C62" s="77">
        <f>B32</f>
        <v>42</v>
      </c>
      <c r="D62" s="77">
        <f>B33</f>
        <v>42</v>
      </c>
      <c r="E62" s="77">
        <f>B34</f>
        <v>33</v>
      </c>
      <c r="F62" s="77">
        <f>B35</f>
        <v>33</v>
      </c>
      <c r="G62" s="77">
        <f>B36</f>
        <v>42</v>
      </c>
      <c r="H62" s="77">
        <f>B37</f>
        <v>42</v>
      </c>
      <c r="I62" s="77">
        <f>B38</f>
        <v>42</v>
      </c>
      <c r="J62" s="77">
        <f>B39</f>
        <v>42</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36" priority="46" operator="equal">
      <formula>"DECREASE"</formula>
    </cfRule>
    <cfRule type="cellIs" dxfId="435" priority="47" operator="equal">
      <formula>"INCREASE"</formula>
    </cfRule>
  </conditionalFormatting>
  <conditionalFormatting sqref="B62:U66 B31:B50">
    <cfRule type="cellIs" dxfId="434" priority="45" operator="greaterThan">
      <formula>$B$51</formula>
    </cfRule>
  </conditionalFormatting>
  <conditionalFormatting sqref="C31:C50">
    <cfRule type="cellIs" dxfId="433" priority="44" operator="greaterThan">
      <formula>$C$51</formula>
    </cfRule>
  </conditionalFormatting>
  <conditionalFormatting sqref="C18:V18">
    <cfRule type="cellIs" dxfId="432" priority="40" operator="equal">
      <formula>0</formula>
    </cfRule>
  </conditionalFormatting>
  <conditionalFormatting sqref="C17:V17">
    <cfRule type="cellIs" dxfId="431" priority="38" operator="equal">
      <formula>0</formula>
    </cfRule>
  </conditionalFormatting>
  <conditionalFormatting sqref="C19:V19">
    <cfRule type="cellIs" dxfId="430" priority="37" operator="equal">
      <formula>0</formula>
    </cfRule>
  </conditionalFormatting>
  <conditionalFormatting sqref="G31:G50">
    <cfRule type="cellIs" dxfId="429" priority="34" operator="greaterThan">
      <formula>$G$51</formula>
    </cfRule>
  </conditionalFormatting>
  <conditionalFormatting sqref="H31:H50">
    <cfRule type="cellIs" dxfId="428" priority="33" operator="greaterThan">
      <formula>$H$51</formula>
    </cfRule>
  </conditionalFormatting>
  <conditionalFormatting sqref="I31:I50">
    <cfRule type="cellIs" dxfId="427" priority="32" operator="greaterThan">
      <formula>$I$51</formula>
    </cfRule>
  </conditionalFormatting>
  <conditionalFormatting sqref="K31:K50">
    <cfRule type="cellIs" dxfId="426" priority="30" operator="greaterThan">
      <formula>$K$51</formula>
    </cfRule>
  </conditionalFormatting>
  <conditionalFormatting sqref="L31:L50">
    <cfRule type="cellIs" dxfId="425" priority="29" operator="greaterThan">
      <formula>$L$51</formula>
    </cfRule>
  </conditionalFormatting>
  <conditionalFormatting sqref="M31:M50">
    <cfRule type="cellIs" dxfId="424" priority="28" operator="greaterThan">
      <formula>$M$51</formula>
    </cfRule>
  </conditionalFormatting>
  <conditionalFormatting sqref="P31:P50">
    <cfRule type="cellIs" dxfId="423" priority="27" operator="greaterThan">
      <formula>$P$51</formula>
    </cfRule>
  </conditionalFormatting>
  <conditionalFormatting sqref="R31:R50">
    <cfRule type="cellIs" dxfId="422" priority="26" operator="greaterThan">
      <formula>$R$51</formula>
    </cfRule>
  </conditionalFormatting>
  <conditionalFormatting sqref="S31:S50">
    <cfRule type="cellIs" dxfId="421" priority="25" operator="greaterThan">
      <formula>$S$51</formula>
    </cfRule>
  </conditionalFormatting>
  <conditionalFormatting sqref="T31:T50">
    <cfRule type="cellIs" dxfId="420" priority="24" operator="greaterThan">
      <formula>$T$51</formula>
    </cfRule>
  </conditionalFormatting>
  <conditionalFormatting sqref="U31:U50">
    <cfRule type="cellIs" dxfId="419" priority="23" operator="greaterThan">
      <formula>$U$51</formula>
    </cfRule>
  </conditionalFormatting>
  <conditionalFormatting sqref="C22:V22">
    <cfRule type="cellIs" dxfId="418" priority="21" operator="equal">
      <formula>0</formula>
    </cfRule>
  </conditionalFormatting>
  <conditionalFormatting sqref="C24:V24">
    <cfRule type="cellIs" dxfId="417" priority="19" operator="equal">
      <formula>"DECREASE"</formula>
    </cfRule>
    <cfRule type="cellIs" dxfId="416" priority="20" operator="equal">
      <formula>"INCREASE"</formula>
    </cfRule>
  </conditionalFormatting>
  <conditionalFormatting sqref="C23:V23">
    <cfRule type="cellIs" dxfId="415" priority="18" operator="equal">
      <formula>0</formula>
    </cfRule>
  </conditionalFormatting>
  <conditionalFormatting sqref="C21:V21">
    <cfRule type="cellIs" dxfId="411" priority="11" operator="equal">
      <formula>0</formula>
    </cfRule>
  </conditionalFormatting>
  <conditionalFormatting sqref="B66:U66">
    <cfRule type="cellIs" dxfId="410" priority="7" operator="equal">
      <formula>"UNDER"</formula>
    </cfRule>
    <cfRule type="cellIs" dxfId="409" priority="8" operator="equal">
      <formula>"OVER"</formula>
    </cfRule>
  </conditionalFormatting>
  <conditionalFormatting sqref="J31:J50">
    <cfRule type="cellIs" dxfId="408" priority="6" operator="greaterThan">
      <formula>$J$51</formula>
    </cfRule>
  </conditionalFormatting>
  <conditionalFormatting sqref="L3">
    <cfRule type="cellIs" dxfId="407" priority="4" operator="lessThan">
      <formula>30</formula>
    </cfRule>
    <cfRule type="cellIs" dxfId="406" priority="5" operator="greaterThanOrEqual">
      <formula>30</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9">
        <v>7.08</v>
      </c>
      <c r="J1" s="128" t="s">
        <v>153</v>
      </c>
      <c r="K1" s="128"/>
      <c r="L1" s="119">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176</v>
      </c>
      <c r="G2" s="126" t="s">
        <v>110</v>
      </c>
      <c r="H2" s="127"/>
      <c r="I2" s="119">
        <v>2012</v>
      </c>
      <c r="J2" s="128" t="s">
        <v>158</v>
      </c>
      <c r="K2" s="128"/>
      <c r="L2" s="119">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177</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63.204107999999991</v>
      </c>
      <c r="D18" s="16">
        <f>$D32</f>
        <v>63.204107999999991</v>
      </c>
      <c r="E18" s="16">
        <f>$D33</f>
        <v>63.204107999999991</v>
      </c>
      <c r="F18" s="16">
        <f>$D34</f>
        <v>66.555841000000001</v>
      </c>
      <c r="G18" s="16">
        <f>$D35</f>
        <v>66.555841000000001</v>
      </c>
      <c r="H18" s="16">
        <f>$D36</f>
        <v>63.204107999999991</v>
      </c>
      <c r="I18" s="16">
        <f>$D37</f>
        <v>63.204107999999991</v>
      </c>
      <c r="J18" s="16">
        <f>$D38</f>
        <v>63.204107999999991</v>
      </c>
      <c r="K18" s="16">
        <f>$D39</f>
        <v>63.204107999999991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7.2041079999999909</v>
      </c>
      <c r="D19" s="16">
        <f t="shared" ref="D19:V19" si="1">D18-D17</f>
        <v>7.2041079999999909</v>
      </c>
      <c r="E19" s="16">
        <f t="shared" si="1"/>
        <v>7.2041079999999909</v>
      </c>
      <c r="F19" s="16">
        <f t="shared" si="1"/>
        <v>10.555841000000001</v>
      </c>
      <c r="G19" s="16">
        <f t="shared" si="1"/>
        <v>10.555841000000001</v>
      </c>
      <c r="H19" s="16">
        <f t="shared" si="1"/>
        <v>7.2041079999999909</v>
      </c>
      <c r="I19" s="16">
        <f t="shared" si="1"/>
        <v>-1.3958920000000035</v>
      </c>
      <c r="J19" s="16">
        <f t="shared" si="1"/>
        <v>-1.3958920000000035</v>
      </c>
      <c r="K19" s="16">
        <f t="shared" si="1"/>
        <v>-1.3958920000000035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10.736550000000001</v>
      </c>
      <c r="D22" s="16">
        <f>$E32</f>
        <v>10.736550000000001</v>
      </c>
      <c r="E22" s="16">
        <f>$E33</f>
        <v>10.736550000000001</v>
      </c>
      <c r="F22" s="16">
        <f>$E34</f>
        <v>11.305912500000002</v>
      </c>
      <c r="G22" s="16">
        <f>$E35</f>
        <v>11.305912500000002</v>
      </c>
      <c r="H22" s="16">
        <f>$E36</f>
        <v>10.736550000000001</v>
      </c>
      <c r="I22" s="16">
        <f>$E37</f>
        <v>10.736550000000001</v>
      </c>
      <c r="J22" s="16">
        <f>$E38</f>
        <v>10.736550000000001</v>
      </c>
      <c r="K22" s="16">
        <f>$E39</f>
        <v>10.736550000000001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-73.263450000000006</v>
      </c>
      <c r="D23" s="16">
        <f t="shared" ref="D23:V23" si="3">D22-D21</f>
        <v>-73.263450000000006</v>
      </c>
      <c r="E23" s="16">
        <f t="shared" si="3"/>
        <v>-73.263450000000006</v>
      </c>
      <c r="F23" s="16">
        <f t="shared" si="3"/>
        <v>-164.69408749999999</v>
      </c>
      <c r="G23" s="16">
        <f t="shared" si="3"/>
        <v>-164.69408749999999</v>
      </c>
      <c r="H23" s="16">
        <f t="shared" si="3"/>
        <v>-73.263450000000006</v>
      </c>
      <c r="I23" s="16">
        <f t="shared" si="3"/>
        <v>-217.26345000000001</v>
      </c>
      <c r="J23" s="16">
        <f t="shared" si="3"/>
        <v>-217.26345000000001</v>
      </c>
      <c r="K23" s="16">
        <f t="shared" si="3"/>
        <v>-217.26345000000001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132</v>
      </c>
      <c r="C31" s="77">
        <f>IF(C$27="%w/w SAR",((C$28*10)*$B31),IF(C$27="%w/w DM",(((C$28*10)*($B$28/100))*$B31),IF(C$27="kg/t SAR",(C$28*$B31),IF(C$27="kg/t DM",((C$28*($B$28/100))*$B31),IF(C$27="mg/kg SAR",((C$28*0.001)*$B31),IF(C$27="mg/kg DM",(((C$28*0.001)*($B$28/100))*$B31),0))))))</f>
        <v>92.4</v>
      </c>
      <c r="D31" s="77">
        <f>(IF(D$27="%w/w SAR",((D$28*10)*$B31),IF(D$27="%w/w DM",(((D$28*10)*($B$28/100))*$B31),IF(D$27="kg/t SAR",(D$28*$B31),IF(D$27="kg/t DM",((D$28*($B$28/100))*$B31),IF(D$27="mg/kg SAR",((D$28*0.001)*$B31),IF(D$27="mg/kg DM",(((D$28*0.001)*($B$28/100))*$B31),"0")))))))*2.291</f>
        <v>63.204107999999991</v>
      </c>
      <c r="E31" s="77">
        <f>(IF(E$27="%w/w SAR",((E$28*10)*$B31),IF(E$27="%w/w DM",(((E$28*10)*($B$28/100))*$B31),IF(E$27="kg/t SAR",(E$28*$B31),IF(E$27="kg/t DM",((E$28*($B$28/100))*$B31),IF(E$27="mg/kg SAR",((E$28*0.001)*$B31),IF(E$27="mg/kg DM",(((E$28*0.001)*($B$28/100))*$B31),"0")))))))*1.205</f>
        <v>10.736550000000001</v>
      </c>
      <c r="F31" s="77">
        <f>(IF(F$27="%w/w SAR",((F$28*10)*$B31),IF(F$27="%w/w DM",(((F$28*10)*($B$28/100))*$B31),IF(F$27="kg/t SAR",(F$28*$B31),IF(F$27="kg/t DM",((F$28*($B$28/100))*$B31),IF(F$27="mg/kg SAR",((F$28*0.001)*$B31),IF(F$27="mg/kg DM",(((F$28*0.001)*($B$28/100))*$B31),"0")))))))*1.658</f>
        <v>5.5370567999999993</v>
      </c>
      <c r="G31" s="77">
        <f t="shared" ref="G31:P46" si="5">IF(G$27="%w/w SAR",((G$28*10)*$B31),IF(G$27="%w/w DM",(((G$28*10)*($B$28/100))*$B31),IF(G$27="kg/t SAR",(G$28*$B31),IF(G$27="kg/t DM",((G$28*($B$28/100))*$B31),IF(G$27="mg/kg SAR",((G$28*0.001)*$B31),IF(G$27="mg/kg DM",(((G$28*0.001)*($B$28/100))*$B31),0))))))</f>
        <v>6.2039999999999998E-2</v>
      </c>
      <c r="H31" s="77">
        <f t="shared" si="5"/>
        <v>0.93588000000000005</v>
      </c>
      <c r="I31" s="77">
        <f t="shared" si="5"/>
        <v>6.6000000000000003E-2</v>
      </c>
      <c r="J31" s="77">
        <f t="shared" si="5"/>
        <v>1.3200000000000002E-3</v>
      </c>
      <c r="K31" s="77">
        <f t="shared" si="5"/>
        <v>6.6E-3</v>
      </c>
      <c r="L31" s="77">
        <f t="shared" si="5"/>
        <v>3.0360000000000002E-2</v>
      </c>
      <c r="M31" s="77">
        <f t="shared" si="5"/>
        <v>0.26400000000000001</v>
      </c>
      <c r="N31" s="77">
        <f t="shared" si="5"/>
        <v>0</v>
      </c>
      <c r="O31" s="77">
        <f t="shared" si="5"/>
        <v>0</v>
      </c>
      <c r="P31" s="77">
        <f t="shared" si="5"/>
        <v>372.108</v>
      </c>
      <c r="Q31" s="77">
        <f>(IF(Q$27="%w/w SAR",((Q$28*10)*$B31),IF(Q$27="%w/w DM",(((Q$28*10)*($B$28/100))*$B31),IF(Q$27="kg/t SAR",(Q$28*$B31),IF(Q$27="kg/t DM",((Q$28*($B$28/100))*$B31),IF(Q$27="mg/kg SAR",((Q$28*0.001)*$B31),IF(Q$27="mg/kg DM",(((Q$28*0.001)*($B$28/100))*$B31),0)))))))*2.5</f>
        <v>420.75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132</v>
      </c>
      <c r="C32" s="77">
        <f t="shared" ref="C32:C50" si="6">IF(C$27="%w/w SAR",((C$28*10)*$B32),IF(C$27="%w/w DM",(((C$28*10)*($B$28/100))*$B32),IF(C$27="kg/t SAR",(C$28*$B32),IF(C$27="kg/t DM",((C$28*($B$28/100))*$B32),IF(C$27="mg/kg SAR",((C$28*0.001)*$B32),IF(C$27="mg/kg DM",(((C$28*0.001)*($B$28/100))*$B32),0))))))</f>
        <v>92.4</v>
      </c>
      <c r="D32" s="77">
        <f t="shared" ref="D32:D50" si="7">(IF(D$27="%w/w SAR",((D$28*10)*$B32),IF(D$27="%w/w DM",(((D$28*10)*($B$28/100))*$B32),IF(D$27="kg/t SAR",(D$28*$B32),IF(D$27="kg/t DM",((D$28*($B$28/100))*$B32),IF(D$27="mg/kg SAR",((D$28*0.001)*$B32),IF(D$27="mg/kg DM",(((D$28*0.001)*($B$28/100))*$B32),"0")))))))*2.291</f>
        <v>63.204107999999991</v>
      </c>
      <c r="E32" s="77">
        <f t="shared" ref="E32:E50" si="8">(IF(E$27="%w/w SAR",((E$28*10)*$B32),IF(E$27="%w/w DM",(((E$28*10)*($B$28/100))*$B32),IF(E$27="kg/t SAR",(E$28*$B32),IF(E$27="kg/t DM",((E$28*($B$28/100))*$B32),IF(E$27="mg/kg SAR",((E$28*0.001)*$B32),IF(E$27="mg/kg DM",(((E$28*0.001)*($B$28/100))*$B32),"0")))))))*1.205</f>
        <v>10.736550000000001</v>
      </c>
      <c r="F32" s="77">
        <f t="shared" ref="F32:F50" si="9">(IF(F$27="%w/w SAR",((F$28*10)*$B32),IF(F$27="%w/w DM",(((F$28*10)*($B$28/100))*$B32),IF(F$27="kg/t SAR",(F$28*$B32),IF(F$27="kg/t DM",((F$28*($B$28/100))*$B32),IF(F$27="mg/kg SAR",((F$28*0.001)*$B32),IF(F$27="mg/kg DM",(((F$28*0.001)*($B$28/100))*$B32),"0")))))))*1.658</f>
        <v>5.5370567999999993</v>
      </c>
      <c r="G32" s="77">
        <f t="shared" si="5"/>
        <v>6.2039999999999998E-2</v>
      </c>
      <c r="H32" s="77">
        <f t="shared" si="5"/>
        <v>0.93588000000000005</v>
      </c>
      <c r="I32" s="77">
        <f t="shared" si="5"/>
        <v>6.6000000000000003E-2</v>
      </c>
      <c r="J32" s="77">
        <f t="shared" si="5"/>
        <v>1.3200000000000002E-3</v>
      </c>
      <c r="K32" s="77">
        <f t="shared" si="5"/>
        <v>6.6E-3</v>
      </c>
      <c r="L32" s="77">
        <f t="shared" si="5"/>
        <v>3.0360000000000002E-2</v>
      </c>
      <c r="M32" s="77">
        <f t="shared" si="5"/>
        <v>0.26400000000000001</v>
      </c>
      <c r="N32" s="77">
        <f t="shared" si="5"/>
        <v>0</v>
      </c>
      <c r="O32" s="77">
        <f t="shared" si="5"/>
        <v>0</v>
      </c>
      <c r="P32" s="77">
        <f t="shared" si="5"/>
        <v>372.108</v>
      </c>
      <c r="Q32" s="77">
        <f t="shared" ref="Q32:Q50" si="10">(IF(Q$27="%w/w SAR",((Q$28*10)*$B32),IF(Q$27="%w/w DM",(((Q$28*10)*($B$28/100))*$B32),IF(Q$27="kg/t SAR",(Q$28*$B32),IF(Q$27="kg/t DM",((Q$28*($B$28/100))*$B32),IF(Q$27="mg/kg SAR",((Q$28*0.001)*$B32),IF(Q$27="mg/kg DM",(((Q$28*0.001)*($B$28/100))*$B32),0)))))))*2.5</f>
        <v>420.75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v>132</v>
      </c>
      <c r="C33" s="77">
        <f t="shared" si="6"/>
        <v>92.4</v>
      </c>
      <c r="D33" s="77">
        <f t="shared" si="7"/>
        <v>63.204107999999991</v>
      </c>
      <c r="E33" s="77">
        <f t="shared" si="8"/>
        <v>10.736550000000001</v>
      </c>
      <c r="F33" s="77">
        <f t="shared" si="9"/>
        <v>5.5370567999999993</v>
      </c>
      <c r="G33" s="77">
        <f t="shared" si="5"/>
        <v>6.2039999999999998E-2</v>
      </c>
      <c r="H33" s="77">
        <f t="shared" si="5"/>
        <v>0.93588000000000005</v>
      </c>
      <c r="I33" s="77">
        <f t="shared" si="5"/>
        <v>6.6000000000000003E-2</v>
      </c>
      <c r="J33" s="77">
        <f t="shared" si="5"/>
        <v>1.3200000000000002E-3</v>
      </c>
      <c r="K33" s="77">
        <f t="shared" si="5"/>
        <v>6.6E-3</v>
      </c>
      <c r="L33" s="77">
        <f t="shared" si="5"/>
        <v>3.0360000000000002E-2</v>
      </c>
      <c r="M33" s="77">
        <f t="shared" si="5"/>
        <v>0.26400000000000001</v>
      </c>
      <c r="N33" s="77">
        <f t="shared" si="5"/>
        <v>0</v>
      </c>
      <c r="O33" s="77">
        <f t="shared" si="5"/>
        <v>0</v>
      </c>
      <c r="P33" s="77">
        <f t="shared" si="5"/>
        <v>372.108</v>
      </c>
      <c r="Q33" s="77">
        <f t="shared" si="10"/>
        <v>420.75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v>139</v>
      </c>
      <c r="C34" s="77">
        <f t="shared" si="6"/>
        <v>97.300000000000011</v>
      </c>
      <c r="D34" s="77">
        <f t="shared" si="7"/>
        <v>66.555841000000001</v>
      </c>
      <c r="E34" s="77">
        <f t="shared" si="8"/>
        <v>11.305912500000002</v>
      </c>
      <c r="F34" s="77">
        <f t="shared" si="9"/>
        <v>5.8306886000000002</v>
      </c>
      <c r="G34" s="77">
        <f t="shared" si="5"/>
        <v>6.5329999999999999E-2</v>
      </c>
      <c r="H34" s="77">
        <f t="shared" si="5"/>
        <v>0.98551</v>
      </c>
      <c r="I34" s="77">
        <f t="shared" si="5"/>
        <v>6.9500000000000006E-2</v>
      </c>
      <c r="J34" s="77">
        <f t="shared" si="5"/>
        <v>1.3900000000000002E-3</v>
      </c>
      <c r="K34" s="77">
        <f t="shared" si="5"/>
        <v>6.9500000000000004E-3</v>
      </c>
      <c r="L34" s="77">
        <f t="shared" si="5"/>
        <v>3.1969999999999998E-2</v>
      </c>
      <c r="M34" s="77">
        <f t="shared" si="5"/>
        <v>0.27800000000000002</v>
      </c>
      <c r="N34" s="77">
        <f t="shared" si="5"/>
        <v>0</v>
      </c>
      <c r="O34" s="77">
        <f t="shared" si="5"/>
        <v>0</v>
      </c>
      <c r="P34" s="77">
        <f t="shared" si="5"/>
        <v>391.84100000000001</v>
      </c>
      <c r="Q34" s="77">
        <f t="shared" si="10"/>
        <v>443.06250000000006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v>139</v>
      </c>
      <c r="C35" s="77">
        <f t="shared" si="6"/>
        <v>97.300000000000011</v>
      </c>
      <c r="D35" s="77">
        <f t="shared" si="7"/>
        <v>66.555841000000001</v>
      </c>
      <c r="E35" s="77">
        <f t="shared" si="8"/>
        <v>11.305912500000002</v>
      </c>
      <c r="F35" s="77">
        <f t="shared" si="9"/>
        <v>5.8306886000000002</v>
      </c>
      <c r="G35" s="77">
        <f t="shared" si="5"/>
        <v>6.5329999999999999E-2</v>
      </c>
      <c r="H35" s="77">
        <f t="shared" si="5"/>
        <v>0.98551</v>
      </c>
      <c r="I35" s="77">
        <f t="shared" si="5"/>
        <v>6.9500000000000006E-2</v>
      </c>
      <c r="J35" s="77">
        <f t="shared" si="5"/>
        <v>1.3900000000000002E-3</v>
      </c>
      <c r="K35" s="77">
        <f t="shared" si="5"/>
        <v>6.9500000000000004E-3</v>
      </c>
      <c r="L35" s="77">
        <f t="shared" si="5"/>
        <v>3.1969999999999998E-2</v>
      </c>
      <c r="M35" s="77">
        <f t="shared" si="5"/>
        <v>0.27800000000000002</v>
      </c>
      <c r="N35" s="77">
        <f t="shared" si="5"/>
        <v>0</v>
      </c>
      <c r="O35" s="77">
        <f t="shared" si="5"/>
        <v>0</v>
      </c>
      <c r="P35" s="77">
        <f t="shared" si="5"/>
        <v>391.84100000000001</v>
      </c>
      <c r="Q35" s="77">
        <f t="shared" si="10"/>
        <v>443.06250000000006</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v>132</v>
      </c>
      <c r="C36" s="77">
        <f t="shared" si="6"/>
        <v>92.4</v>
      </c>
      <c r="D36" s="77">
        <f t="shared" si="7"/>
        <v>63.204107999999991</v>
      </c>
      <c r="E36" s="77">
        <f t="shared" si="8"/>
        <v>10.736550000000001</v>
      </c>
      <c r="F36" s="77">
        <f t="shared" si="9"/>
        <v>5.5370567999999993</v>
      </c>
      <c r="G36" s="77">
        <f t="shared" si="5"/>
        <v>6.2039999999999998E-2</v>
      </c>
      <c r="H36" s="77">
        <f t="shared" si="5"/>
        <v>0.93588000000000005</v>
      </c>
      <c r="I36" s="77">
        <f t="shared" si="5"/>
        <v>6.6000000000000003E-2</v>
      </c>
      <c r="J36" s="77">
        <f t="shared" si="5"/>
        <v>1.3200000000000002E-3</v>
      </c>
      <c r="K36" s="77">
        <f t="shared" si="5"/>
        <v>6.6E-3</v>
      </c>
      <c r="L36" s="77">
        <f t="shared" si="5"/>
        <v>3.0360000000000002E-2</v>
      </c>
      <c r="M36" s="77">
        <f t="shared" si="5"/>
        <v>0.26400000000000001</v>
      </c>
      <c r="N36" s="77">
        <f t="shared" si="5"/>
        <v>0</v>
      </c>
      <c r="O36" s="77">
        <f t="shared" si="5"/>
        <v>0</v>
      </c>
      <c r="P36" s="77">
        <f t="shared" si="5"/>
        <v>372.108</v>
      </c>
      <c r="Q36" s="77">
        <f t="shared" si="10"/>
        <v>420.75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v>132</v>
      </c>
      <c r="C37" s="77">
        <f t="shared" si="6"/>
        <v>92.4</v>
      </c>
      <c r="D37" s="77">
        <f t="shared" si="7"/>
        <v>63.204107999999991</v>
      </c>
      <c r="E37" s="77">
        <f t="shared" si="8"/>
        <v>10.736550000000001</v>
      </c>
      <c r="F37" s="77">
        <f t="shared" si="9"/>
        <v>5.5370567999999993</v>
      </c>
      <c r="G37" s="77">
        <f t="shared" si="5"/>
        <v>6.2039999999999998E-2</v>
      </c>
      <c r="H37" s="77">
        <f t="shared" si="5"/>
        <v>0.93588000000000005</v>
      </c>
      <c r="I37" s="77">
        <f t="shared" si="5"/>
        <v>6.6000000000000003E-2</v>
      </c>
      <c r="J37" s="77">
        <f t="shared" si="5"/>
        <v>1.3200000000000002E-3</v>
      </c>
      <c r="K37" s="77">
        <f t="shared" si="5"/>
        <v>6.6E-3</v>
      </c>
      <c r="L37" s="77">
        <f t="shared" si="5"/>
        <v>3.0360000000000002E-2</v>
      </c>
      <c r="M37" s="77">
        <f t="shared" si="5"/>
        <v>0.26400000000000001</v>
      </c>
      <c r="N37" s="77">
        <f t="shared" si="5"/>
        <v>0</v>
      </c>
      <c r="O37" s="77">
        <f t="shared" si="5"/>
        <v>0</v>
      </c>
      <c r="P37" s="77">
        <f t="shared" si="5"/>
        <v>372.108</v>
      </c>
      <c r="Q37" s="77">
        <f t="shared" si="10"/>
        <v>420.75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v>132</v>
      </c>
      <c r="C38" s="77">
        <f t="shared" si="6"/>
        <v>92.4</v>
      </c>
      <c r="D38" s="77">
        <f t="shared" si="7"/>
        <v>63.204107999999991</v>
      </c>
      <c r="E38" s="77">
        <f t="shared" si="8"/>
        <v>10.736550000000001</v>
      </c>
      <c r="F38" s="77">
        <f t="shared" si="9"/>
        <v>5.5370567999999993</v>
      </c>
      <c r="G38" s="77">
        <f t="shared" si="5"/>
        <v>6.2039999999999998E-2</v>
      </c>
      <c r="H38" s="77">
        <f t="shared" si="5"/>
        <v>0.93588000000000005</v>
      </c>
      <c r="I38" s="77">
        <f t="shared" si="5"/>
        <v>6.6000000000000003E-2</v>
      </c>
      <c r="J38" s="77">
        <f t="shared" si="5"/>
        <v>1.3200000000000002E-3</v>
      </c>
      <c r="K38" s="77">
        <f t="shared" si="5"/>
        <v>6.6E-3</v>
      </c>
      <c r="L38" s="77">
        <f t="shared" si="5"/>
        <v>3.0360000000000002E-2</v>
      </c>
      <c r="M38" s="77">
        <f t="shared" si="5"/>
        <v>0.26400000000000001</v>
      </c>
      <c r="N38" s="77">
        <f t="shared" si="5"/>
        <v>0</v>
      </c>
      <c r="O38" s="77">
        <f t="shared" si="5"/>
        <v>0</v>
      </c>
      <c r="P38" s="77">
        <f t="shared" si="5"/>
        <v>372.108</v>
      </c>
      <c r="Q38" s="77">
        <f t="shared" si="10"/>
        <v>420.75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v>132</v>
      </c>
      <c r="C39" s="77">
        <f t="shared" si="6"/>
        <v>92.4</v>
      </c>
      <c r="D39" s="77">
        <f t="shared" si="7"/>
        <v>63.204107999999991</v>
      </c>
      <c r="E39" s="77">
        <f t="shared" si="8"/>
        <v>10.736550000000001</v>
      </c>
      <c r="F39" s="77">
        <f t="shared" si="9"/>
        <v>5.5370567999999993</v>
      </c>
      <c r="G39" s="77">
        <f t="shared" si="5"/>
        <v>6.2039999999999998E-2</v>
      </c>
      <c r="H39" s="77">
        <f t="shared" si="5"/>
        <v>0.93588000000000005</v>
      </c>
      <c r="I39" s="77">
        <f t="shared" si="5"/>
        <v>6.6000000000000003E-2</v>
      </c>
      <c r="J39" s="77">
        <f t="shared" si="5"/>
        <v>1.3200000000000002E-3</v>
      </c>
      <c r="K39" s="77">
        <f t="shared" si="5"/>
        <v>6.6E-3</v>
      </c>
      <c r="L39" s="77">
        <f t="shared" si="5"/>
        <v>3.0360000000000002E-2</v>
      </c>
      <c r="M39" s="77">
        <f t="shared" si="5"/>
        <v>0.26400000000000001</v>
      </c>
      <c r="N39" s="77">
        <f t="shared" si="5"/>
        <v>0</v>
      </c>
      <c r="O39" s="77">
        <f t="shared" si="5"/>
        <v>0</v>
      </c>
      <c r="P39" s="77">
        <f t="shared" si="5"/>
        <v>372.108</v>
      </c>
      <c r="Q39" s="77">
        <f t="shared" si="10"/>
        <v>420.75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132</v>
      </c>
      <c r="C62" s="77">
        <f>B32</f>
        <v>132</v>
      </c>
      <c r="D62" s="77">
        <f>B33</f>
        <v>132</v>
      </c>
      <c r="E62" s="77">
        <f>B34</f>
        <v>139</v>
      </c>
      <c r="F62" s="77">
        <f>B35</f>
        <v>139</v>
      </c>
      <c r="G62" s="77">
        <f>B36</f>
        <v>132</v>
      </c>
      <c r="H62" s="77">
        <f>B37</f>
        <v>132</v>
      </c>
      <c r="I62" s="77">
        <f>B38</f>
        <v>132</v>
      </c>
      <c r="J62" s="77">
        <f>B39</f>
        <v>132</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4" priority="39" operator="equal">
      <formula>"DECREASE"</formula>
    </cfRule>
    <cfRule type="cellIs" dxfId="393" priority="40" operator="equal">
      <formula>"INCREASE"</formula>
    </cfRule>
  </conditionalFormatting>
  <conditionalFormatting sqref="B62:U66 B31:B50">
    <cfRule type="cellIs" dxfId="392" priority="38" operator="greaterThan">
      <formula>$B$51</formula>
    </cfRule>
  </conditionalFormatting>
  <conditionalFormatting sqref="C31:C50">
    <cfRule type="cellIs" dxfId="391" priority="37" operator="greaterThan">
      <formula>$C$51</formula>
    </cfRule>
  </conditionalFormatting>
  <conditionalFormatting sqref="C18:V18">
    <cfRule type="cellIs" dxfId="390" priority="36" operator="equal">
      <formula>0</formula>
    </cfRule>
  </conditionalFormatting>
  <conditionalFormatting sqref="C17:V17">
    <cfRule type="cellIs" dxfId="389" priority="35" operator="equal">
      <formula>0</formula>
    </cfRule>
  </conditionalFormatting>
  <conditionalFormatting sqref="C19:V19">
    <cfRule type="cellIs" dxfId="388" priority="34" operator="equal">
      <formula>0</formula>
    </cfRule>
  </conditionalFormatting>
  <conditionalFormatting sqref="G31:G50">
    <cfRule type="cellIs" dxfId="387" priority="33" operator="greaterThan">
      <formula>$G$51</formula>
    </cfRule>
  </conditionalFormatting>
  <conditionalFormatting sqref="H31:H50">
    <cfRule type="cellIs" dxfId="386" priority="32" operator="greaterThan">
      <formula>$H$51</formula>
    </cfRule>
  </conditionalFormatting>
  <conditionalFormatting sqref="I31:I50">
    <cfRule type="cellIs" dxfId="385" priority="31" operator="greaterThan">
      <formula>$I$51</formula>
    </cfRule>
  </conditionalFormatting>
  <conditionalFormatting sqref="K31:K50">
    <cfRule type="cellIs" dxfId="384" priority="30" operator="greaterThan">
      <formula>$K$51</formula>
    </cfRule>
  </conditionalFormatting>
  <conditionalFormatting sqref="L31:L50">
    <cfRule type="cellIs" dxfId="383" priority="29" operator="greaterThan">
      <formula>$L$51</formula>
    </cfRule>
  </conditionalFormatting>
  <conditionalFormatting sqref="M31:M50">
    <cfRule type="cellIs" dxfId="382" priority="28" operator="greaterThan">
      <formula>$M$51</formula>
    </cfRule>
  </conditionalFormatting>
  <conditionalFormatting sqref="P31:P50">
    <cfRule type="cellIs" dxfId="381" priority="27" operator="greaterThan">
      <formula>$P$51</formula>
    </cfRule>
  </conditionalFormatting>
  <conditionalFormatting sqref="R31:R50">
    <cfRule type="cellIs" dxfId="380" priority="26" operator="greaterThan">
      <formula>$R$51</formula>
    </cfRule>
  </conditionalFormatting>
  <conditionalFormatting sqref="S31:S50">
    <cfRule type="cellIs" dxfId="379" priority="25" operator="greaterThan">
      <formula>$S$51</formula>
    </cfRule>
  </conditionalFormatting>
  <conditionalFormatting sqref="T31:T50">
    <cfRule type="cellIs" dxfId="378" priority="24" operator="greaterThan">
      <formula>$T$51</formula>
    </cfRule>
  </conditionalFormatting>
  <conditionalFormatting sqref="U31:U50">
    <cfRule type="cellIs" dxfId="377" priority="23" operator="greaterThan">
      <formula>$U$51</formula>
    </cfRule>
  </conditionalFormatting>
  <conditionalFormatting sqref="C22:V22">
    <cfRule type="cellIs" dxfId="376" priority="22" operator="equal">
      <formula>0</formula>
    </cfRule>
  </conditionalFormatting>
  <conditionalFormatting sqref="C24:V24">
    <cfRule type="cellIs" dxfId="375" priority="20" operator="equal">
      <formula>"DECREASE"</formula>
    </cfRule>
    <cfRule type="cellIs" dxfId="374" priority="21" operator="equal">
      <formula>"INCREASE"</formula>
    </cfRule>
  </conditionalFormatting>
  <conditionalFormatting sqref="C23:V23">
    <cfRule type="cellIs" dxfId="373" priority="19" operator="equal">
      <formula>0</formula>
    </cfRule>
  </conditionalFormatting>
  <conditionalFormatting sqref="C21:V21">
    <cfRule type="cellIs" dxfId="372" priority="15" operator="equal">
      <formula>0</formula>
    </cfRule>
  </conditionalFormatting>
  <conditionalFormatting sqref="B66:U66">
    <cfRule type="cellIs" dxfId="371" priority="13" operator="equal">
      <formula>"UNDER"</formula>
    </cfRule>
    <cfRule type="cellIs" dxfId="370" priority="14" operator="equal">
      <formula>"OVER"</formula>
    </cfRule>
  </conditionalFormatting>
  <conditionalFormatting sqref="J31:J50">
    <cfRule type="cellIs" dxfId="369" priority="10" operator="greaterThan">
      <formula>$J$51</formula>
    </cfRule>
  </conditionalFormatting>
  <conditionalFormatting sqref="L3">
    <cfRule type="cellIs" dxfId="368" priority="6" operator="lessThan">
      <formula>30</formula>
    </cfRule>
    <cfRule type="cellIs" dxfId="367" priority="7" operator="greaterThanOrEqual">
      <formula>30</formula>
    </cfRule>
  </conditionalFormatting>
  <conditionalFormatting sqref="I3">
    <cfRule type="cellIs" dxfId="364" priority="3" operator="greaterThan">
      <formula>40000.01</formula>
    </cfRule>
  </conditionalFormatting>
  <conditionalFormatting sqref="I1">
    <cfRule type="cellIs" dxfId="11" priority="2" operator="between">
      <formula>0.1</formula>
      <formula>5</formula>
    </cfRule>
  </conditionalFormatting>
  <conditionalFormatting sqref="I2">
    <cfRule type="cellIs" dxfId="10"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9">
        <v>6.8</v>
      </c>
      <c r="J1" s="128" t="s">
        <v>153</v>
      </c>
      <c r="K1" s="128"/>
      <c r="L1" s="119">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179</v>
      </c>
      <c r="G2" s="126" t="s">
        <v>110</v>
      </c>
      <c r="H2" s="127"/>
      <c r="I2" s="119">
        <v>351</v>
      </c>
      <c r="J2" s="128" t="s">
        <v>158</v>
      </c>
      <c r="K2" s="128"/>
      <c r="L2" s="119">
        <v>0.11</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178</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66.152625</v>
      </c>
      <c r="D18" s="16">
        <f>$D32</f>
        <v>66.152625</v>
      </c>
      <c r="E18" s="16">
        <f>$D33</f>
        <v>66.152625</v>
      </c>
      <c r="F18" s="16">
        <f>$D34</f>
        <v>53.300114999999998</v>
      </c>
      <c r="G18" s="16">
        <f>$D35</f>
        <v>53.300114999999998</v>
      </c>
      <c r="H18" s="16">
        <f>$D36</f>
        <v>66.152625</v>
      </c>
      <c r="I18" s="16">
        <f>$D37</f>
        <v>66.152625</v>
      </c>
      <c r="J18" s="16">
        <f>$D38</f>
        <v>66.152625</v>
      </c>
      <c r="K18" s="16">
        <f>$D39</f>
        <v>66.152625</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10.152625</v>
      </c>
      <c r="D19" s="16">
        <f t="shared" ref="D19:V19" si="1">D18-D17</f>
        <v>10.152625</v>
      </c>
      <c r="E19" s="16">
        <f t="shared" si="1"/>
        <v>10.152625</v>
      </c>
      <c r="F19" s="16">
        <f t="shared" si="1"/>
        <v>-2.6998850000000019</v>
      </c>
      <c r="G19" s="16">
        <f t="shared" si="1"/>
        <v>-2.6998850000000019</v>
      </c>
      <c r="H19" s="16">
        <f t="shared" si="1"/>
        <v>10.152625</v>
      </c>
      <c r="I19" s="16">
        <f t="shared" si="1"/>
        <v>1.5526250000000061</v>
      </c>
      <c r="J19" s="16">
        <f t="shared" si="1"/>
        <v>1.5526250000000061</v>
      </c>
      <c r="K19" s="16">
        <f t="shared" si="1"/>
        <v>1.5526250000000061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(VLOOKUP(D$14,$AI2:$AK24,3,FALSE))*D$15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19.674637500000003</v>
      </c>
      <c r="D22" s="16">
        <f>$E32</f>
        <v>19.674637500000003</v>
      </c>
      <c r="E22" s="16">
        <f>$E33</f>
        <v>19.674637500000003</v>
      </c>
      <c r="F22" s="16">
        <f>$E34</f>
        <v>15.852136499999999</v>
      </c>
      <c r="G22" s="16">
        <f>$E35</f>
        <v>15.852136499999999</v>
      </c>
      <c r="H22" s="16">
        <f>$E36</f>
        <v>19.674637500000003</v>
      </c>
      <c r="I22" s="16">
        <f>$E37</f>
        <v>19.674637500000003</v>
      </c>
      <c r="J22" s="16">
        <f>$E38</f>
        <v>19.674637500000003</v>
      </c>
      <c r="K22" s="16">
        <f>$E39</f>
        <v>19.674637500000003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-64.325362499999997</v>
      </c>
      <c r="D23" s="16">
        <f t="shared" ref="D23:V23" si="3">D22-D21</f>
        <v>-64.325362499999997</v>
      </c>
      <c r="E23" s="16">
        <f t="shared" si="3"/>
        <v>-64.325362499999997</v>
      </c>
      <c r="F23" s="16">
        <f t="shared" si="3"/>
        <v>-160.1478635</v>
      </c>
      <c r="G23" s="16">
        <f t="shared" si="3"/>
        <v>-160.1478635</v>
      </c>
      <c r="H23" s="16">
        <f t="shared" si="3"/>
        <v>-64.325362499999997</v>
      </c>
      <c r="I23" s="16">
        <f t="shared" si="3"/>
        <v>-208.32536249999998</v>
      </c>
      <c r="J23" s="16">
        <f t="shared" si="3"/>
        <v>-208.32536249999998</v>
      </c>
      <c r="K23" s="16">
        <f t="shared" si="3"/>
        <v>-208.32536249999998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175</v>
      </c>
      <c r="C31" s="77">
        <f>IF(C$27="%w/w SAR",((C$28*10)*$B31),IF(C$27="%w/w DM",(((C$28*10)*($B$28/100))*$B31),IF(C$27="kg/t SAR",(C$28*$B31),IF(C$27="kg/t DM",((C$28*($B$28/100))*$B31),IF(C$27="mg/kg SAR",((C$28*0.001)*$B31),IF(C$27="mg/kg DM",(((C$28*0.001)*($B$28/100))*$B31),0))))))</f>
        <v>192.50000000000003</v>
      </c>
      <c r="D31" s="77">
        <f>(IF(D$27="%w/w SAR",((D$28*10)*$B31),IF(D$27="%w/w DM",(((D$28*10)*($B$28/100))*$B31),IF(D$27="kg/t SAR",(D$28*$B31),IF(D$27="kg/t DM",((D$28*($B$28/100))*$B31),IF(D$27="mg/kg SAR",((D$28*0.001)*$B31),IF(D$27="mg/kg DM",(((D$28*0.001)*($B$28/100))*$B31),"0")))))))*2.291</f>
        <v>66.152625</v>
      </c>
      <c r="E31" s="77">
        <f>(IF(E$27="%w/w SAR",((E$28*10)*$B31),IF(E$27="%w/w DM",(((E$28*10)*($B$28/100))*$B31),IF(E$27="kg/t SAR",(E$28*$B31),IF(E$27="kg/t DM",((E$28*($B$28/100))*$B31),IF(E$27="mg/kg SAR",((E$28*0.001)*$B31),IF(E$27="mg/kg DM",(((E$28*0.001)*($B$28/100))*$B31),"0")))))))*1.205</f>
        <v>19.674637500000003</v>
      </c>
      <c r="F31" s="77">
        <f>(IF(F$27="%w/w SAR",((F$28*10)*$B31),IF(F$27="%w/w DM",(((F$28*10)*($B$28/100))*$B31),IF(F$27="kg/t SAR",(F$28*$B31),IF(F$27="kg/t DM",((F$28*($B$28/100))*$B31),IF(F$27="mg/kg SAR",((F$28*0.001)*$B31),IF(F$27="mg/kg DM",(((F$28*0.001)*($B$28/100))*$B31),"0")))))))*1.658</f>
        <v>23.182985000000002</v>
      </c>
      <c r="G31" s="77">
        <f t="shared" ref="G31:P46" si="5">IF(G$27="%w/w SAR",((G$28*10)*$B31),IF(G$27="%w/w DM",(((G$28*10)*($B$28/100))*$B31),IF(G$27="kg/t SAR",(G$28*$B31),IF(G$27="kg/t DM",((G$28*($B$28/100))*$B31),IF(G$27="mg/kg SAR",((G$28*0.001)*$B31),IF(G$27="mg/kg DM",(((G$28*0.001)*($B$28/100))*$B31),0))))))</f>
        <v>0.1197</v>
      </c>
      <c r="H31" s="77">
        <f t="shared" si="5"/>
        <v>0.66325000000000001</v>
      </c>
      <c r="I31" s="77">
        <f t="shared" si="5"/>
        <v>8.7500000000000008E-2</v>
      </c>
      <c r="J31" s="77">
        <f t="shared" si="5"/>
        <v>1.75E-3</v>
      </c>
      <c r="K31" s="77">
        <f t="shared" si="5"/>
        <v>8.7500000000000008E-3</v>
      </c>
      <c r="L31" s="77">
        <f t="shared" si="5"/>
        <v>3.5000000000000003E-2</v>
      </c>
      <c r="M31" s="77">
        <f t="shared" si="5"/>
        <v>3.9550000000000002E-2</v>
      </c>
      <c r="N31" s="77">
        <f t="shared" si="5"/>
        <v>0</v>
      </c>
      <c r="O31" s="77">
        <f t="shared" si="5"/>
        <v>0</v>
      </c>
      <c r="P31" s="77">
        <f t="shared" si="5"/>
        <v>58.800000000000004</v>
      </c>
      <c r="Q31" s="77">
        <f>(IF(Q$27="%w/w SAR",((Q$28*10)*$B31),IF(Q$27="%w/w DM",(((Q$28*10)*($B$28/100))*$B31),IF(Q$27="kg/t SAR",(Q$28*$B31),IF(Q$27="kg/t DM",((Q$28*($B$28/100))*$B31),IF(Q$27="mg/kg SAR",((Q$28*0.001)*$B31),IF(Q$27="mg/kg DM",(((Q$28*0.001)*($B$28/100))*$B31),0)))))))*2.5</f>
        <v>85.3125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175</v>
      </c>
      <c r="C32" s="77">
        <f t="shared" ref="C32:C50" si="6">IF(C$27="%w/w SAR",((C$28*10)*$B32),IF(C$27="%w/w DM",(((C$28*10)*($B$28/100))*$B32),IF(C$27="kg/t SAR",(C$28*$B32),IF(C$27="kg/t DM",((C$28*($B$28/100))*$B32),IF(C$27="mg/kg SAR",((C$28*0.001)*$B32),IF(C$27="mg/kg DM",(((C$28*0.001)*($B$28/100))*$B32),0))))))</f>
        <v>192.50000000000003</v>
      </c>
      <c r="D32" s="77">
        <f t="shared" ref="D32:D50" si="7">(IF(D$27="%w/w SAR",((D$28*10)*$B32),IF(D$27="%w/w DM",(((D$28*10)*($B$28/100))*$B32),IF(D$27="kg/t SAR",(D$28*$B32),IF(D$27="kg/t DM",((D$28*($B$28/100))*$B32),IF(D$27="mg/kg SAR",((D$28*0.001)*$B32),IF(D$27="mg/kg DM",(((D$28*0.001)*($B$28/100))*$B32),"0")))))))*2.291</f>
        <v>66.152625</v>
      </c>
      <c r="E32" s="77">
        <f t="shared" ref="E32:E50" si="8">(IF(E$27="%w/w SAR",((E$28*10)*$B32),IF(E$27="%w/w DM",(((E$28*10)*($B$28/100))*$B32),IF(E$27="kg/t SAR",(E$28*$B32),IF(E$27="kg/t DM",((E$28*($B$28/100))*$B32),IF(E$27="mg/kg SAR",((E$28*0.001)*$B32),IF(E$27="mg/kg DM",(((E$28*0.001)*($B$28/100))*$B32),"0")))))))*1.205</f>
        <v>19.674637500000003</v>
      </c>
      <c r="F32" s="77">
        <f t="shared" ref="F32:F50" si="9">(IF(F$27="%w/w SAR",((F$28*10)*$B32),IF(F$27="%w/w DM",(((F$28*10)*($B$28/100))*$B32),IF(F$27="kg/t SAR",(F$28*$B32),IF(F$27="kg/t DM",((F$28*($B$28/100))*$B32),IF(F$27="mg/kg SAR",((F$28*0.001)*$B32),IF(F$27="mg/kg DM",(((F$28*0.001)*($B$28/100))*$B32),"0")))))))*1.658</f>
        <v>23.182985000000002</v>
      </c>
      <c r="G32" s="77">
        <f t="shared" si="5"/>
        <v>0.1197</v>
      </c>
      <c r="H32" s="77">
        <f t="shared" si="5"/>
        <v>0.66325000000000001</v>
      </c>
      <c r="I32" s="77">
        <f t="shared" si="5"/>
        <v>8.7500000000000008E-2</v>
      </c>
      <c r="J32" s="77">
        <f t="shared" si="5"/>
        <v>1.75E-3</v>
      </c>
      <c r="K32" s="77">
        <f t="shared" si="5"/>
        <v>8.7500000000000008E-3</v>
      </c>
      <c r="L32" s="77">
        <f t="shared" si="5"/>
        <v>3.5000000000000003E-2</v>
      </c>
      <c r="M32" s="77">
        <f t="shared" si="5"/>
        <v>3.9550000000000002E-2</v>
      </c>
      <c r="N32" s="77">
        <f t="shared" si="5"/>
        <v>0</v>
      </c>
      <c r="O32" s="77">
        <f t="shared" si="5"/>
        <v>0</v>
      </c>
      <c r="P32" s="77">
        <f t="shared" si="5"/>
        <v>58.800000000000004</v>
      </c>
      <c r="Q32" s="77">
        <f t="shared" ref="Q32:Q50" si="10">(IF(Q$27="%w/w SAR",((Q$28*10)*$B32),IF(Q$27="%w/w DM",(((Q$28*10)*($B$28/100))*$B32),IF(Q$27="kg/t SAR",(Q$28*$B32),IF(Q$27="kg/t DM",((Q$28*($B$28/100))*$B32),IF(Q$27="mg/kg SAR",((Q$28*0.001)*$B32),IF(Q$27="mg/kg DM",(((Q$28*0.001)*($B$28/100))*$B32),0)))))))*2.5</f>
        <v>85.3125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v>175</v>
      </c>
      <c r="C33" s="77">
        <f t="shared" si="6"/>
        <v>192.50000000000003</v>
      </c>
      <c r="D33" s="77">
        <f t="shared" si="7"/>
        <v>66.152625</v>
      </c>
      <c r="E33" s="77">
        <f t="shared" si="8"/>
        <v>19.674637500000003</v>
      </c>
      <c r="F33" s="77">
        <f t="shared" si="9"/>
        <v>23.182985000000002</v>
      </c>
      <c r="G33" s="77">
        <f t="shared" si="5"/>
        <v>0.1197</v>
      </c>
      <c r="H33" s="77">
        <f t="shared" si="5"/>
        <v>0.66325000000000001</v>
      </c>
      <c r="I33" s="77">
        <f t="shared" si="5"/>
        <v>8.7500000000000008E-2</v>
      </c>
      <c r="J33" s="77">
        <f t="shared" si="5"/>
        <v>1.75E-3</v>
      </c>
      <c r="K33" s="77">
        <f t="shared" si="5"/>
        <v>8.7500000000000008E-3</v>
      </c>
      <c r="L33" s="77">
        <f t="shared" si="5"/>
        <v>3.5000000000000003E-2</v>
      </c>
      <c r="M33" s="77">
        <f t="shared" si="5"/>
        <v>3.9550000000000002E-2</v>
      </c>
      <c r="N33" s="77">
        <f t="shared" si="5"/>
        <v>0</v>
      </c>
      <c r="O33" s="77">
        <f t="shared" si="5"/>
        <v>0</v>
      </c>
      <c r="P33" s="77">
        <f t="shared" si="5"/>
        <v>58.800000000000004</v>
      </c>
      <c r="Q33" s="77">
        <f t="shared" si="10"/>
        <v>85.3125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v>141</v>
      </c>
      <c r="C34" s="77">
        <f t="shared" si="6"/>
        <v>155.10000000000002</v>
      </c>
      <c r="D34" s="77">
        <f t="shared" si="7"/>
        <v>53.300114999999998</v>
      </c>
      <c r="E34" s="77">
        <f t="shared" si="8"/>
        <v>15.852136499999999</v>
      </c>
      <c r="F34" s="77">
        <f t="shared" si="9"/>
        <v>18.678862200000001</v>
      </c>
      <c r="G34" s="77">
        <f t="shared" si="5"/>
        <v>9.6444000000000002E-2</v>
      </c>
      <c r="H34" s="77">
        <f t="shared" si="5"/>
        <v>0.53439000000000003</v>
      </c>
      <c r="I34" s="77">
        <f t="shared" si="5"/>
        <v>7.0500000000000007E-2</v>
      </c>
      <c r="J34" s="77">
        <f t="shared" si="5"/>
        <v>1.41E-3</v>
      </c>
      <c r="K34" s="77">
        <f t="shared" si="5"/>
        <v>7.0500000000000007E-3</v>
      </c>
      <c r="L34" s="77">
        <f t="shared" si="5"/>
        <v>2.8200000000000003E-2</v>
      </c>
      <c r="M34" s="77">
        <f t="shared" si="5"/>
        <v>3.1866000000000005E-2</v>
      </c>
      <c r="N34" s="77">
        <f t="shared" si="5"/>
        <v>0</v>
      </c>
      <c r="O34" s="77">
        <f t="shared" si="5"/>
        <v>0</v>
      </c>
      <c r="P34" s="77">
        <f t="shared" si="5"/>
        <v>47.376000000000005</v>
      </c>
      <c r="Q34" s="77">
        <f t="shared" si="10"/>
        <v>68.737499999999997</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v>141</v>
      </c>
      <c r="C35" s="77">
        <f t="shared" si="6"/>
        <v>155.10000000000002</v>
      </c>
      <c r="D35" s="77">
        <f t="shared" si="7"/>
        <v>53.300114999999998</v>
      </c>
      <c r="E35" s="77">
        <f t="shared" si="8"/>
        <v>15.852136499999999</v>
      </c>
      <c r="F35" s="77">
        <f t="shared" si="9"/>
        <v>18.678862200000001</v>
      </c>
      <c r="G35" s="77">
        <f t="shared" si="5"/>
        <v>9.6444000000000002E-2</v>
      </c>
      <c r="H35" s="77">
        <f t="shared" si="5"/>
        <v>0.53439000000000003</v>
      </c>
      <c r="I35" s="77">
        <f t="shared" si="5"/>
        <v>7.0500000000000007E-2</v>
      </c>
      <c r="J35" s="77">
        <f t="shared" si="5"/>
        <v>1.41E-3</v>
      </c>
      <c r="K35" s="77">
        <f t="shared" si="5"/>
        <v>7.0500000000000007E-3</v>
      </c>
      <c r="L35" s="77">
        <f t="shared" si="5"/>
        <v>2.8200000000000003E-2</v>
      </c>
      <c r="M35" s="77">
        <f t="shared" si="5"/>
        <v>3.1866000000000005E-2</v>
      </c>
      <c r="N35" s="77">
        <f t="shared" si="5"/>
        <v>0</v>
      </c>
      <c r="O35" s="77">
        <f t="shared" si="5"/>
        <v>0</v>
      </c>
      <c r="P35" s="77">
        <f t="shared" si="5"/>
        <v>47.376000000000005</v>
      </c>
      <c r="Q35" s="77">
        <f t="shared" si="10"/>
        <v>68.737499999999997</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v>175</v>
      </c>
      <c r="C36" s="77">
        <f t="shared" si="6"/>
        <v>192.50000000000003</v>
      </c>
      <c r="D36" s="77">
        <f t="shared" si="7"/>
        <v>66.152625</v>
      </c>
      <c r="E36" s="77">
        <f t="shared" si="8"/>
        <v>19.674637500000003</v>
      </c>
      <c r="F36" s="77">
        <f t="shared" si="9"/>
        <v>23.182985000000002</v>
      </c>
      <c r="G36" s="77">
        <f t="shared" si="5"/>
        <v>0.1197</v>
      </c>
      <c r="H36" s="77">
        <f t="shared" si="5"/>
        <v>0.66325000000000001</v>
      </c>
      <c r="I36" s="77">
        <f t="shared" si="5"/>
        <v>8.7500000000000008E-2</v>
      </c>
      <c r="J36" s="77">
        <f t="shared" si="5"/>
        <v>1.75E-3</v>
      </c>
      <c r="K36" s="77">
        <f t="shared" si="5"/>
        <v>8.7500000000000008E-3</v>
      </c>
      <c r="L36" s="77">
        <f t="shared" si="5"/>
        <v>3.5000000000000003E-2</v>
      </c>
      <c r="M36" s="77">
        <f t="shared" si="5"/>
        <v>3.9550000000000002E-2</v>
      </c>
      <c r="N36" s="77">
        <f t="shared" si="5"/>
        <v>0</v>
      </c>
      <c r="O36" s="77">
        <f t="shared" si="5"/>
        <v>0</v>
      </c>
      <c r="P36" s="77">
        <f t="shared" si="5"/>
        <v>58.800000000000004</v>
      </c>
      <c r="Q36" s="77">
        <f t="shared" si="10"/>
        <v>85.3125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v>175</v>
      </c>
      <c r="C37" s="77">
        <f t="shared" si="6"/>
        <v>192.50000000000003</v>
      </c>
      <c r="D37" s="77">
        <f t="shared" si="7"/>
        <v>66.152625</v>
      </c>
      <c r="E37" s="77">
        <f t="shared" si="8"/>
        <v>19.674637500000003</v>
      </c>
      <c r="F37" s="77">
        <f t="shared" si="9"/>
        <v>23.182985000000002</v>
      </c>
      <c r="G37" s="77">
        <f t="shared" si="5"/>
        <v>0.1197</v>
      </c>
      <c r="H37" s="77">
        <f t="shared" si="5"/>
        <v>0.66325000000000001</v>
      </c>
      <c r="I37" s="77">
        <f t="shared" si="5"/>
        <v>8.7500000000000008E-2</v>
      </c>
      <c r="J37" s="77">
        <f t="shared" si="5"/>
        <v>1.75E-3</v>
      </c>
      <c r="K37" s="77">
        <f t="shared" si="5"/>
        <v>8.7500000000000008E-3</v>
      </c>
      <c r="L37" s="77">
        <f t="shared" si="5"/>
        <v>3.5000000000000003E-2</v>
      </c>
      <c r="M37" s="77">
        <f t="shared" si="5"/>
        <v>3.9550000000000002E-2</v>
      </c>
      <c r="N37" s="77">
        <f t="shared" si="5"/>
        <v>0</v>
      </c>
      <c r="O37" s="77">
        <f t="shared" si="5"/>
        <v>0</v>
      </c>
      <c r="P37" s="77">
        <f t="shared" si="5"/>
        <v>58.800000000000004</v>
      </c>
      <c r="Q37" s="77">
        <f t="shared" si="10"/>
        <v>85.3125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v>175</v>
      </c>
      <c r="C38" s="77">
        <f t="shared" si="6"/>
        <v>192.50000000000003</v>
      </c>
      <c r="D38" s="77">
        <f t="shared" si="7"/>
        <v>66.152625</v>
      </c>
      <c r="E38" s="77">
        <f t="shared" si="8"/>
        <v>19.674637500000003</v>
      </c>
      <c r="F38" s="77">
        <f t="shared" si="9"/>
        <v>23.182985000000002</v>
      </c>
      <c r="G38" s="77">
        <f t="shared" si="5"/>
        <v>0.1197</v>
      </c>
      <c r="H38" s="77">
        <f t="shared" si="5"/>
        <v>0.66325000000000001</v>
      </c>
      <c r="I38" s="77">
        <f t="shared" si="5"/>
        <v>8.7500000000000008E-2</v>
      </c>
      <c r="J38" s="77">
        <f t="shared" si="5"/>
        <v>1.75E-3</v>
      </c>
      <c r="K38" s="77">
        <f t="shared" si="5"/>
        <v>8.7500000000000008E-3</v>
      </c>
      <c r="L38" s="77">
        <f t="shared" si="5"/>
        <v>3.5000000000000003E-2</v>
      </c>
      <c r="M38" s="77">
        <f t="shared" si="5"/>
        <v>3.9550000000000002E-2</v>
      </c>
      <c r="N38" s="77">
        <f t="shared" si="5"/>
        <v>0</v>
      </c>
      <c r="O38" s="77">
        <f t="shared" si="5"/>
        <v>0</v>
      </c>
      <c r="P38" s="77">
        <f t="shared" si="5"/>
        <v>58.800000000000004</v>
      </c>
      <c r="Q38" s="77">
        <f t="shared" si="10"/>
        <v>85.3125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v>175</v>
      </c>
      <c r="C39" s="77">
        <f t="shared" si="6"/>
        <v>192.50000000000003</v>
      </c>
      <c r="D39" s="77">
        <f t="shared" si="7"/>
        <v>66.152625</v>
      </c>
      <c r="E39" s="77">
        <f t="shared" si="8"/>
        <v>19.674637500000003</v>
      </c>
      <c r="F39" s="77">
        <f t="shared" si="9"/>
        <v>23.182985000000002</v>
      </c>
      <c r="G39" s="77">
        <f t="shared" si="5"/>
        <v>0.1197</v>
      </c>
      <c r="H39" s="77">
        <f t="shared" si="5"/>
        <v>0.66325000000000001</v>
      </c>
      <c r="I39" s="77">
        <f t="shared" si="5"/>
        <v>8.7500000000000008E-2</v>
      </c>
      <c r="J39" s="77">
        <f t="shared" si="5"/>
        <v>1.75E-3</v>
      </c>
      <c r="K39" s="77">
        <f t="shared" si="5"/>
        <v>8.7500000000000008E-3</v>
      </c>
      <c r="L39" s="77">
        <f t="shared" si="5"/>
        <v>3.5000000000000003E-2</v>
      </c>
      <c r="M39" s="77">
        <f t="shared" si="5"/>
        <v>3.9550000000000002E-2</v>
      </c>
      <c r="N39" s="77">
        <f t="shared" si="5"/>
        <v>0</v>
      </c>
      <c r="O39" s="77">
        <f t="shared" si="5"/>
        <v>0</v>
      </c>
      <c r="P39" s="77">
        <f t="shared" si="5"/>
        <v>58.800000000000004</v>
      </c>
      <c r="Q39" s="77">
        <f t="shared" si="10"/>
        <v>85.3125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175</v>
      </c>
      <c r="C62" s="77">
        <f>B32</f>
        <v>175</v>
      </c>
      <c r="D62" s="77">
        <f>B33</f>
        <v>175</v>
      </c>
      <c r="E62" s="77">
        <f>B34</f>
        <v>141</v>
      </c>
      <c r="F62" s="77">
        <f>B35</f>
        <v>141</v>
      </c>
      <c r="G62" s="77">
        <f>B36</f>
        <v>175</v>
      </c>
      <c r="H62" s="77">
        <f>B37</f>
        <v>175</v>
      </c>
      <c r="I62" s="77">
        <f>B38</f>
        <v>175</v>
      </c>
      <c r="J62" s="77">
        <f>B39</f>
        <v>175</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2" priority="39" operator="equal">
      <formula>"DECREASE"</formula>
    </cfRule>
    <cfRule type="cellIs" dxfId="351" priority="40" operator="equal">
      <formula>"INCREASE"</formula>
    </cfRule>
  </conditionalFormatting>
  <conditionalFormatting sqref="B62:U66 B31:B50">
    <cfRule type="cellIs" dxfId="350" priority="38" operator="greaterThan">
      <formula>$B$51</formula>
    </cfRule>
  </conditionalFormatting>
  <conditionalFormatting sqref="C31:C50">
    <cfRule type="cellIs" dxfId="349" priority="37" operator="greaterThan">
      <formula>$C$51</formula>
    </cfRule>
  </conditionalFormatting>
  <conditionalFormatting sqref="C18:V18">
    <cfRule type="cellIs" dxfId="348" priority="36" operator="equal">
      <formula>0</formula>
    </cfRule>
  </conditionalFormatting>
  <conditionalFormatting sqref="C17:V17">
    <cfRule type="cellIs" dxfId="347" priority="35" operator="equal">
      <formula>0</formula>
    </cfRule>
  </conditionalFormatting>
  <conditionalFormatting sqref="C19:V19">
    <cfRule type="cellIs" dxfId="346" priority="34" operator="equal">
      <formula>0</formula>
    </cfRule>
  </conditionalFormatting>
  <conditionalFormatting sqref="G31:G50">
    <cfRule type="cellIs" dxfId="345" priority="33" operator="greaterThan">
      <formula>$G$51</formula>
    </cfRule>
  </conditionalFormatting>
  <conditionalFormatting sqref="H31:H50">
    <cfRule type="cellIs" dxfId="344" priority="32" operator="greaterThan">
      <formula>$H$51</formula>
    </cfRule>
  </conditionalFormatting>
  <conditionalFormatting sqref="I31:I50">
    <cfRule type="cellIs" dxfId="343" priority="31" operator="greaterThan">
      <formula>$I$51</formula>
    </cfRule>
  </conditionalFormatting>
  <conditionalFormatting sqref="K31:K50">
    <cfRule type="cellIs" dxfId="342" priority="30" operator="greaterThan">
      <formula>$K$51</formula>
    </cfRule>
  </conditionalFormatting>
  <conditionalFormatting sqref="L31:L50">
    <cfRule type="cellIs" dxfId="341" priority="29" operator="greaterThan">
      <formula>$L$51</formula>
    </cfRule>
  </conditionalFormatting>
  <conditionalFormatting sqref="M31:M50">
    <cfRule type="cellIs" dxfId="340" priority="28" operator="greaterThan">
      <formula>$M$51</formula>
    </cfRule>
  </conditionalFormatting>
  <conditionalFormatting sqref="P31:P50">
    <cfRule type="cellIs" dxfId="339" priority="27" operator="greaterThan">
      <formula>$P$51</formula>
    </cfRule>
  </conditionalFormatting>
  <conditionalFormatting sqref="R31:R50">
    <cfRule type="cellIs" dxfId="338" priority="26" operator="greaterThan">
      <formula>$R$51</formula>
    </cfRule>
  </conditionalFormatting>
  <conditionalFormatting sqref="S31:S50">
    <cfRule type="cellIs" dxfId="337" priority="25" operator="greaterThan">
      <formula>$S$51</formula>
    </cfRule>
  </conditionalFormatting>
  <conditionalFormatting sqref="T31:T50">
    <cfRule type="cellIs" dxfId="336" priority="24" operator="greaterThan">
      <formula>$T$51</formula>
    </cfRule>
  </conditionalFormatting>
  <conditionalFormatting sqref="U31:U50">
    <cfRule type="cellIs" dxfId="335" priority="23" operator="greaterThan">
      <formula>$U$51</formula>
    </cfRule>
  </conditionalFormatting>
  <conditionalFormatting sqref="C22:V22">
    <cfRule type="cellIs" dxfId="334" priority="22" operator="equal">
      <formula>0</formula>
    </cfRule>
  </conditionalFormatting>
  <conditionalFormatting sqref="C24:V24">
    <cfRule type="cellIs" dxfId="333" priority="20" operator="equal">
      <formula>"DECREASE"</formula>
    </cfRule>
    <cfRule type="cellIs" dxfId="332" priority="21" operator="equal">
      <formula>"INCREASE"</formula>
    </cfRule>
  </conditionalFormatting>
  <conditionalFormatting sqref="C23:V23">
    <cfRule type="cellIs" dxfId="331" priority="19" operator="equal">
      <formula>0</formula>
    </cfRule>
  </conditionalFormatting>
  <conditionalFormatting sqref="C21:V21">
    <cfRule type="cellIs" dxfId="330" priority="15" operator="equal">
      <formula>0</formula>
    </cfRule>
  </conditionalFormatting>
  <conditionalFormatting sqref="B66:U66">
    <cfRule type="cellIs" dxfId="329" priority="13" operator="equal">
      <formula>"UNDER"</formula>
    </cfRule>
    <cfRule type="cellIs" dxfId="328" priority="14" operator="equal">
      <formula>"OVER"</formula>
    </cfRule>
  </conditionalFormatting>
  <conditionalFormatting sqref="J31:J50">
    <cfRule type="cellIs" dxfId="327" priority="10" operator="greaterThan">
      <formula>$J$51</formula>
    </cfRule>
  </conditionalFormatting>
  <conditionalFormatting sqref="L3">
    <cfRule type="cellIs" dxfId="326" priority="6" operator="lessThan">
      <formula>30</formula>
    </cfRule>
    <cfRule type="cellIs" dxfId="325" priority="7" operator="greaterThanOrEqual">
      <formula>30</formula>
    </cfRule>
  </conditionalFormatting>
  <conditionalFormatting sqref="I3">
    <cfRule type="cellIs" dxfId="322" priority="3" operator="greaterThan">
      <formula>40000.01</formula>
    </cfRule>
  </conditionalFormatting>
  <conditionalFormatting sqref="I1">
    <cfRule type="cellIs" dxfId="9" priority="2" operator="between">
      <formula>0.1</formula>
      <formula>5</formula>
    </cfRule>
  </conditionalFormatting>
  <conditionalFormatting sqref="I2">
    <cfRule type="cellIs" dxfId="8" priority="1" operator="greaterThan">
      <formula>5000.1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9">
        <v>7.06</v>
      </c>
      <c r="J1" s="128" t="s">
        <v>153</v>
      </c>
      <c r="K1" s="128"/>
      <c r="L1" s="119">
        <v>1008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174</v>
      </c>
      <c r="G2" s="126" t="s">
        <v>110</v>
      </c>
      <c r="H2" s="127"/>
      <c r="I2" s="119">
        <v>1902</v>
      </c>
      <c r="J2" s="128" t="s">
        <v>158</v>
      </c>
      <c r="K2" s="128"/>
      <c r="L2" s="119">
        <v>0.34</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9">
        <v>580</v>
      </c>
      <c r="J3" s="124" t="s">
        <v>154</v>
      </c>
      <c r="K3" s="125"/>
      <c r="L3" s="97">
        <f>(L1/(L2*10000))*100</f>
        <v>29.647058823529409</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180</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81.674149999999997</v>
      </c>
      <c r="D18" s="16">
        <f>$D32</f>
        <v>81.674149999999997</v>
      </c>
      <c r="E18" s="16">
        <f>$D33</f>
        <v>81.674149999999997</v>
      </c>
      <c r="F18" s="16">
        <f>$D34</f>
        <v>47.371006999999999</v>
      </c>
      <c r="G18" s="16">
        <f>$D35</f>
        <v>47.371006999999999</v>
      </c>
      <c r="H18" s="16">
        <f>$D36</f>
        <v>81.674149999999997</v>
      </c>
      <c r="I18" s="16">
        <f>$D37</f>
        <v>81.674149999999997</v>
      </c>
      <c r="J18" s="16">
        <f>$D38</f>
        <v>81.674149999999997</v>
      </c>
      <c r="K18" s="16">
        <f>$D39</f>
        <v>81.674149999999997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25.674149999999997</v>
      </c>
      <c r="D19" s="16">
        <f t="shared" ref="D19:V19" si="1">D18-D17</f>
        <v>25.674149999999997</v>
      </c>
      <c r="E19" s="16">
        <f t="shared" si="1"/>
        <v>25.674149999999997</v>
      </c>
      <c r="F19" s="16">
        <f t="shared" si="1"/>
        <v>-8.6289930000000012</v>
      </c>
      <c r="G19" s="16">
        <f t="shared" si="1"/>
        <v>-8.6289930000000012</v>
      </c>
      <c r="H19" s="16">
        <f t="shared" si="1"/>
        <v>25.674149999999997</v>
      </c>
      <c r="I19" s="16">
        <f t="shared" si="1"/>
        <v>17.074150000000003</v>
      </c>
      <c r="J19" s="16">
        <f t="shared" si="1"/>
        <v>17.074150000000003</v>
      </c>
      <c r="K19" s="16">
        <f t="shared" si="1"/>
        <v>17.074150000000003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10.302750000000001</v>
      </c>
      <c r="D22" s="16">
        <f>$E32</f>
        <v>10.302750000000001</v>
      </c>
      <c r="E22" s="16">
        <f>$E33</f>
        <v>10.302750000000001</v>
      </c>
      <c r="F22" s="16">
        <f>$E34</f>
        <v>5.9755950000000011</v>
      </c>
      <c r="G22" s="16">
        <f>$E35</f>
        <v>5.9755950000000011</v>
      </c>
      <c r="H22" s="16">
        <f>$E36</f>
        <v>10.302750000000001</v>
      </c>
      <c r="I22" s="16">
        <f>$E37</f>
        <v>10.302750000000001</v>
      </c>
      <c r="J22" s="16">
        <f>$E38</f>
        <v>10.302750000000001</v>
      </c>
      <c r="K22" s="16">
        <f>$E39</f>
        <v>10.302750000000001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-73.697249999999997</v>
      </c>
      <c r="D23" s="16">
        <f t="shared" ref="D23:V23" si="3">D22-D21</f>
        <v>-73.697249999999997</v>
      </c>
      <c r="E23" s="16">
        <f t="shared" si="3"/>
        <v>-73.697249999999997</v>
      </c>
      <c r="F23" s="16">
        <f t="shared" si="3"/>
        <v>-170.024405</v>
      </c>
      <c r="G23" s="16">
        <f t="shared" si="3"/>
        <v>-170.024405</v>
      </c>
      <c r="H23" s="16">
        <f t="shared" si="3"/>
        <v>-73.697249999999997</v>
      </c>
      <c r="I23" s="16">
        <f t="shared" si="3"/>
        <v>-217.69725</v>
      </c>
      <c r="J23" s="16">
        <f t="shared" si="3"/>
        <v>-217.69725</v>
      </c>
      <c r="K23" s="16">
        <f t="shared" si="3"/>
        <v>-217.69725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5.19</v>
      </c>
      <c r="C28" s="15">
        <v>0.34</v>
      </c>
      <c r="D28" s="15">
        <v>713</v>
      </c>
      <c r="E28" s="15">
        <v>171</v>
      </c>
      <c r="F28" s="15">
        <v>172</v>
      </c>
      <c r="G28" s="15">
        <v>3.31</v>
      </c>
      <c r="H28" s="15">
        <v>18.399999999999999</v>
      </c>
      <c r="I28" s="15">
        <v>0.5</v>
      </c>
      <c r="J28" s="15">
        <v>0.01</v>
      </c>
      <c r="K28" s="23">
        <v>0.05</v>
      </c>
      <c r="L28" s="15">
        <v>1.37</v>
      </c>
      <c r="M28" s="15">
        <v>0.9</v>
      </c>
      <c r="N28" s="15"/>
      <c r="O28" s="15"/>
      <c r="P28" s="15">
        <v>856</v>
      </c>
      <c r="Q28" s="15">
        <v>527</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50</v>
      </c>
      <c r="C31" s="77">
        <f>IF(C$27="%w/w SAR",((C$28*10)*$B31),IF(C$27="%w/w DM",(((C$28*10)*($B$28/100))*$B31),IF(C$27="kg/t SAR",(C$28*$B31),IF(C$27="kg/t DM",((C$28*($B$28/100))*$B31),IF(C$27="mg/kg SAR",((C$28*0.001)*$B31),IF(C$27="mg/kg DM",(((C$28*0.001)*($B$28/100))*$B31),0))))))</f>
        <v>170.00000000000003</v>
      </c>
      <c r="D31" s="77">
        <f>(IF(D$27="%w/w SAR",((D$28*10)*$B31),IF(D$27="%w/w DM",(((D$28*10)*($B$28/100))*$B31),IF(D$27="kg/t SAR",(D$28*$B31),IF(D$27="kg/t DM",((D$28*($B$28/100))*$B31),IF(D$27="mg/kg SAR",((D$28*0.001)*$B31),IF(D$27="mg/kg DM",(((D$28*0.001)*($B$28/100))*$B31),"0")))))))*2.291</f>
        <v>81.674149999999997</v>
      </c>
      <c r="E31" s="77">
        <f>(IF(E$27="%w/w SAR",((E$28*10)*$B31),IF(E$27="%w/w DM",(((E$28*10)*($B$28/100))*$B31),IF(E$27="kg/t SAR",(E$28*$B31),IF(E$27="kg/t DM",((E$28*($B$28/100))*$B31),IF(E$27="mg/kg SAR",((E$28*0.001)*$B31),IF(E$27="mg/kg DM",(((E$28*0.001)*($B$28/100))*$B31),"0")))))))*1.205</f>
        <v>10.302750000000001</v>
      </c>
      <c r="F31" s="77">
        <f>(IF(F$27="%w/w SAR",((F$28*10)*$B31),IF(F$27="%w/w DM",(((F$28*10)*($B$28/100))*$B31),IF(F$27="kg/t SAR",(F$28*$B31),IF(F$27="kg/t DM",((F$28*($B$28/100))*$B31),IF(F$27="mg/kg SAR",((F$28*0.001)*$B31),IF(F$27="mg/kg DM",(((F$28*0.001)*($B$28/100))*$B31),"0")))))))*1.658</f>
        <v>14.258800000000001</v>
      </c>
      <c r="G31" s="77">
        <f t="shared" ref="G31:P46" si="5">IF(G$27="%w/w SAR",((G$28*10)*$B31),IF(G$27="%w/w DM",(((G$28*10)*($B$28/100))*$B31),IF(G$27="kg/t SAR",(G$28*$B31),IF(G$27="kg/t DM",((G$28*($B$28/100))*$B31),IF(G$27="mg/kg SAR",((G$28*0.001)*$B31),IF(G$27="mg/kg DM",(((G$28*0.001)*($B$28/100))*$B31),0))))))</f>
        <v>0.16550000000000001</v>
      </c>
      <c r="H31" s="77">
        <f t="shared" si="5"/>
        <v>0.91999999999999993</v>
      </c>
      <c r="I31" s="77">
        <f t="shared" si="5"/>
        <v>2.5000000000000001E-2</v>
      </c>
      <c r="J31" s="77">
        <f t="shared" si="5"/>
        <v>5.0000000000000001E-4</v>
      </c>
      <c r="K31" s="77">
        <f t="shared" si="5"/>
        <v>2.5000000000000001E-3</v>
      </c>
      <c r="L31" s="77">
        <f t="shared" si="5"/>
        <v>6.8500000000000005E-2</v>
      </c>
      <c r="M31" s="77">
        <f t="shared" si="5"/>
        <v>4.5000000000000005E-2</v>
      </c>
      <c r="N31" s="77">
        <f t="shared" si="5"/>
        <v>0</v>
      </c>
      <c r="O31" s="77">
        <f t="shared" si="5"/>
        <v>0</v>
      </c>
      <c r="P31" s="77">
        <f t="shared" si="5"/>
        <v>42.8</v>
      </c>
      <c r="Q31" s="77">
        <f>(IF(Q$27="%w/w SAR",((Q$28*10)*$B31),IF(Q$27="%w/w DM",(((Q$28*10)*($B$28/100))*$B31),IF(Q$27="kg/t SAR",(Q$28*$B31),IF(Q$27="kg/t DM",((Q$28*($B$28/100))*$B31),IF(Q$27="mg/kg SAR",((Q$28*0.001)*$B31),IF(Q$27="mg/kg DM",(((Q$28*0.001)*($B$28/100))*$B31),0)))))))*2.5</f>
        <v>65.875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50</v>
      </c>
      <c r="C32" s="77">
        <f t="shared" ref="C32:C50" si="6">IF(C$27="%w/w SAR",((C$28*10)*$B32),IF(C$27="%w/w DM",(((C$28*10)*($B$28/100))*$B32),IF(C$27="kg/t SAR",(C$28*$B32),IF(C$27="kg/t DM",((C$28*($B$28/100))*$B32),IF(C$27="mg/kg SAR",((C$28*0.001)*$B32),IF(C$27="mg/kg DM",(((C$28*0.001)*($B$28/100))*$B32),0))))))</f>
        <v>170.00000000000003</v>
      </c>
      <c r="D32" s="77">
        <f t="shared" ref="D32:D50" si="7">(IF(D$27="%w/w SAR",((D$28*10)*$B32),IF(D$27="%w/w DM",(((D$28*10)*($B$28/100))*$B32),IF(D$27="kg/t SAR",(D$28*$B32),IF(D$27="kg/t DM",((D$28*($B$28/100))*$B32),IF(D$27="mg/kg SAR",((D$28*0.001)*$B32),IF(D$27="mg/kg DM",(((D$28*0.001)*($B$28/100))*$B32),"0")))))))*2.291</f>
        <v>81.674149999999997</v>
      </c>
      <c r="E32" s="77">
        <f t="shared" ref="E32:E50" si="8">(IF(E$27="%w/w SAR",((E$28*10)*$B32),IF(E$27="%w/w DM",(((E$28*10)*($B$28/100))*$B32),IF(E$27="kg/t SAR",(E$28*$B32),IF(E$27="kg/t DM",((E$28*($B$28/100))*$B32),IF(E$27="mg/kg SAR",((E$28*0.001)*$B32),IF(E$27="mg/kg DM",(((E$28*0.001)*($B$28/100))*$B32),"0")))))))*1.205</f>
        <v>10.302750000000001</v>
      </c>
      <c r="F32" s="77">
        <f t="shared" ref="F32:F50" si="9">(IF(F$27="%w/w SAR",((F$28*10)*$B32),IF(F$27="%w/w DM",(((F$28*10)*($B$28/100))*$B32),IF(F$27="kg/t SAR",(F$28*$B32),IF(F$27="kg/t DM",((F$28*($B$28/100))*$B32),IF(F$27="mg/kg SAR",((F$28*0.001)*$B32),IF(F$27="mg/kg DM",(((F$28*0.001)*($B$28/100))*$B32),"0")))))))*1.658</f>
        <v>14.258800000000001</v>
      </c>
      <c r="G32" s="77">
        <f t="shared" si="5"/>
        <v>0.16550000000000001</v>
      </c>
      <c r="H32" s="77">
        <f t="shared" si="5"/>
        <v>0.91999999999999993</v>
      </c>
      <c r="I32" s="77">
        <f t="shared" si="5"/>
        <v>2.5000000000000001E-2</v>
      </c>
      <c r="J32" s="77">
        <f t="shared" si="5"/>
        <v>5.0000000000000001E-4</v>
      </c>
      <c r="K32" s="77">
        <f t="shared" si="5"/>
        <v>2.5000000000000001E-3</v>
      </c>
      <c r="L32" s="77">
        <f t="shared" si="5"/>
        <v>6.8500000000000005E-2</v>
      </c>
      <c r="M32" s="77">
        <f t="shared" si="5"/>
        <v>4.5000000000000005E-2</v>
      </c>
      <c r="N32" s="77">
        <f t="shared" si="5"/>
        <v>0</v>
      </c>
      <c r="O32" s="77">
        <f t="shared" si="5"/>
        <v>0</v>
      </c>
      <c r="P32" s="77">
        <f t="shared" si="5"/>
        <v>42.8</v>
      </c>
      <c r="Q32" s="77">
        <f t="shared" ref="Q32:Q50" si="10">(IF(Q$27="%w/w SAR",((Q$28*10)*$B32),IF(Q$27="%w/w DM",(((Q$28*10)*($B$28/100))*$B32),IF(Q$27="kg/t SAR",(Q$28*$B32),IF(Q$27="kg/t DM",((Q$28*($B$28/100))*$B32),IF(Q$27="mg/kg SAR",((Q$28*0.001)*$B32),IF(Q$27="mg/kg DM",(((Q$28*0.001)*($B$28/100))*$B32),0)))))))*2.5</f>
        <v>65.875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v>50</v>
      </c>
      <c r="C33" s="77">
        <f t="shared" si="6"/>
        <v>170.00000000000003</v>
      </c>
      <c r="D33" s="77">
        <f t="shared" si="7"/>
        <v>81.674149999999997</v>
      </c>
      <c r="E33" s="77">
        <f t="shared" si="8"/>
        <v>10.302750000000001</v>
      </c>
      <c r="F33" s="77">
        <f t="shared" si="9"/>
        <v>14.258800000000001</v>
      </c>
      <c r="G33" s="77">
        <f t="shared" si="5"/>
        <v>0.16550000000000001</v>
      </c>
      <c r="H33" s="77">
        <f t="shared" si="5"/>
        <v>0.91999999999999993</v>
      </c>
      <c r="I33" s="77">
        <f t="shared" si="5"/>
        <v>2.5000000000000001E-2</v>
      </c>
      <c r="J33" s="77">
        <f t="shared" si="5"/>
        <v>5.0000000000000001E-4</v>
      </c>
      <c r="K33" s="77">
        <f t="shared" si="5"/>
        <v>2.5000000000000001E-3</v>
      </c>
      <c r="L33" s="77">
        <f t="shared" si="5"/>
        <v>6.8500000000000005E-2</v>
      </c>
      <c r="M33" s="77">
        <f t="shared" si="5"/>
        <v>4.5000000000000005E-2</v>
      </c>
      <c r="N33" s="77">
        <f t="shared" si="5"/>
        <v>0</v>
      </c>
      <c r="O33" s="77">
        <f t="shared" si="5"/>
        <v>0</v>
      </c>
      <c r="P33" s="77">
        <f t="shared" si="5"/>
        <v>42.8</v>
      </c>
      <c r="Q33" s="77">
        <f t="shared" si="10"/>
        <v>65.875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v>29</v>
      </c>
      <c r="C34" s="77">
        <f t="shared" si="6"/>
        <v>98.600000000000009</v>
      </c>
      <c r="D34" s="77">
        <f t="shared" si="7"/>
        <v>47.371006999999999</v>
      </c>
      <c r="E34" s="77">
        <f t="shared" si="8"/>
        <v>5.9755950000000011</v>
      </c>
      <c r="F34" s="77">
        <f t="shared" si="9"/>
        <v>8.2701039999999999</v>
      </c>
      <c r="G34" s="77">
        <f t="shared" si="5"/>
        <v>9.5990000000000006E-2</v>
      </c>
      <c r="H34" s="77">
        <f t="shared" si="5"/>
        <v>0.53359999999999996</v>
      </c>
      <c r="I34" s="77">
        <f t="shared" si="5"/>
        <v>1.4500000000000001E-2</v>
      </c>
      <c r="J34" s="77">
        <f t="shared" si="5"/>
        <v>2.9E-4</v>
      </c>
      <c r="K34" s="77">
        <f t="shared" si="5"/>
        <v>1.4500000000000001E-3</v>
      </c>
      <c r="L34" s="77">
        <f t="shared" si="5"/>
        <v>3.9730000000000001E-2</v>
      </c>
      <c r="M34" s="77">
        <f t="shared" si="5"/>
        <v>2.6100000000000002E-2</v>
      </c>
      <c r="N34" s="77">
        <f t="shared" si="5"/>
        <v>0</v>
      </c>
      <c r="O34" s="77">
        <f t="shared" si="5"/>
        <v>0</v>
      </c>
      <c r="P34" s="77">
        <f t="shared" si="5"/>
        <v>24.823999999999998</v>
      </c>
      <c r="Q34" s="77">
        <f t="shared" si="10"/>
        <v>38.207500000000003</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v>29</v>
      </c>
      <c r="C35" s="77">
        <f t="shared" si="6"/>
        <v>98.600000000000009</v>
      </c>
      <c r="D35" s="77">
        <f t="shared" si="7"/>
        <v>47.371006999999999</v>
      </c>
      <c r="E35" s="77">
        <f t="shared" si="8"/>
        <v>5.9755950000000011</v>
      </c>
      <c r="F35" s="77">
        <f t="shared" si="9"/>
        <v>8.2701039999999999</v>
      </c>
      <c r="G35" s="77">
        <f t="shared" si="5"/>
        <v>9.5990000000000006E-2</v>
      </c>
      <c r="H35" s="77">
        <f t="shared" si="5"/>
        <v>0.53359999999999996</v>
      </c>
      <c r="I35" s="77">
        <f t="shared" si="5"/>
        <v>1.4500000000000001E-2</v>
      </c>
      <c r="J35" s="77">
        <f t="shared" si="5"/>
        <v>2.9E-4</v>
      </c>
      <c r="K35" s="77">
        <f t="shared" si="5"/>
        <v>1.4500000000000001E-3</v>
      </c>
      <c r="L35" s="77">
        <f t="shared" si="5"/>
        <v>3.9730000000000001E-2</v>
      </c>
      <c r="M35" s="77">
        <f t="shared" si="5"/>
        <v>2.6100000000000002E-2</v>
      </c>
      <c r="N35" s="77">
        <f t="shared" si="5"/>
        <v>0</v>
      </c>
      <c r="O35" s="77">
        <f t="shared" si="5"/>
        <v>0</v>
      </c>
      <c r="P35" s="77">
        <f t="shared" si="5"/>
        <v>24.823999999999998</v>
      </c>
      <c r="Q35" s="77">
        <f t="shared" si="10"/>
        <v>38.207500000000003</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v>50</v>
      </c>
      <c r="C36" s="77">
        <f t="shared" si="6"/>
        <v>170.00000000000003</v>
      </c>
      <c r="D36" s="77">
        <f t="shared" si="7"/>
        <v>81.674149999999997</v>
      </c>
      <c r="E36" s="77">
        <f t="shared" si="8"/>
        <v>10.302750000000001</v>
      </c>
      <c r="F36" s="77">
        <f t="shared" si="9"/>
        <v>14.258800000000001</v>
      </c>
      <c r="G36" s="77">
        <f t="shared" si="5"/>
        <v>0.16550000000000001</v>
      </c>
      <c r="H36" s="77">
        <f t="shared" si="5"/>
        <v>0.91999999999999993</v>
      </c>
      <c r="I36" s="77">
        <f t="shared" si="5"/>
        <v>2.5000000000000001E-2</v>
      </c>
      <c r="J36" s="77">
        <f t="shared" si="5"/>
        <v>5.0000000000000001E-4</v>
      </c>
      <c r="K36" s="77">
        <f t="shared" si="5"/>
        <v>2.5000000000000001E-3</v>
      </c>
      <c r="L36" s="77">
        <f t="shared" si="5"/>
        <v>6.8500000000000005E-2</v>
      </c>
      <c r="M36" s="77">
        <f t="shared" si="5"/>
        <v>4.5000000000000005E-2</v>
      </c>
      <c r="N36" s="77">
        <f t="shared" si="5"/>
        <v>0</v>
      </c>
      <c r="O36" s="77">
        <f t="shared" si="5"/>
        <v>0</v>
      </c>
      <c r="P36" s="77">
        <f t="shared" si="5"/>
        <v>42.8</v>
      </c>
      <c r="Q36" s="77">
        <f t="shared" si="10"/>
        <v>65.875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v>50</v>
      </c>
      <c r="C37" s="77">
        <f t="shared" si="6"/>
        <v>170.00000000000003</v>
      </c>
      <c r="D37" s="77">
        <f t="shared" si="7"/>
        <v>81.674149999999997</v>
      </c>
      <c r="E37" s="77">
        <f t="shared" si="8"/>
        <v>10.302750000000001</v>
      </c>
      <c r="F37" s="77">
        <f t="shared" si="9"/>
        <v>14.258800000000001</v>
      </c>
      <c r="G37" s="77">
        <f t="shared" si="5"/>
        <v>0.16550000000000001</v>
      </c>
      <c r="H37" s="77">
        <f t="shared" si="5"/>
        <v>0.91999999999999993</v>
      </c>
      <c r="I37" s="77">
        <f t="shared" si="5"/>
        <v>2.5000000000000001E-2</v>
      </c>
      <c r="J37" s="77">
        <f t="shared" si="5"/>
        <v>5.0000000000000001E-4</v>
      </c>
      <c r="K37" s="77">
        <f t="shared" si="5"/>
        <v>2.5000000000000001E-3</v>
      </c>
      <c r="L37" s="77">
        <f t="shared" si="5"/>
        <v>6.8500000000000005E-2</v>
      </c>
      <c r="M37" s="77">
        <f t="shared" si="5"/>
        <v>4.5000000000000005E-2</v>
      </c>
      <c r="N37" s="77">
        <f t="shared" si="5"/>
        <v>0</v>
      </c>
      <c r="O37" s="77">
        <f t="shared" si="5"/>
        <v>0</v>
      </c>
      <c r="P37" s="77">
        <f t="shared" si="5"/>
        <v>42.8</v>
      </c>
      <c r="Q37" s="77">
        <f t="shared" si="10"/>
        <v>65.875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v>50</v>
      </c>
      <c r="C38" s="77">
        <f t="shared" si="6"/>
        <v>170.00000000000003</v>
      </c>
      <c r="D38" s="77">
        <f t="shared" si="7"/>
        <v>81.674149999999997</v>
      </c>
      <c r="E38" s="77">
        <f t="shared" si="8"/>
        <v>10.302750000000001</v>
      </c>
      <c r="F38" s="77">
        <f t="shared" si="9"/>
        <v>14.258800000000001</v>
      </c>
      <c r="G38" s="77">
        <f t="shared" si="5"/>
        <v>0.16550000000000001</v>
      </c>
      <c r="H38" s="77">
        <f t="shared" si="5"/>
        <v>0.91999999999999993</v>
      </c>
      <c r="I38" s="77">
        <f t="shared" si="5"/>
        <v>2.5000000000000001E-2</v>
      </c>
      <c r="J38" s="77">
        <f t="shared" si="5"/>
        <v>5.0000000000000001E-4</v>
      </c>
      <c r="K38" s="77">
        <f t="shared" si="5"/>
        <v>2.5000000000000001E-3</v>
      </c>
      <c r="L38" s="77">
        <f t="shared" si="5"/>
        <v>6.8500000000000005E-2</v>
      </c>
      <c r="M38" s="77">
        <f t="shared" si="5"/>
        <v>4.5000000000000005E-2</v>
      </c>
      <c r="N38" s="77">
        <f t="shared" si="5"/>
        <v>0</v>
      </c>
      <c r="O38" s="77">
        <f t="shared" si="5"/>
        <v>0</v>
      </c>
      <c r="P38" s="77">
        <f t="shared" si="5"/>
        <v>42.8</v>
      </c>
      <c r="Q38" s="77">
        <f t="shared" si="10"/>
        <v>65.875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v>50</v>
      </c>
      <c r="C39" s="77">
        <f t="shared" si="6"/>
        <v>170.00000000000003</v>
      </c>
      <c r="D39" s="77">
        <f t="shared" si="7"/>
        <v>81.674149999999997</v>
      </c>
      <c r="E39" s="77">
        <f t="shared" si="8"/>
        <v>10.302750000000001</v>
      </c>
      <c r="F39" s="77">
        <f t="shared" si="9"/>
        <v>14.258800000000001</v>
      </c>
      <c r="G39" s="77">
        <f t="shared" si="5"/>
        <v>0.16550000000000001</v>
      </c>
      <c r="H39" s="77">
        <f t="shared" si="5"/>
        <v>0.91999999999999993</v>
      </c>
      <c r="I39" s="77">
        <f t="shared" si="5"/>
        <v>2.5000000000000001E-2</v>
      </c>
      <c r="J39" s="77">
        <f t="shared" si="5"/>
        <v>5.0000000000000001E-4</v>
      </c>
      <c r="K39" s="77">
        <f t="shared" si="5"/>
        <v>2.5000000000000001E-3</v>
      </c>
      <c r="L39" s="77">
        <f t="shared" si="5"/>
        <v>6.8500000000000005E-2</v>
      </c>
      <c r="M39" s="77">
        <f t="shared" si="5"/>
        <v>4.5000000000000005E-2</v>
      </c>
      <c r="N39" s="77">
        <f t="shared" si="5"/>
        <v>0</v>
      </c>
      <c r="O39" s="77">
        <f t="shared" si="5"/>
        <v>0</v>
      </c>
      <c r="P39" s="77">
        <f t="shared" si="5"/>
        <v>42.8</v>
      </c>
      <c r="Q39" s="77">
        <f t="shared" si="10"/>
        <v>65.875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50</v>
      </c>
      <c r="C62" s="77">
        <f>B32</f>
        <v>50</v>
      </c>
      <c r="D62" s="77">
        <f>B33</f>
        <v>50</v>
      </c>
      <c r="E62" s="77">
        <f>B34</f>
        <v>29</v>
      </c>
      <c r="F62" s="77">
        <f>B35</f>
        <v>29</v>
      </c>
      <c r="G62" s="77">
        <f>B36</f>
        <v>50</v>
      </c>
      <c r="H62" s="77">
        <f>B37</f>
        <v>50</v>
      </c>
      <c r="I62" s="77">
        <f>B38</f>
        <v>50</v>
      </c>
      <c r="J62" s="77">
        <f>B39</f>
        <v>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0" priority="40" operator="equal">
      <formula>"DECREASE"</formula>
    </cfRule>
    <cfRule type="cellIs" dxfId="309" priority="41" operator="equal">
      <formula>"INCREASE"</formula>
    </cfRule>
  </conditionalFormatting>
  <conditionalFormatting sqref="B62:U66 B31:B50">
    <cfRule type="cellIs" dxfId="308" priority="39" operator="greaterThan">
      <formula>$B$51</formula>
    </cfRule>
  </conditionalFormatting>
  <conditionalFormatting sqref="C31:C50">
    <cfRule type="cellIs" dxfId="307" priority="38" operator="greaterThan">
      <formula>$C$51</formula>
    </cfRule>
  </conditionalFormatting>
  <conditionalFormatting sqref="C18:V18">
    <cfRule type="cellIs" dxfId="306" priority="37" operator="equal">
      <formula>0</formula>
    </cfRule>
  </conditionalFormatting>
  <conditionalFormatting sqref="C17:V17">
    <cfRule type="cellIs" dxfId="305" priority="36" operator="equal">
      <formula>0</formula>
    </cfRule>
  </conditionalFormatting>
  <conditionalFormatting sqref="C19:V19">
    <cfRule type="cellIs" dxfId="304" priority="35" operator="equal">
      <formula>0</formula>
    </cfRule>
  </conditionalFormatting>
  <conditionalFormatting sqref="G31:G50">
    <cfRule type="cellIs" dxfId="303" priority="34" operator="greaterThan">
      <formula>$G$51</formula>
    </cfRule>
  </conditionalFormatting>
  <conditionalFormatting sqref="H31:H50">
    <cfRule type="cellIs" dxfId="302" priority="33" operator="greaterThan">
      <formula>$H$51</formula>
    </cfRule>
  </conditionalFormatting>
  <conditionalFormatting sqref="I31:I50">
    <cfRule type="cellIs" dxfId="301" priority="32" operator="greaterThan">
      <formula>$I$51</formula>
    </cfRule>
  </conditionalFormatting>
  <conditionalFormatting sqref="K31:K50">
    <cfRule type="cellIs" dxfId="300" priority="31" operator="greaterThan">
      <formula>$K$51</formula>
    </cfRule>
  </conditionalFormatting>
  <conditionalFormatting sqref="L31:L50">
    <cfRule type="cellIs" dxfId="299" priority="30" operator="greaterThan">
      <formula>$L$51</formula>
    </cfRule>
  </conditionalFormatting>
  <conditionalFormatting sqref="M31:M50">
    <cfRule type="cellIs" dxfId="298" priority="29" operator="greaterThan">
      <formula>$M$51</formula>
    </cfRule>
  </conditionalFormatting>
  <conditionalFormatting sqref="P31:P50">
    <cfRule type="cellIs" dxfId="297" priority="28" operator="greaterThan">
      <formula>$P$51</formula>
    </cfRule>
  </conditionalFormatting>
  <conditionalFormatting sqref="R31:R50">
    <cfRule type="cellIs" dxfId="296" priority="27" operator="greaterThan">
      <formula>$R$51</formula>
    </cfRule>
  </conditionalFormatting>
  <conditionalFormatting sqref="S31:S50">
    <cfRule type="cellIs" dxfId="295" priority="26" operator="greaterThan">
      <formula>$S$51</formula>
    </cfRule>
  </conditionalFormatting>
  <conditionalFormatting sqref="T31:T50">
    <cfRule type="cellIs" dxfId="294" priority="25" operator="greaterThan">
      <formula>$T$51</formula>
    </cfRule>
  </conditionalFormatting>
  <conditionalFormatting sqref="U31:U50">
    <cfRule type="cellIs" dxfId="293" priority="24" operator="greaterThan">
      <formula>$U$51</formula>
    </cfRule>
  </conditionalFormatting>
  <conditionalFormatting sqref="C22:V22">
    <cfRule type="cellIs" dxfId="292" priority="23" operator="equal">
      <formula>0</formula>
    </cfRule>
  </conditionalFormatting>
  <conditionalFormatting sqref="C24:V24">
    <cfRule type="cellIs" dxfId="291" priority="21" operator="equal">
      <formula>"DECREASE"</formula>
    </cfRule>
    <cfRule type="cellIs" dxfId="290" priority="22" operator="equal">
      <formula>"INCREASE"</formula>
    </cfRule>
  </conditionalFormatting>
  <conditionalFormatting sqref="C23:V23">
    <cfRule type="cellIs" dxfId="289" priority="20" operator="equal">
      <formula>0</formula>
    </cfRule>
  </conditionalFormatting>
  <conditionalFormatting sqref="C21:V21">
    <cfRule type="cellIs" dxfId="288" priority="16" operator="equal">
      <formula>0</formula>
    </cfRule>
  </conditionalFormatting>
  <conditionalFormatting sqref="B66:U66">
    <cfRule type="cellIs" dxfId="287" priority="14" operator="equal">
      <formula>"UNDER"</formula>
    </cfRule>
    <cfRule type="cellIs" dxfId="286" priority="15" operator="equal">
      <formula>"OVER"</formula>
    </cfRule>
  </conditionalFormatting>
  <conditionalFormatting sqref="J31:J50">
    <cfRule type="cellIs" dxfId="285" priority="11" operator="greaterThan">
      <formula>$J$51</formula>
    </cfRule>
  </conditionalFormatting>
  <conditionalFormatting sqref="L3">
    <cfRule type="cellIs" dxfId="284" priority="7" operator="lessThan">
      <formula>30</formula>
    </cfRule>
    <cfRule type="cellIs" dxfId="283" priority="8" operator="greaterThanOrEqual">
      <formula>30</formula>
    </cfRule>
  </conditionalFormatting>
  <conditionalFormatting sqref="I1">
    <cfRule type="cellIs" dxfId="7" priority="3" operator="between">
      <formula>0.1</formula>
      <formula>5</formula>
    </cfRule>
  </conditionalFormatting>
  <conditionalFormatting sqref="I2">
    <cfRule type="cellIs" dxfId="6" priority="2" operator="greaterThan">
      <formula>5000.1</formula>
    </cfRule>
  </conditionalFormatting>
  <conditionalFormatting sqref="I3">
    <cfRule type="cellIs" dxfId="5"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8" t="s">
        <v>41</v>
      </c>
      <c r="B1" s="128"/>
      <c r="C1" s="141" t="str">
        <f>Secanim!C1:D1</f>
        <v>PAN-021636</v>
      </c>
      <c r="D1" s="142"/>
      <c r="E1" s="93" t="s">
        <v>45</v>
      </c>
      <c r="F1" s="39">
        <f>Secanim!F1</f>
        <v>48.79</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182</v>
      </c>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181</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-56</v>
      </c>
      <c r="D19" s="16">
        <f t="shared" ref="D19:V19" si="1">D18-D17</f>
        <v>-56</v>
      </c>
      <c r="E19" s="16">
        <f t="shared" si="1"/>
        <v>-56</v>
      </c>
      <c r="F19" s="16">
        <f t="shared" si="1"/>
        <v>-56</v>
      </c>
      <c r="G19" s="16">
        <f t="shared" si="1"/>
        <v>-56</v>
      </c>
      <c r="H19" s="16">
        <f t="shared" si="1"/>
        <v>-56</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-84</v>
      </c>
      <c r="D23" s="16">
        <f t="shared" ref="D23:V23" si="3">D22-D21</f>
        <v>-84</v>
      </c>
      <c r="E23" s="16">
        <f t="shared" si="3"/>
        <v>-84</v>
      </c>
      <c r="F23" s="16">
        <f t="shared" si="3"/>
        <v>-176</v>
      </c>
      <c r="G23" s="16">
        <f t="shared" si="3"/>
        <v>-176</v>
      </c>
      <c r="H23" s="16">
        <f t="shared" si="3"/>
        <v>-84</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68" priority="37" operator="equal">
      <formula>"DECREASE"</formula>
    </cfRule>
    <cfRule type="cellIs" dxfId="267" priority="38" operator="equal">
      <formula>"INCREASE"</formula>
    </cfRule>
  </conditionalFormatting>
  <conditionalFormatting sqref="B62:U66 B31:B50">
    <cfRule type="cellIs" dxfId="266" priority="36" operator="greaterThan">
      <formula>$B$51</formula>
    </cfRule>
  </conditionalFormatting>
  <conditionalFormatting sqref="C31:C50">
    <cfRule type="cellIs" dxfId="265" priority="35" operator="greaterThan">
      <formula>$C$51</formula>
    </cfRule>
  </conditionalFormatting>
  <conditionalFormatting sqref="C18:V18">
    <cfRule type="cellIs" dxfId="264" priority="34" operator="equal">
      <formula>0</formula>
    </cfRule>
  </conditionalFormatting>
  <conditionalFormatting sqref="C17:V17">
    <cfRule type="cellIs" dxfId="263" priority="33" operator="equal">
      <formula>0</formula>
    </cfRule>
  </conditionalFormatting>
  <conditionalFormatting sqref="C19:V19">
    <cfRule type="cellIs" dxfId="262" priority="32" operator="equal">
      <formula>0</formula>
    </cfRule>
  </conditionalFormatting>
  <conditionalFormatting sqref="G31:G50">
    <cfRule type="cellIs" dxfId="261" priority="31" operator="greaterThan">
      <formula>$G$51</formula>
    </cfRule>
  </conditionalFormatting>
  <conditionalFormatting sqref="H31:H50">
    <cfRule type="cellIs" dxfId="260" priority="30" operator="greaterThan">
      <formula>$H$51</formula>
    </cfRule>
  </conditionalFormatting>
  <conditionalFormatting sqref="I31:I50">
    <cfRule type="cellIs" dxfId="259" priority="29" operator="greaterThan">
      <formula>$I$51</formula>
    </cfRule>
  </conditionalFormatting>
  <conditionalFormatting sqref="K31:K50">
    <cfRule type="cellIs" dxfId="258" priority="28" operator="greaterThan">
      <formula>$K$51</formula>
    </cfRule>
  </conditionalFormatting>
  <conditionalFormatting sqref="L31:L50">
    <cfRule type="cellIs" dxfId="257" priority="27" operator="greaterThan">
      <formula>$L$51</formula>
    </cfRule>
  </conditionalFormatting>
  <conditionalFormatting sqref="M31:M50">
    <cfRule type="cellIs" dxfId="256" priority="26" operator="greaterThan">
      <formula>$M$51</formula>
    </cfRule>
  </conditionalFormatting>
  <conditionalFormatting sqref="P31:P50">
    <cfRule type="cellIs" dxfId="255" priority="25" operator="greaterThan">
      <formula>$P$51</formula>
    </cfRule>
  </conditionalFormatting>
  <conditionalFormatting sqref="R31:R50">
    <cfRule type="cellIs" dxfId="254" priority="24" operator="greaterThan">
      <formula>$R$51</formula>
    </cfRule>
  </conditionalFormatting>
  <conditionalFormatting sqref="S31:S50">
    <cfRule type="cellIs" dxfId="253" priority="23" operator="greaterThan">
      <formula>$S$51</formula>
    </cfRule>
  </conditionalFormatting>
  <conditionalFormatting sqref="T31:T50">
    <cfRule type="cellIs" dxfId="252" priority="22" operator="greaterThan">
      <formula>$T$51</formula>
    </cfRule>
  </conditionalFormatting>
  <conditionalFormatting sqref="U31:U50">
    <cfRule type="cellIs" dxfId="251" priority="21" operator="greaterThan">
      <formula>$U$51</formula>
    </cfRule>
  </conditionalFormatting>
  <conditionalFormatting sqref="C22:V22">
    <cfRule type="cellIs" dxfId="250" priority="20" operator="equal">
      <formula>0</formula>
    </cfRule>
  </conditionalFormatting>
  <conditionalFormatting sqref="C24:V24">
    <cfRule type="cellIs" dxfId="249" priority="18" operator="equal">
      <formula>"DECREASE"</formula>
    </cfRule>
    <cfRule type="cellIs" dxfId="248" priority="19" operator="equal">
      <formula>"INCREASE"</formula>
    </cfRule>
  </conditionalFormatting>
  <conditionalFormatting sqref="C23:V23">
    <cfRule type="cellIs" dxfId="247" priority="17" operator="equal">
      <formula>0</formula>
    </cfRule>
  </conditionalFormatting>
  <conditionalFormatting sqref="C21:V21">
    <cfRule type="cellIs" dxfId="246" priority="13" operator="equal">
      <formula>0</formula>
    </cfRule>
  </conditionalFormatting>
  <conditionalFormatting sqref="B66:U66">
    <cfRule type="cellIs" dxfId="245" priority="11" operator="equal">
      <formula>"UNDER"</formula>
    </cfRule>
    <cfRule type="cellIs" dxfId="244" priority="12" operator="equal">
      <formula>"OVER"</formula>
    </cfRule>
  </conditionalFormatting>
  <conditionalFormatting sqref="J31:J50">
    <cfRule type="cellIs" dxfId="243" priority="8" operator="greaterThan">
      <formula>$J$51</formula>
    </cfRule>
  </conditionalFormatting>
  <conditionalFormatting sqref="L3">
    <cfRule type="cellIs" dxfId="242" priority="4" operator="lessThan">
      <formula>30</formula>
    </cfRule>
    <cfRule type="cellIs" dxfId="241" priority="5" operator="greaterThanOrEqual">
      <formula>30</formula>
    </cfRule>
  </conditionalFormatting>
  <conditionalFormatting sqref="I1">
    <cfRule type="cellIs" dxfId="240" priority="3" operator="between">
      <formula>0.1</formula>
      <formula>5</formula>
    </cfRule>
  </conditionalFormatting>
  <conditionalFormatting sqref="I2">
    <cfRule type="cellIs" dxfId="239" priority="2" operator="greaterThan">
      <formula>5000.1</formula>
    </cfRule>
  </conditionalFormatting>
  <conditionalFormatting sqref="I3">
    <cfRule type="cellIs" dxfId="238"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9">
        <v>3.93</v>
      </c>
      <c r="J1" s="128" t="s">
        <v>153</v>
      </c>
      <c r="K1" s="128"/>
      <c r="L1" s="119">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184</v>
      </c>
      <c r="G2" s="126" t="s">
        <v>110</v>
      </c>
      <c r="H2" s="127"/>
      <c r="I2" s="119">
        <v>297</v>
      </c>
      <c r="J2" s="128" t="s">
        <v>158</v>
      </c>
      <c r="K2" s="128"/>
      <c r="L2" s="119">
        <v>0.02</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f>(L1/(L2*10000))*100</f>
        <v>12.5</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183</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27.7211</v>
      </c>
      <c r="D18" s="16">
        <f>$D32</f>
        <v>27.7211</v>
      </c>
      <c r="E18" s="16">
        <f>$D33</f>
        <v>27.7211</v>
      </c>
      <c r="F18" s="16">
        <f>$D34</f>
        <v>27.7211</v>
      </c>
      <c r="G18" s="16">
        <f>$D35</f>
        <v>27.7211</v>
      </c>
      <c r="H18" s="16">
        <f>$D36</f>
        <v>27.7211</v>
      </c>
      <c r="I18" s="16">
        <f>$D37</f>
        <v>27.7211</v>
      </c>
      <c r="J18" s="16">
        <f>$D38</f>
        <v>27.7211</v>
      </c>
      <c r="K18" s="16">
        <f>$D39</f>
        <v>27.7211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-28.2789</v>
      </c>
      <c r="D19" s="16">
        <f t="shared" ref="D19:V19" si="1">D18-D17</f>
        <v>-28.2789</v>
      </c>
      <c r="E19" s="16">
        <f t="shared" si="1"/>
        <v>-28.2789</v>
      </c>
      <c r="F19" s="16">
        <f t="shared" si="1"/>
        <v>-28.2789</v>
      </c>
      <c r="G19" s="16">
        <f t="shared" si="1"/>
        <v>-28.2789</v>
      </c>
      <c r="H19" s="16">
        <f t="shared" si="1"/>
        <v>-28.2789</v>
      </c>
      <c r="I19" s="16">
        <f t="shared" si="1"/>
        <v>-36.878899999999994</v>
      </c>
      <c r="J19" s="16">
        <f t="shared" si="1"/>
        <v>-36.878899999999994</v>
      </c>
      <c r="K19" s="16">
        <f t="shared" si="1"/>
        <v>-36.878899999999994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28.227125000000001</v>
      </c>
      <c r="D22" s="16">
        <f>$E32</f>
        <v>28.227125000000001</v>
      </c>
      <c r="E22" s="16">
        <f>$E33</f>
        <v>28.227125000000001</v>
      </c>
      <c r="F22" s="16">
        <f>$E34</f>
        <v>28.227125000000001</v>
      </c>
      <c r="G22" s="16">
        <f>$E35</f>
        <v>28.227125000000001</v>
      </c>
      <c r="H22" s="16">
        <f>$E36</f>
        <v>28.227125000000001</v>
      </c>
      <c r="I22" s="16">
        <f>$E37</f>
        <v>28.227125000000001</v>
      </c>
      <c r="J22" s="16">
        <f>$E38</f>
        <v>28.227125000000001</v>
      </c>
      <c r="K22" s="16">
        <f>$E39</f>
        <v>28.227125000000001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-55.772874999999999</v>
      </c>
      <c r="D23" s="16">
        <f t="shared" ref="D23:V23" si="3">D22-D21</f>
        <v>-55.772874999999999</v>
      </c>
      <c r="E23" s="16">
        <f t="shared" si="3"/>
        <v>-55.772874999999999</v>
      </c>
      <c r="F23" s="16">
        <f t="shared" si="3"/>
        <v>-147.772875</v>
      </c>
      <c r="G23" s="16">
        <f t="shared" si="3"/>
        <v>-147.772875</v>
      </c>
      <c r="H23" s="16">
        <f t="shared" si="3"/>
        <v>-55.772874999999999</v>
      </c>
      <c r="I23" s="16">
        <f t="shared" si="3"/>
        <v>-199.772875</v>
      </c>
      <c r="J23" s="16">
        <f t="shared" si="3"/>
        <v>-199.772875</v>
      </c>
      <c r="K23" s="16">
        <f t="shared" si="3"/>
        <v>-199.772875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1.19</v>
      </c>
      <c r="C28" s="15">
        <v>0.02</v>
      </c>
      <c r="D28" s="15">
        <v>48.4</v>
      </c>
      <c r="E28" s="15">
        <v>93.7</v>
      </c>
      <c r="F28" s="15">
        <v>10.6</v>
      </c>
      <c r="G28" s="15">
        <v>0.25</v>
      </c>
      <c r="H28" s="15">
        <v>0.54</v>
      </c>
      <c r="I28" s="15">
        <v>0.5</v>
      </c>
      <c r="J28" s="15">
        <v>0.01</v>
      </c>
      <c r="K28" s="23">
        <v>0.05</v>
      </c>
      <c r="L28" s="15">
        <v>0.2</v>
      </c>
      <c r="M28" s="15">
        <v>0.2</v>
      </c>
      <c r="N28" s="15"/>
      <c r="O28" s="15"/>
      <c r="P28" s="15">
        <v>243</v>
      </c>
      <c r="Q28" s="15">
        <v>37</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27.7211</v>
      </c>
      <c r="E31" s="77">
        <f>(IF(E$27="%w/w SAR",((E$28*10)*$B31),IF(E$27="%w/w DM",(((E$28*10)*($B$28/100))*$B31),IF(E$27="kg/t SAR",(E$28*$B31),IF(E$27="kg/t DM",((E$28*($B$28/100))*$B31),IF(E$27="mg/kg SAR",((E$28*0.001)*$B31),IF(E$27="mg/kg DM",(((E$28*0.001)*($B$28/100))*$B31),"0")))))))*1.205</f>
        <v>28.227125000000001</v>
      </c>
      <c r="F31" s="77">
        <f>(IF(F$27="%w/w SAR",((F$28*10)*$B31),IF(F$27="%w/w DM",(((F$28*10)*($B$28/100))*$B31),IF(F$27="kg/t SAR",(F$28*$B31),IF(F$27="kg/t DM",((F$28*($B$28/100))*$B31),IF(F$27="mg/kg SAR",((F$28*0.001)*$B31),IF(F$27="mg/kg DM",(((F$28*0.001)*($B$28/100))*$B31),"0")))))))*1.658</f>
        <v>4.3936999999999999</v>
      </c>
      <c r="G31" s="77">
        <f t="shared" ref="G31:P46" si="5">IF(G$27="%w/w SAR",((G$28*10)*$B31),IF(G$27="%w/w DM",(((G$28*10)*($B$28/100))*$B31),IF(G$27="kg/t SAR",(G$28*$B31),IF(G$27="kg/t DM",((G$28*($B$28/100))*$B31),IF(G$27="mg/kg SAR",((G$28*0.001)*$B31),IF(G$27="mg/kg DM",(((G$28*0.001)*($B$28/100))*$B31),0))))))</f>
        <v>6.25E-2</v>
      </c>
      <c r="H31" s="77">
        <f t="shared" si="5"/>
        <v>0.13500000000000001</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60.75</v>
      </c>
      <c r="Q31" s="77">
        <f>(IF(Q$27="%w/w SAR",((Q$28*10)*$B31),IF(Q$27="%w/w DM",(((Q$28*10)*($B$28/100))*$B31),IF(Q$27="kg/t SAR",(Q$28*$B31),IF(Q$27="kg/t DM",((Q$28*($B$28/100))*$B31),IF(Q$27="mg/kg SAR",((Q$28*0.001)*$B31),IF(Q$27="mg/kg DM",(((Q$28*0.001)*($B$28/100))*$B31),0)))))))*2.5</f>
        <v>23.125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27.7211</v>
      </c>
      <c r="E32" s="77">
        <f t="shared" ref="E32:E50" si="8">(IF(E$27="%w/w SAR",((E$28*10)*$B32),IF(E$27="%w/w DM",(((E$28*10)*($B$28/100))*$B32),IF(E$27="kg/t SAR",(E$28*$B32),IF(E$27="kg/t DM",((E$28*($B$28/100))*$B32),IF(E$27="mg/kg SAR",((E$28*0.001)*$B32),IF(E$27="mg/kg DM",(((E$28*0.001)*($B$28/100))*$B32),"0")))))))*1.205</f>
        <v>28.227125000000001</v>
      </c>
      <c r="F32" s="77">
        <f t="shared" ref="F32:F50" si="9">(IF(F$27="%w/w SAR",((F$28*10)*$B32),IF(F$27="%w/w DM",(((F$28*10)*($B$28/100))*$B32),IF(F$27="kg/t SAR",(F$28*$B32),IF(F$27="kg/t DM",((F$28*($B$28/100))*$B32),IF(F$27="mg/kg SAR",((F$28*0.001)*$B32),IF(F$27="mg/kg DM",(((F$28*0.001)*($B$28/100))*$B32),"0")))))))*1.658</f>
        <v>4.3936999999999999</v>
      </c>
      <c r="G32" s="77">
        <f t="shared" si="5"/>
        <v>6.25E-2</v>
      </c>
      <c r="H32" s="77">
        <f t="shared" si="5"/>
        <v>0.13500000000000001</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60.75</v>
      </c>
      <c r="Q32" s="77">
        <f t="shared" ref="Q32:Q50" si="10">(IF(Q$27="%w/w SAR",((Q$28*10)*$B32),IF(Q$27="%w/w DM",(((Q$28*10)*($B$28/100))*$B32),IF(Q$27="kg/t SAR",(Q$28*$B32),IF(Q$27="kg/t DM",((Q$28*($B$28/100))*$B32),IF(Q$27="mg/kg SAR",((Q$28*0.001)*$B32),IF(Q$27="mg/kg DM",(((Q$28*0.001)*($B$28/100))*$B32),0)))))))*2.5</f>
        <v>23.125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v>250</v>
      </c>
      <c r="C33" s="77">
        <f t="shared" si="6"/>
        <v>50</v>
      </c>
      <c r="D33" s="77">
        <f t="shared" si="7"/>
        <v>27.7211</v>
      </c>
      <c r="E33" s="77">
        <f t="shared" si="8"/>
        <v>28.227125000000001</v>
      </c>
      <c r="F33" s="77">
        <f t="shared" si="9"/>
        <v>4.3936999999999999</v>
      </c>
      <c r="G33" s="77">
        <f t="shared" si="5"/>
        <v>6.25E-2</v>
      </c>
      <c r="H33" s="77">
        <f t="shared" si="5"/>
        <v>0.13500000000000001</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60.75</v>
      </c>
      <c r="Q33" s="77">
        <f t="shared" si="10"/>
        <v>23.125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v>250</v>
      </c>
      <c r="C34" s="77">
        <f t="shared" si="6"/>
        <v>50</v>
      </c>
      <c r="D34" s="77">
        <f t="shared" si="7"/>
        <v>27.7211</v>
      </c>
      <c r="E34" s="77">
        <f t="shared" si="8"/>
        <v>28.227125000000001</v>
      </c>
      <c r="F34" s="77">
        <f t="shared" si="9"/>
        <v>4.3936999999999999</v>
      </c>
      <c r="G34" s="77">
        <f t="shared" si="5"/>
        <v>6.25E-2</v>
      </c>
      <c r="H34" s="77">
        <f t="shared" si="5"/>
        <v>0.13500000000000001</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60.75</v>
      </c>
      <c r="Q34" s="77">
        <f t="shared" si="10"/>
        <v>23.125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v>250</v>
      </c>
      <c r="C35" s="77">
        <f t="shared" si="6"/>
        <v>50</v>
      </c>
      <c r="D35" s="77">
        <f t="shared" si="7"/>
        <v>27.7211</v>
      </c>
      <c r="E35" s="77">
        <f t="shared" si="8"/>
        <v>28.227125000000001</v>
      </c>
      <c r="F35" s="77">
        <f t="shared" si="9"/>
        <v>4.3936999999999999</v>
      </c>
      <c r="G35" s="77">
        <f t="shared" si="5"/>
        <v>6.25E-2</v>
      </c>
      <c r="H35" s="77">
        <f t="shared" si="5"/>
        <v>0.13500000000000001</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60.75</v>
      </c>
      <c r="Q35" s="77">
        <f t="shared" si="10"/>
        <v>23.125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v>250</v>
      </c>
      <c r="C36" s="77">
        <f t="shared" si="6"/>
        <v>50</v>
      </c>
      <c r="D36" s="77">
        <f t="shared" si="7"/>
        <v>27.7211</v>
      </c>
      <c r="E36" s="77">
        <f t="shared" si="8"/>
        <v>28.227125000000001</v>
      </c>
      <c r="F36" s="77">
        <f t="shared" si="9"/>
        <v>4.3936999999999999</v>
      </c>
      <c r="G36" s="77">
        <f t="shared" si="5"/>
        <v>6.25E-2</v>
      </c>
      <c r="H36" s="77">
        <f t="shared" si="5"/>
        <v>0.13500000000000001</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60.75</v>
      </c>
      <c r="Q36" s="77">
        <f t="shared" si="10"/>
        <v>23.125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v>250</v>
      </c>
      <c r="C37" s="77">
        <f t="shared" si="6"/>
        <v>50</v>
      </c>
      <c r="D37" s="77">
        <f t="shared" si="7"/>
        <v>27.7211</v>
      </c>
      <c r="E37" s="77">
        <f t="shared" si="8"/>
        <v>28.227125000000001</v>
      </c>
      <c r="F37" s="77">
        <f t="shared" si="9"/>
        <v>4.3936999999999999</v>
      </c>
      <c r="G37" s="77">
        <f t="shared" si="5"/>
        <v>6.25E-2</v>
      </c>
      <c r="H37" s="77">
        <f t="shared" si="5"/>
        <v>0.13500000000000001</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60.75</v>
      </c>
      <c r="Q37" s="77">
        <f t="shared" si="10"/>
        <v>23.125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v>250</v>
      </c>
      <c r="C38" s="77">
        <f t="shared" si="6"/>
        <v>50</v>
      </c>
      <c r="D38" s="77">
        <f t="shared" si="7"/>
        <v>27.7211</v>
      </c>
      <c r="E38" s="77">
        <f t="shared" si="8"/>
        <v>28.227125000000001</v>
      </c>
      <c r="F38" s="77">
        <f t="shared" si="9"/>
        <v>4.3936999999999999</v>
      </c>
      <c r="G38" s="77">
        <f t="shared" si="5"/>
        <v>6.25E-2</v>
      </c>
      <c r="H38" s="77">
        <f t="shared" si="5"/>
        <v>0.13500000000000001</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60.75</v>
      </c>
      <c r="Q38" s="77">
        <f t="shared" si="10"/>
        <v>23.125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v>250</v>
      </c>
      <c r="C39" s="77">
        <f t="shared" si="6"/>
        <v>50</v>
      </c>
      <c r="D39" s="77">
        <f t="shared" si="7"/>
        <v>27.7211</v>
      </c>
      <c r="E39" s="77">
        <f t="shared" si="8"/>
        <v>28.227125000000001</v>
      </c>
      <c r="F39" s="77">
        <f t="shared" si="9"/>
        <v>4.3936999999999999</v>
      </c>
      <c r="G39" s="77">
        <f t="shared" si="5"/>
        <v>6.25E-2</v>
      </c>
      <c r="H39" s="77">
        <f t="shared" si="5"/>
        <v>0.13500000000000001</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60.75</v>
      </c>
      <c r="Q39" s="77">
        <f t="shared" si="10"/>
        <v>23.125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26" priority="39" operator="equal">
      <formula>"DECREASE"</formula>
    </cfRule>
    <cfRule type="cellIs" dxfId="225" priority="40" operator="equal">
      <formula>"INCREASE"</formula>
    </cfRule>
  </conditionalFormatting>
  <conditionalFormatting sqref="B62:U66 B31:B50">
    <cfRule type="cellIs" dxfId="224" priority="38" operator="greaterThan">
      <formula>$B$51</formula>
    </cfRule>
  </conditionalFormatting>
  <conditionalFormatting sqref="C31:C50">
    <cfRule type="cellIs" dxfId="223" priority="37" operator="greaterThan">
      <formula>$C$51</formula>
    </cfRule>
  </conditionalFormatting>
  <conditionalFormatting sqref="C18:V18">
    <cfRule type="cellIs" dxfId="222" priority="36" operator="equal">
      <formula>0</formula>
    </cfRule>
  </conditionalFormatting>
  <conditionalFormatting sqref="C17:V17">
    <cfRule type="cellIs" dxfId="221" priority="35" operator="equal">
      <formula>0</formula>
    </cfRule>
  </conditionalFormatting>
  <conditionalFormatting sqref="C19:V19">
    <cfRule type="cellIs" dxfId="220" priority="34" operator="equal">
      <formula>0</formula>
    </cfRule>
  </conditionalFormatting>
  <conditionalFormatting sqref="G31:G50">
    <cfRule type="cellIs" dxfId="219" priority="33" operator="greaterThan">
      <formula>$G$51</formula>
    </cfRule>
  </conditionalFormatting>
  <conditionalFormatting sqref="H31:H50">
    <cfRule type="cellIs" dxfId="218" priority="32" operator="greaterThan">
      <formula>$H$51</formula>
    </cfRule>
  </conditionalFormatting>
  <conditionalFormatting sqref="I31:I50">
    <cfRule type="cellIs" dxfId="217" priority="31" operator="greaterThan">
      <formula>$I$51</formula>
    </cfRule>
  </conditionalFormatting>
  <conditionalFormatting sqref="K31:K50">
    <cfRule type="cellIs" dxfId="216" priority="30" operator="greaterThan">
      <formula>$K$51</formula>
    </cfRule>
  </conditionalFormatting>
  <conditionalFormatting sqref="L31:L50">
    <cfRule type="cellIs" dxfId="215" priority="29" operator="greaterThan">
      <formula>$L$51</formula>
    </cfRule>
  </conditionalFormatting>
  <conditionalFormatting sqref="M31:M50">
    <cfRule type="cellIs" dxfId="214" priority="28" operator="greaterThan">
      <formula>$M$51</formula>
    </cfRule>
  </conditionalFormatting>
  <conditionalFormatting sqref="P31:P50">
    <cfRule type="cellIs" dxfId="213" priority="27" operator="greaterThan">
      <formula>$P$51</formula>
    </cfRule>
  </conditionalFormatting>
  <conditionalFormatting sqref="R31:R50">
    <cfRule type="cellIs" dxfId="212" priority="26" operator="greaterThan">
      <formula>$R$51</formula>
    </cfRule>
  </conditionalFormatting>
  <conditionalFormatting sqref="S31:S50">
    <cfRule type="cellIs" dxfId="211" priority="25" operator="greaterThan">
      <formula>$S$51</formula>
    </cfRule>
  </conditionalFormatting>
  <conditionalFormatting sqref="T31:T50">
    <cfRule type="cellIs" dxfId="210" priority="24" operator="greaterThan">
      <formula>$T$51</formula>
    </cfRule>
  </conditionalFormatting>
  <conditionalFormatting sqref="U31:U50">
    <cfRule type="cellIs" dxfId="209" priority="23" operator="greaterThan">
      <formula>$U$51</formula>
    </cfRule>
  </conditionalFormatting>
  <conditionalFormatting sqref="C22:V22">
    <cfRule type="cellIs" dxfId="208" priority="22" operator="equal">
      <formula>0</formula>
    </cfRule>
  </conditionalFormatting>
  <conditionalFormatting sqref="C24:V24">
    <cfRule type="cellIs" dxfId="207" priority="20" operator="equal">
      <formula>"DECREASE"</formula>
    </cfRule>
    <cfRule type="cellIs" dxfId="206" priority="21" operator="equal">
      <formula>"INCREASE"</formula>
    </cfRule>
  </conditionalFormatting>
  <conditionalFormatting sqref="C23:V23">
    <cfRule type="cellIs" dxfId="205" priority="19" operator="equal">
      <formula>0</formula>
    </cfRule>
  </conditionalFormatting>
  <conditionalFormatting sqref="C21:V21">
    <cfRule type="cellIs" dxfId="204" priority="15" operator="equal">
      <formula>0</formula>
    </cfRule>
  </conditionalFormatting>
  <conditionalFormatting sqref="B66:U66">
    <cfRule type="cellIs" dxfId="203" priority="13" operator="equal">
      <formula>"UNDER"</formula>
    </cfRule>
    <cfRule type="cellIs" dxfId="202" priority="14" operator="equal">
      <formula>"OVER"</formula>
    </cfRule>
  </conditionalFormatting>
  <conditionalFormatting sqref="J31:J50">
    <cfRule type="cellIs" dxfId="201" priority="10" operator="greaterThan">
      <formula>$J$51</formula>
    </cfRule>
  </conditionalFormatting>
  <conditionalFormatting sqref="L3">
    <cfRule type="cellIs" dxfId="200" priority="6" operator="lessThan">
      <formula>30</formula>
    </cfRule>
    <cfRule type="cellIs" dxfId="199" priority="7" operator="greaterThanOrEqual">
      <formula>30</formula>
    </cfRule>
  </conditionalFormatting>
  <conditionalFormatting sqref="I3">
    <cfRule type="cellIs" dxfId="196" priority="3" operator="greaterThan">
      <formula>40000.01</formula>
    </cfRule>
  </conditionalFormatting>
  <conditionalFormatting sqref="I1">
    <cfRule type="cellIs" dxfId="16" priority="2" operator="between">
      <formula>0.1</formula>
      <formula>5</formula>
    </cfRule>
  </conditionalFormatting>
  <conditionalFormatting sqref="I2">
    <cfRule type="cellIs" dxfId="15" priority="1" operator="greaterThan">
      <formula>5000.1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9">
        <v>3.74</v>
      </c>
      <c r="J1" s="128" t="s">
        <v>153</v>
      </c>
      <c r="K1" s="128"/>
      <c r="L1" s="119">
        <v>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182</v>
      </c>
      <c r="G2" s="126" t="s">
        <v>110</v>
      </c>
      <c r="H2" s="127"/>
      <c r="I2" s="119">
        <v>471</v>
      </c>
      <c r="J2" s="128" t="s">
        <v>158</v>
      </c>
      <c r="K2" s="128"/>
      <c r="L2" s="119">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f>(L1/(L2*10000))*100</f>
        <v>4.1428571428571415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185</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64.413755999999992</v>
      </c>
      <c r="D18" s="16">
        <f>$D32</f>
        <v>64.413755999999992</v>
      </c>
      <c r="E18" s="16">
        <f>$D33</f>
        <v>64.413755999999992</v>
      </c>
      <c r="F18" s="16">
        <f>$D34</f>
        <v>64.413755999999992</v>
      </c>
      <c r="G18" s="16">
        <f>$D35</f>
        <v>64.413755999999992</v>
      </c>
      <c r="H18" s="16">
        <f>$D36</f>
        <v>64.413755999999992</v>
      </c>
      <c r="I18" s="16">
        <f>$D37</f>
        <v>64.413755999999992</v>
      </c>
      <c r="J18" s="16">
        <f>$D38</f>
        <v>64.413755999999992</v>
      </c>
      <c r="K18" s="16">
        <f>$D39</f>
        <v>64.413755999999992</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8.4137559999999922</v>
      </c>
      <c r="D19" s="16">
        <f t="shared" ref="D19:V19" si="1">D18-D17</f>
        <v>8.4137559999999922</v>
      </c>
      <c r="E19" s="16">
        <f t="shared" si="1"/>
        <v>8.4137559999999922</v>
      </c>
      <c r="F19" s="16">
        <f t="shared" si="1"/>
        <v>8.4137559999999922</v>
      </c>
      <c r="G19" s="16">
        <f t="shared" si="1"/>
        <v>8.4137559999999922</v>
      </c>
      <c r="H19" s="16">
        <f t="shared" si="1"/>
        <v>8.4137559999999922</v>
      </c>
      <c r="I19" s="16">
        <f t="shared" si="1"/>
        <v>-0.18624400000000207</v>
      </c>
      <c r="J19" s="16">
        <f t="shared" si="1"/>
        <v>-0.18624400000000207</v>
      </c>
      <c r="K19" s="16">
        <f t="shared" si="1"/>
        <v>-0.18624400000000207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85.726110000000006</v>
      </c>
      <c r="D22" s="16">
        <f>$E32</f>
        <v>85.726110000000006</v>
      </c>
      <c r="E22" s="16">
        <f>$E33</f>
        <v>85.726110000000006</v>
      </c>
      <c r="F22" s="16">
        <f>$E34</f>
        <v>85.726110000000006</v>
      </c>
      <c r="G22" s="16">
        <f>$E35</f>
        <v>85.726110000000006</v>
      </c>
      <c r="H22" s="16">
        <f>$E36</f>
        <v>85.726110000000006</v>
      </c>
      <c r="I22" s="16">
        <f>$E37</f>
        <v>85.726110000000006</v>
      </c>
      <c r="J22" s="16">
        <f>$E38</f>
        <v>85.726110000000006</v>
      </c>
      <c r="K22" s="16">
        <f>$E39</f>
        <v>85.726110000000006</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1.7261100000000056</v>
      </c>
      <c r="D23" s="16">
        <f t="shared" ref="D23:V23" si="3">D22-D21</f>
        <v>1.7261100000000056</v>
      </c>
      <c r="E23" s="16">
        <f t="shared" si="3"/>
        <v>1.7261100000000056</v>
      </c>
      <c r="F23" s="16">
        <f t="shared" si="3"/>
        <v>-90.273889999999994</v>
      </c>
      <c r="G23" s="16">
        <f t="shared" si="3"/>
        <v>-90.273889999999994</v>
      </c>
      <c r="H23" s="16">
        <f t="shared" si="3"/>
        <v>1.7261100000000056</v>
      </c>
      <c r="I23" s="16">
        <f t="shared" si="3"/>
        <v>-142.27388999999999</v>
      </c>
      <c r="J23" s="16">
        <f t="shared" si="3"/>
        <v>-142.27388999999999</v>
      </c>
      <c r="K23" s="16">
        <f t="shared" si="3"/>
        <v>-142.27388999999999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INCREASE</v>
      </c>
      <c r="D24" s="26" t="str">
        <f t="shared" ref="D24:V24" si="4">IF($B31="","",IF(D$23&gt;=0,"INCREASE","DECREASE"))</f>
        <v>INCREASE</v>
      </c>
      <c r="E24" s="26" t="str">
        <f t="shared" si="4"/>
        <v>INCREASE</v>
      </c>
      <c r="F24" s="26" t="str">
        <f t="shared" si="4"/>
        <v>DECREASE</v>
      </c>
      <c r="G24" s="26" t="str">
        <f t="shared" si="4"/>
        <v>DECREASE</v>
      </c>
      <c r="H24" s="26" t="str">
        <f t="shared" si="4"/>
        <v>INCREASE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1.23</v>
      </c>
      <c r="C28" s="15">
        <v>7.0000000000000007E-2</v>
      </c>
      <c r="D28" s="15">
        <v>198</v>
      </c>
      <c r="E28" s="15">
        <v>501</v>
      </c>
      <c r="F28" s="15">
        <v>69.8</v>
      </c>
      <c r="G28" s="15">
        <v>4.72</v>
      </c>
      <c r="H28" s="15">
        <v>2.02</v>
      </c>
      <c r="I28" s="15">
        <v>0.5</v>
      </c>
      <c r="J28" s="15">
        <v>0.01</v>
      </c>
      <c r="K28" s="23">
        <v>0.05</v>
      </c>
      <c r="L28" s="15">
        <v>0.2</v>
      </c>
      <c r="M28" s="15">
        <v>0.2</v>
      </c>
      <c r="N28" s="15"/>
      <c r="O28" s="15"/>
      <c r="P28" s="15">
        <v>26.3</v>
      </c>
      <c r="Q28" s="15">
        <v>90.3</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142</v>
      </c>
      <c r="C31" s="77">
        <f>IF(C$27="%w/w SAR",((C$28*10)*$B31),IF(C$27="%w/w DM",(((C$28*10)*($B$28/100))*$B31),IF(C$27="kg/t SAR",(C$28*$B31),IF(C$27="kg/t DM",((C$28*($B$28/100))*$B31),IF(C$27="mg/kg SAR",((C$28*0.001)*$B31),IF(C$27="mg/kg DM",(((C$28*0.001)*($B$28/100))*$B31),0))))))</f>
        <v>99.4</v>
      </c>
      <c r="D31" s="77">
        <f>(IF(D$27="%w/w SAR",((D$28*10)*$B31),IF(D$27="%w/w DM",(((D$28*10)*($B$28/100))*$B31),IF(D$27="kg/t SAR",(D$28*$B31),IF(D$27="kg/t DM",((D$28*($B$28/100))*$B31),IF(D$27="mg/kg SAR",((D$28*0.001)*$B31),IF(D$27="mg/kg DM",(((D$28*0.001)*($B$28/100))*$B31),"0")))))))*2.291</f>
        <v>64.413755999999992</v>
      </c>
      <c r="E31" s="77">
        <f>(IF(E$27="%w/w SAR",((E$28*10)*$B31),IF(E$27="%w/w DM",(((E$28*10)*($B$28/100))*$B31),IF(E$27="kg/t SAR",(E$28*$B31),IF(E$27="kg/t DM",((E$28*($B$28/100))*$B31),IF(E$27="mg/kg SAR",((E$28*0.001)*$B31),IF(E$27="mg/kg DM",(((E$28*0.001)*($B$28/100))*$B31),"0")))))))*1.205</f>
        <v>85.726110000000006</v>
      </c>
      <c r="F31" s="77">
        <f>(IF(F$27="%w/w SAR",((F$28*10)*$B31),IF(F$27="%w/w DM",(((F$28*10)*($B$28/100))*$B31),IF(F$27="kg/t SAR",(F$28*$B31),IF(F$27="kg/t DM",((F$28*($B$28/100))*$B31),IF(F$27="mg/kg SAR",((F$28*0.001)*$B31),IF(F$27="mg/kg DM",(((F$28*0.001)*($B$28/100))*$B31),"0")))))))*1.658</f>
        <v>16.433432799999999</v>
      </c>
      <c r="G31" s="77">
        <f t="shared" ref="G31:P46" si="5">IF(G$27="%w/w SAR",((G$28*10)*$B31),IF(G$27="%w/w DM",(((G$28*10)*($B$28/100))*$B31),IF(G$27="kg/t SAR",(G$28*$B31),IF(G$27="kg/t DM",((G$28*($B$28/100))*$B31),IF(G$27="mg/kg SAR",((G$28*0.001)*$B31),IF(G$27="mg/kg DM",(((G$28*0.001)*($B$28/100))*$B31),0))))))</f>
        <v>0.67024000000000006</v>
      </c>
      <c r="H31" s="77">
        <f t="shared" si="5"/>
        <v>0.28684000000000004</v>
      </c>
      <c r="I31" s="77">
        <f t="shared" si="5"/>
        <v>7.1000000000000008E-2</v>
      </c>
      <c r="J31" s="77">
        <f t="shared" si="5"/>
        <v>1.42E-3</v>
      </c>
      <c r="K31" s="77">
        <f t="shared" si="5"/>
        <v>7.1000000000000004E-3</v>
      </c>
      <c r="L31" s="77">
        <f t="shared" si="5"/>
        <v>2.8400000000000002E-2</v>
      </c>
      <c r="M31" s="77">
        <f t="shared" si="5"/>
        <v>2.8400000000000002E-2</v>
      </c>
      <c r="N31" s="77">
        <f t="shared" si="5"/>
        <v>0</v>
      </c>
      <c r="O31" s="77">
        <f t="shared" si="5"/>
        <v>0</v>
      </c>
      <c r="P31" s="77">
        <f t="shared" si="5"/>
        <v>3.7345999999999999</v>
      </c>
      <c r="Q31" s="77">
        <f>(IF(Q$27="%w/w SAR",((Q$28*10)*$B31),IF(Q$27="%w/w DM",(((Q$28*10)*($B$28/100))*$B31),IF(Q$27="kg/t SAR",(Q$28*$B31),IF(Q$27="kg/t DM",((Q$28*($B$28/100))*$B31),IF(Q$27="mg/kg SAR",((Q$28*0.001)*$B31),IF(Q$27="mg/kg DM",(((Q$28*0.001)*($B$28/100))*$B31),0)))))))*2.5</f>
        <v>32.0565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142</v>
      </c>
      <c r="C32" s="77">
        <f t="shared" ref="C32:C50" si="6">IF(C$27="%w/w SAR",((C$28*10)*$B32),IF(C$27="%w/w DM",(((C$28*10)*($B$28/100))*$B32),IF(C$27="kg/t SAR",(C$28*$B32),IF(C$27="kg/t DM",((C$28*($B$28/100))*$B32),IF(C$27="mg/kg SAR",((C$28*0.001)*$B32),IF(C$27="mg/kg DM",(((C$28*0.001)*($B$28/100))*$B32),0))))))</f>
        <v>99.4</v>
      </c>
      <c r="D32" s="77">
        <f t="shared" ref="D32:D50" si="7">(IF(D$27="%w/w SAR",((D$28*10)*$B32),IF(D$27="%w/w DM",(((D$28*10)*($B$28/100))*$B32),IF(D$27="kg/t SAR",(D$28*$B32),IF(D$27="kg/t DM",((D$28*($B$28/100))*$B32),IF(D$27="mg/kg SAR",((D$28*0.001)*$B32),IF(D$27="mg/kg DM",(((D$28*0.001)*($B$28/100))*$B32),"0")))))))*2.291</f>
        <v>64.413755999999992</v>
      </c>
      <c r="E32" s="77">
        <f t="shared" ref="E32:E50" si="8">(IF(E$27="%w/w SAR",((E$28*10)*$B32),IF(E$27="%w/w DM",(((E$28*10)*($B$28/100))*$B32),IF(E$27="kg/t SAR",(E$28*$B32),IF(E$27="kg/t DM",((E$28*($B$28/100))*$B32),IF(E$27="mg/kg SAR",((E$28*0.001)*$B32),IF(E$27="mg/kg DM",(((E$28*0.001)*($B$28/100))*$B32),"0")))))))*1.205</f>
        <v>85.726110000000006</v>
      </c>
      <c r="F32" s="77">
        <f t="shared" ref="F32:F50" si="9">(IF(F$27="%w/w SAR",((F$28*10)*$B32),IF(F$27="%w/w DM",(((F$28*10)*($B$28/100))*$B32),IF(F$27="kg/t SAR",(F$28*$B32),IF(F$27="kg/t DM",((F$28*($B$28/100))*$B32),IF(F$27="mg/kg SAR",((F$28*0.001)*$B32),IF(F$27="mg/kg DM",(((F$28*0.001)*($B$28/100))*$B32),"0")))))))*1.658</f>
        <v>16.433432799999999</v>
      </c>
      <c r="G32" s="77">
        <f t="shared" si="5"/>
        <v>0.67024000000000006</v>
      </c>
      <c r="H32" s="77">
        <f t="shared" si="5"/>
        <v>0.28684000000000004</v>
      </c>
      <c r="I32" s="77">
        <f t="shared" si="5"/>
        <v>7.1000000000000008E-2</v>
      </c>
      <c r="J32" s="77">
        <f t="shared" si="5"/>
        <v>1.42E-3</v>
      </c>
      <c r="K32" s="77">
        <f t="shared" si="5"/>
        <v>7.1000000000000004E-3</v>
      </c>
      <c r="L32" s="77">
        <f t="shared" si="5"/>
        <v>2.8400000000000002E-2</v>
      </c>
      <c r="M32" s="77">
        <f t="shared" si="5"/>
        <v>2.8400000000000002E-2</v>
      </c>
      <c r="N32" s="77">
        <f t="shared" si="5"/>
        <v>0</v>
      </c>
      <c r="O32" s="77">
        <f t="shared" si="5"/>
        <v>0</v>
      </c>
      <c r="P32" s="77">
        <f t="shared" si="5"/>
        <v>3.7345999999999999</v>
      </c>
      <c r="Q32" s="77">
        <f t="shared" ref="Q32:Q50" si="10">(IF(Q$27="%w/w SAR",((Q$28*10)*$B32),IF(Q$27="%w/w DM",(((Q$28*10)*($B$28/100))*$B32),IF(Q$27="kg/t SAR",(Q$28*$B32),IF(Q$27="kg/t DM",((Q$28*($B$28/100))*$B32),IF(Q$27="mg/kg SAR",((Q$28*0.001)*$B32),IF(Q$27="mg/kg DM",(((Q$28*0.001)*($B$28/100))*$B32),0)))))))*2.5</f>
        <v>32.0565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v>142</v>
      </c>
      <c r="C33" s="77">
        <f t="shared" si="6"/>
        <v>99.4</v>
      </c>
      <c r="D33" s="77">
        <f t="shared" si="7"/>
        <v>64.413755999999992</v>
      </c>
      <c r="E33" s="77">
        <f t="shared" si="8"/>
        <v>85.726110000000006</v>
      </c>
      <c r="F33" s="77">
        <f t="shared" si="9"/>
        <v>16.433432799999999</v>
      </c>
      <c r="G33" s="77">
        <f t="shared" si="5"/>
        <v>0.67024000000000006</v>
      </c>
      <c r="H33" s="77">
        <f t="shared" si="5"/>
        <v>0.28684000000000004</v>
      </c>
      <c r="I33" s="77">
        <f t="shared" si="5"/>
        <v>7.1000000000000008E-2</v>
      </c>
      <c r="J33" s="77">
        <f t="shared" si="5"/>
        <v>1.42E-3</v>
      </c>
      <c r="K33" s="77">
        <f t="shared" si="5"/>
        <v>7.1000000000000004E-3</v>
      </c>
      <c r="L33" s="77">
        <f t="shared" si="5"/>
        <v>2.8400000000000002E-2</v>
      </c>
      <c r="M33" s="77">
        <f t="shared" si="5"/>
        <v>2.8400000000000002E-2</v>
      </c>
      <c r="N33" s="77">
        <f t="shared" si="5"/>
        <v>0</v>
      </c>
      <c r="O33" s="77">
        <f t="shared" si="5"/>
        <v>0</v>
      </c>
      <c r="P33" s="77">
        <f t="shared" si="5"/>
        <v>3.7345999999999999</v>
      </c>
      <c r="Q33" s="77">
        <f t="shared" si="10"/>
        <v>32.0565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v>142</v>
      </c>
      <c r="C34" s="77">
        <f t="shared" si="6"/>
        <v>99.4</v>
      </c>
      <c r="D34" s="77">
        <f t="shared" si="7"/>
        <v>64.413755999999992</v>
      </c>
      <c r="E34" s="77">
        <f t="shared" si="8"/>
        <v>85.726110000000006</v>
      </c>
      <c r="F34" s="77">
        <f t="shared" si="9"/>
        <v>16.433432799999999</v>
      </c>
      <c r="G34" s="77">
        <f t="shared" si="5"/>
        <v>0.67024000000000006</v>
      </c>
      <c r="H34" s="77">
        <f t="shared" si="5"/>
        <v>0.28684000000000004</v>
      </c>
      <c r="I34" s="77">
        <f t="shared" si="5"/>
        <v>7.1000000000000008E-2</v>
      </c>
      <c r="J34" s="77">
        <f t="shared" si="5"/>
        <v>1.42E-3</v>
      </c>
      <c r="K34" s="77">
        <f t="shared" si="5"/>
        <v>7.1000000000000004E-3</v>
      </c>
      <c r="L34" s="77">
        <f t="shared" si="5"/>
        <v>2.8400000000000002E-2</v>
      </c>
      <c r="M34" s="77">
        <f t="shared" si="5"/>
        <v>2.8400000000000002E-2</v>
      </c>
      <c r="N34" s="77">
        <f t="shared" si="5"/>
        <v>0</v>
      </c>
      <c r="O34" s="77">
        <f t="shared" si="5"/>
        <v>0</v>
      </c>
      <c r="P34" s="77">
        <f t="shared" si="5"/>
        <v>3.7345999999999999</v>
      </c>
      <c r="Q34" s="77">
        <f t="shared" si="10"/>
        <v>32.0565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v>142</v>
      </c>
      <c r="C35" s="77">
        <f t="shared" si="6"/>
        <v>99.4</v>
      </c>
      <c r="D35" s="77">
        <f t="shared" si="7"/>
        <v>64.413755999999992</v>
      </c>
      <c r="E35" s="77">
        <f t="shared" si="8"/>
        <v>85.726110000000006</v>
      </c>
      <c r="F35" s="77">
        <f t="shared" si="9"/>
        <v>16.433432799999999</v>
      </c>
      <c r="G35" s="77">
        <f t="shared" si="5"/>
        <v>0.67024000000000006</v>
      </c>
      <c r="H35" s="77">
        <f t="shared" si="5"/>
        <v>0.28684000000000004</v>
      </c>
      <c r="I35" s="77">
        <f t="shared" si="5"/>
        <v>7.1000000000000008E-2</v>
      </c>
      <c r="J35" s="77">
        <f t="shared" si="5"/>
        <v>1.42E-3</v>
      </c>
      <c r="K35" s="77">
        <f t="shared" si="5"/>
        <v>7.1000000000000004E-3</v>
      </c>
      <c r="L35" s="77">
        <f t="shared" si="5"/>
        <v>2.8400000000000002E-2</v>
      </c>
      <c r="M35" s="77">
        <f t="shared" si="5"/>
        <v>2.8400000000000002E-2</v>
      </c>
      <c r="N35" s="77">
        <f t="shared" si="5"/>
        <v>0</v>
      </c>
      <c r="O35" s="77">
        <f t="shared" si="5"/>
        <v>0</v>
      </c>
      <c r="P35" s="77">
        <f t="shared" si="5"/>
        <v>3.7345999999999999</v>
      </c>
      <c r="Q35" s="77">
        <f t="shared" si="10"/>
        <v>32.0565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v>142</v>
      </c>
      <c r="C36" s="77">
        <f t="shared" si="6"/>
        <v>99.4</v>
      </c>
      <c r="D36" s="77">
        <f t="shared" si="7"/>
        <v>64.413755999999992</v>
      </c>
      <c r="E36" s="77">
        <f t="shared" si="8"/>
        <v>85.726110000000006</v>
      </c>
      <c r="F36" s="77">
        <f t="shared" si="9"/>
        <v>16.433432799999999</v>
      </c>
      <c r="G36" s="77">
        <f t="shared" si="5"/>
        <v>0.67024000000000006</v>
      </c>
      <c r="H36" s="77">
        <f t="shared" si="5"/>
        <v>0.28684000000000004</v>
      </c>
      <c r="I36" s="77">
        <f t="shared" si="5"/>
        <v>7.1000000000000008E-2</v>
      </c>
      <c r="J36" s="77">
        <f t="shared" si="5"/>
        <v>1.42E-3</v>
      </c>
      <c r="K36" s="77">
        <f t="shared" si="5"/>
        <v>7.1000000000000004E-3</v>
      </c>
      <c r="L36" s="77">
        <f t="shared" si="5"/>
        <v>2.8400000000000002E-2</v>
      </c>
      <c r="M36" s="77">
        <f t="shared" si="5"/>
        <v>2.8400000000000002E-2</v>
      </c>
      <c r="N36" s="77">
        <f t="shared" si="5"/>
        <v>0</v>
      </c>
      <c r="O36" s="77">
        <f t="shared" si="5"/>
        <v>0</v>
      </c>
      <c r="P36" s="77">
        <f t="shared" si="5"/>
        <v>3.7345999999999999</v>
      </c>
      <c r="Q36" s="77">
        <f t="shared" si="10"/>
        <v>32.0565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v>142</v>
      </c>
      <c r="C37" s="77">
        <f t="shared" si="6"/>
        <v>99.4</v>
      </c>
      <c r="D37" s="77">
        <f t="shared" si="7"/>
        <v>64.413755999999992</v>
      </c>
      <c r="E37" s="77">
        <f t="shared" si="8"/>
        <v>85.726110000000006</v>
      </c>
      <c r="F37" s="77">
        <f t="shared" si="9"/>
        <v>16.433432799999999</v>
      </c>
      <c r="G37" s="77">
        <f t="shared" si="5"/>
        <v>0.67024000000000006</v>
      </c>
      <c r="H37" s="77">
        <f t="shared" si="5"/>
        <v>0.28684000000000004</v>
      </c>
      <c r="I37" s="77">
        <f t="shared" si="5"/>
        <v>7.1000000000000008E-2</v>
      </c>
      <c r="J37" s="77">
        <f t="shared" si="5"/>
        <v>1.42E-3</v>
      </c>
      <c r="K37" s="77">
        <f t="shared" si="5"/>
        <v>7.1000000000000004E-3</v>
      </c>
      <c r="L37" s="77">
        <f t="shared" si="5"/>
        <v>2.8400000000000002E-2</v>
      </c>
      <c r="M37" s="77">
        <f t="shared" si="5"/>
        <v>2.8400000000000002E-2</v>
      </c>
      <c r="N37" s="77">
        <f t="shared" si="5"/>
        <v>0</v>
      </c>
      <c r="O37" s="77">
        <f t="shared" si="5"/>
        <v>0</v>
      </c>
      <c r="P37" s="77">
        <f t="shared" si="5"/>
        <v>3.7345999999999999</v>
      </c>
      <c r="Q37" s="77">
        <f t="shared" si="10"/>
        <v>32.0565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v>142</v>
      </c>
      <c r="C38" s="77">
        <f t="shared" si="6"/>
        <v>99.4</v>
      </c>
      <c r="D38" s="77">
        <f t="shared" si="7"/>
        <v>64.413755999999992</v>
      </c>
      <c r="E38" s="77">
        <f t="shared" si="8"/>
        <v>85.726110000000006</v>
      </c>
      <c r="F38" s="77">
        <f t="shared" si="9"/>
        <v>16.433432799999999</v>
      </c>
      <c r="G38" s="77">
        <f t="shared" si="5"/>
        <v>0.67024000000000006</v>
      </c>
      <c r="H38" s="77">
        <f t="shared" si="5"/>
        <v>0.28684000000000004</v>
      </c>
      <c r="I38" s="77">
        <f t="shared" si="5"/>
        <v>7.1000000000000008E-2</v>
      </c>
      <c r="J38" s="77">
        <f t="shared" si="5"/>
        <v>1.42E-3</v>
      </c>
      <c r="K38" s="77">
        <f t="shared" si="5"/>
        <v>7.1000000000000004E-3</v>
      </c>
      <c r="L38" s="77">
        <f t="shared" si="5"/>
        <v>2.8400000000000002E-2</v>
      </c>
      <c r="M38" s="77">
        <f t="shared" si="5"/>
        <v>2.8400000000000002E-2</v>
      </c>
      <c r="N38" s="77">
        <f t="shared" si="5"/>
        <v>0</v>
      </c>
      <c r="O38" s="77">
        <f t="shared" si="5"/>
        <v>0</v>
      </c>
      <c r="P38" s="77">
        <f t="shared" si="5"/>
        <v>3.7345999999999999</v>
      </c>
      <c r="Q38" s="77">
        <f t="shared" si="10"/>
        <v>32.0565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v>142</v>
      </c>
      <c r="C39" s="77">
        <f t="shared" si="6"/>
        <v>99.4</v>
      </c>
      <c r="D39" s="77">
        <f t="shared" si="7"/>
        <v>64.413755999999992</v>
      </c>
      <c r="E39" s="77">
        <f t="shared" si="8"/>
        <v>85.726110000000006</v>
      </c>
      <c r="F39" s="77">
        <f t="shared" si="9"/>
        <v>16.433432799999999</v>
      </c>
      <c r="G39" s="77">
        <f t="shared" si="5"/>
        <v>0.67024000000000006</v>
      </c>
      <c r="H39" s="77">
        <f t="shared" si="5"/>
        <v>0.28684000000000004</v>
      </c>
      <c r="I39" s="77">
        <f t="shared" si="5"/>
        <v>7.1000000000000008E-2</v>
      </c>
      <c r="J39" s="77">
        <f t="shared" si="5"/>
        <v>1.42E-3</v>
      </c>
      <c r="K39" s="77">
        <f t="shared" si="5"/>
        <v>7.1000000000000004E-3</v>
      </c>
      <c r="L39" s="77">
        <f t="shared" si="5"/>
        <v>2.8400000000000002E-2</v>
      </c>
      <c r="M39" s="77">
        <f t="shared" si="5"/>
        <v>2.8400000000000002E-2</v>
      </c>
      <c r="N39" s="77">
        <f t="shared" si="5"/>
        <v>0</v>
      </c>
      <c r="O39" s="77">
        <f t="shared" si="5"/>
        <v>0</v>
      </c>
      <c r="P39" s="77">
        <f t="shared" si="5"/>
        <v>3.7345999999999999</v>
      </c>
      <c r="Q39" s="77">
        <f t="shared" si="10"/>
        <v>32.0565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142</v>
      </c>
      <c r="C62" s="77">
        <f>B32</f>
        <v>142</v>
      </c>
      <c r="D62" s="77">
        <f>B33</f>
        <v>142</v>
      </c>
      <c r="E62" s="77">
        <f>B34</f>
        <v>142</v>
      </c>
      <c r="F62" s="77">
        <f>B35</f>
        <v>142</v>
      </c>
      <c r="G62" s="77">
        <f>B36</f>
        <v>142</v>
      </c>
      <c r="H62" s="77">
        <f>B37</f>
        <v>142</v>
      </c>
      <c r="I62" s="77">
        <f>B38</f>
        <v>142</v>
      </c>
      <c r="J62" s="77">
        <f>B39</f>
        <v>142</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84" priority="39" operator="equal">
      <formula>"DECREASE"</formula>
    </cfRule>
    <cfRule type="cellIs" dxfId="183" priority="40" operator="equal">
      <formula>"INCREASE"</formula>
    </cfRule>
  </conditionalFormatting>
  <conditionalFormatting sqref="B62:U66 B31:B50">
    <cfRule type="cellIs" dxfId="182" priority="38" operator="greaterThan">
      <formula>$B$51</formula>
    </cfRule>
  </conditionalFormatting>
  <conditionalFormatting sqref="C31:C50">
    <cfRule type="cellIs" dxfId="181" priority="37" operator="greaterThan">
      <formula>$C$51</formula>
    </cfRule>
  </conditionalFormatting>
  <conditionalFormatting sqref="C18:V18">
    <cfRule type="cellIs" dxfId="180" priority="36" operator="equal">
      <formula>0</formula>
    </cfRule>
  </conditionalFormatting>
  <conditionalFormatting sqref="C17:V17">
    <cfRule type="cellIs" dxfId="179" priority="35" operator="equal">
      <formula>0</formula>
    </cfRule>
  </conditionalFormatting>
  <conditionalFormatting sqref="C19:V19">
    <cfRule type="cellIs" dxfId="178" priority="34" operator="equal">
      <formula>0</formula>
    </cfRule>
  </conditionalFormatting>
  <conditionalFormatting sqref="G31:G50">
    <cfRule type="cellIs" dxfId="177" priority="33" operator="greaterThan">
      <formula>$G$51</formula>
    </cfRule>
  </conditionalFormatting>
  <conditionalFormatting sqref="H31:H50">
    <cfRule type="cellIs" dxfId="176" priority="32" operator="greaterThan">
      <formula>$H$51</formula>
    </cfRule>
  </conditionalFormatting>
  <conditionalFormatting sqref="I31:I50">
    <cfRule type="cellIs" dxfId="175" priority="31" operator="greaterThan">
      <formula>$I$51</formula>
    </cfRule>
  </conditionalFormatting>
  <conditionalFormatting sqref="K31:K50">
    <cfRule type="cellIs" dxfId="174" priority="30" operator="greaterThan">
      <formula>$K$51</formula>
    </cfRule>
  </conditionalFormatting>
  <conditionalFormatting sqref="L31:L50">
    <cfRule type="cellIs" dxfId="173" priority="29" operator="greaterThan">
      <formula>$L$51</formula>
    </cfRule>
  </conditionalFormatting>
  <conditionalFormatting sqref="M31:M50">
    <cfRule type="cellIs" dxfId="172" priority="28" operator="greaterThan">
      <formula>$M$51</formula>
    </cfRule>
  </conditionalFormatting>
  <conditionalFormatting sqref="P31:P50">
    <cfRule type="cellIs" dxfId="171" priority="27" operator="greaterThan">
      <formula>$P$51</formula>
    </cfRule>
  </conditionalFormatting>
  <conditionalFormatting sqref="R31:R50">
    <cfRule type="cellIs" dxfId="170" priority="26" operator="greaterThan">
      <formula>$R$51</formula>
    </cfRule>
  </conditionalFormatting>
  <conditionalFormatting sqref="S31:S50">
    <cfRule type="cellIs" dxfId="169" priority="25" operator="greaterThan">
      <formula>$S$51</formula>
    </cfRule>
  </conditionalFormatting>
  <conditionalFormatting sqref="T31:T50">
    <cfRule type="cellIs" dxfId="168" priority="24" operator="greaterThan">
      <formula>$T$51</formula>
    </cfRule>
  </conditionalFormatting>
  <conditionalFormatting sqref="U31:U50">
    <cfRule type="cellIs" dxfId="167" priority="23" operator="greaterThan">
      <formula>$U$51</formula>
    </cfRule>
  </conditionalFormatting>
  <conditionalFormatting sqref="C22:V22">
    <cfRule type="cellIs" dxfId="166" priority="22" operator="equal">
      <formula>0</formula>
    </cfRule>
  </conditionalFormatting>
  <conditionalFormatting sqref="C24:V24">
    <cfRule type="cellIs" dxfId="165" priority="20" operator="equal">
      <formula>"DECREASE"</formula>
    </cfRule>
    <cfRule type="cellIs" dxfId="164" priority="21" operator="equal">
      <formula>"INCREASE"</formula>
    </cfRule>
  </conditionalFormatting>
  <conditionalFormatting sqref="C23:V23">
    <cfRule type="cellIs" dxfId="163" priority="19" operator="equal">
      <formula>0</formula>
    </cfRule>
  </conditionalFormatting>
  <conditionalFormatting sqref="C21:V21">
    <cfRule type="cellIs" dxfId="162" priority="15" operator="equal">
      <formula>0</formula>
    </cfRule>
  </conditionalFormatting>
  <conditionalFormatting sqref="B66:U66">
    <cfRule type="cellIs" dxfId="161" priority="13" operator="equal">
      <formula>"UNDER"</formula>
    </cfRule>
    <cfRule type="cellIs" dxfId="160" priority="14" operator="equal">
      <formula>"OVER"</formula>
    </cfRule>
  </conditionalFormatting>
  <conditionalFormatting sqref="J31:J50">
    <cfRule type="cellIs" dxfId="159" priority="10" operator="greaterThan">
      <formula>$J$51</formula>
    </cfRule>
  </conditionalFormatting>
  <conditionalFormatting sqref="L3">
    <cfRule type="cellIs" dxfId="158" priority="6" operator="lessThan">
      <formula>30</formula>
    </cfRule>
    <cfRule type="cellIs" dxfId="157" priority="7" operator="greaterThanOrEqual">
      <formula>30</formula>
    </cfRule>
  </conditionalFormatting>
  <conditionalFormatting sqref="I3">
    <cfRule type="cellIs" dxfId="154" priority="3" operator="greaterThan">
      <formula>40000.01</formula>
    </cfRule>
  </conditionalFormatting>
  <conditionalFormatting sqref="I1">
    <cfRule type="cellIs" dxfId="4" priority="2" operator="between">
      <formula>0.1</formula>
      <formula>5</formula>
    </cfRule>
  </conditionalFormatting>
  <conditionalFormatting sqref="I2">
    <cfRule type="cellIs" dxfId="3" priority="1" operator="greaterThan">
      <formula>5000.1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9">
        <v>4.0199999999999996</v>
      </c>
      <c r="J1" s="128" t="s">
        <v>153</v>
      </c>
      <c r="K1" s="128"/>
      <c r="L1" s="119">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t="s">
        <v>179</v>
      </c>
      <c r="G2" s="126" t="s">
        <v>110</v>
      </c>
      <c r="H2" s="127"/>
      <c r="I2" s="119">
        <v>299</v>
      </c>
      <c r="J2" s="128" t="s">
        <v>158</v>
      </c>
      <c r="K2" s="128"/>
      <c r="L2" s="119">
        <v>0.32</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9">
        <v>200</v>
      </c>
      <c r="J3" s="124" t="s">
        <v>154</v>
      </c>
      <c r="K3" s="125"/>
      <c r="L3" s="97">
        <f>(L1/(L2*10000))*100</f>
        <v>1.5625</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t="s">
        <v>186</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81.944487999999993</v>
      </c>
      <c r="D18" s="16">
        <f>$D32</f>
        <v>81.944487999999993</v>
      </c>
      <c r="E18" s="16">
        <f>$D33</f>
        <v>81.944487999999993</v>
      </c>
      <c r="F18" s="16">
        <f>$D34</f>
        <v>37.357046000000004</v>
      </c>
      <c r="G18" s="16">
        <f>$D35</f>
        <v>37.357046000000004</v>
      </c>
      <c r="H18" s="16">
        <f>$D36</f>
        <v>81.944487999999993</v>
      </c>
      <c r="I18" s="16">
        <f>$D37</f>
        <v>81.944487999999993</v>
      </c>
      <c r="J18" s="16">
        <f>$D38</f>
        <v>81.944487999999993</v>
      </c>
      <c r="K18" s="16">
        <f>$D39</f>
        <v>81.944487999999993</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25.944487999999993</v>
      </c>
      <c r="D19" s="16">
        <f t="shared" ref="D19:V19" si="1">D18-D17</f>
        <v>25.944487999999993</v>
      </c>
      <c r="E19" s="16">
        <f t="shared" si="1"/>
        <v>25.944487999999993</v>
      </c>
      <c r="F19" s="16">
        <f t="shared" si="1"/>
        <v>-18.642953999999996</v>
      </c>
      <c r="G19" s="16">
        <f t="shared" si="1"/>
        <v>-18.642953999999996</v>
      </c>
      <c r="H19" s="16">
        <f t="shared" si="1"/>
        <v>25.944487999999993</v>
      </c>
      <c r="I19" s="16">
        <f t="shared" si="1"/>
        <v>17.344487999999998</v>
      </c>
      <c r="J19" s="16">
        <f t="shared" si="1"/>
        <v>17.344487999999998</v>
      </c>
      <c r="K19" s="16">
        <f t="shared" si="1"/>
        <v>17.344487999999998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INCREASE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20.648880000000002</v>
      </c>
      <c r="D22" s="16">
        <f>$E32</f>
        <v>20.648880000000002</v>
      </c>
      <c r="E22" s="16">
        <f>$E33</f>
        <v>20.648880000000002</v>
      </c>
      <c r="F22" s="16">
        <f>$E34</f>
        <v>9.4134600000000006</v>
      </c>
      <c r="G22" s="16">
        <f>$E35</f>
        <v>9.4134600000000006</v>
      </c>
      <c r="H22" s="16">
        <f>$E36</f>
        <v>20.648880000000002</v>
      </c>
      <c r="I22" s="16">
        <f>$E37</f>
        <v>20.648880000000002</v>
      </c>
      <c r="J22" s="16">
        <f>$E38</f>
        <v>20.648880000000002</v>
      </c>
      <c r="K22" s="16">
        <f>$E39</f>
        <v>20.648880000000002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-63.351119999999995</v>
      </c>
      <c r="D23" s="16">
        <f t="shared" ref="D23:V23" si="3">D22-D21</f>
        <v>-63.351119999999995</v>
      </c>
      <c r="E23" s="16">
        <f t="shared" si="3"/>
        <v>-63.351119999999995</v>
      </c>
      <c r="F23" s="16">
        <f t="shared" si="3"/>
        <v>-166.58654000000001</v>
      </c>
      <c r="G23" s="16">
        <f t="shared" si="3"/>
        <v>-166.58654000000001</v>
      </c>
      <c r="H23" s="16">
        <f t="shared" si="3"/>
        <v>-63.351119999999995</v>
      </c>
      <c r="I23" s="16">
        <f t="shared" si="3"/>
        <v>-207.35112000000001</v>
      </c>
      <c r="J23" s="16">
        <f t="shared" si="3"/>
        <v>-207.35112000000001</v>
      </c>
      <c r="K23" s="16">
        <f t="shared" si="3"/>
        <v>-207.35112000000001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5.99</v>
      </c>
      <c r="C28" s="15">
        <v>0.32</v>
      </c>
      <c r="D28" s="15">
        <v>526</v>
      </c>
      <c r="E28" s="15">
        <v>252</v>
      </c>
      <c r="F28" s="15">
        <v>64.5</v>
      </c>
      <c r="G28" s="15">
        <v>1.21</v>
      </c>
      <c r="H28" s="15">
        <v>2.33</v>
      </c>
      <c r="I28" s="15">
        <v>0.5</v>
      </c>
      <c r="J28" s="15">
        <v>0.01</v>
      </c>
      <c r="K28" s="23">
        <v>0.05</v>
      </c>
      <c r="L28" s="15">
        <v>0.2</v>
      </c>
      <c r="M28" s="15">
        <v>0.47299999999999998</v>
      </c>
      <c r="N28" s="15"/>
      <c r="O28" s="15"/>
      <c r="P28" s="15">
        <v>61.7</v>
      </c>
      <c r="Q28" s="15">
        <v>177</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v>68</v>
      </c>
      <c r="C31" s="77">
        <f>IF(C$27="%w/w SAR",((C$28*10)*$B31),IF(C$27="%w/w DM",(((C$28*10)*($B$28/100))*$B31),IF(C$27="kg/t SAR",(C$28*$B31),IF(C$27="kg/t DM",((C$28*($B$28/100))*$B31),IF(C$27="mg/kg SAR",((C$28*0.001)*$B31),IF(C$27="mg/kg DM",(((C$28*0.001)*($B$28/100))*$B31),0))))))</f>
        <v>217.60000000000002</v>
      </c>
      <c r="D31" s="77">
        <f>(IF(D$27="%w/w SAR",((D$28*10)*$B31),IF(D$27="%w/w DM",(((D$28*10)*($B$28/100))*$B31),IF(D$27="kg/t SAR",(D$28*$B31),IF(D$27="kg/t DM",((D$28*($B$28/100))*$B31),IF(D$27="mg/kg SAR",((D$28*0.001)*$B31),IF(D$27="mg/kg DM",(((D$28*0.001)*($B$28/100))*$B31),"0")))))))*2.291</f>
        <v>81.944487999999993</v>
      </c>
      <c r="E31" s="77">
        <f>(IF(E$27="%w/w SAR",((E$28*10)*$B31),IF(E$27="%w/w DM",(((E$28*10)*($B$28/100))*$B31),IF(E$27="kg/t SAR",(E$28*$B31),IF(E$27="kg/t DM",((E$28*($B$28/100))*$B31),IF(E$27="mg/kg SAR",((E$28*0.001)*$B31),IF(E$27="mg/kg DM",(((E$28*0.001)*($B$28/100))*$B31),"0")))))))*1.205</f>
        <v>20.648880000000002</v>
      </c>
      <c r="F31" s="77">
        <f>(IF(F$27="%w/w SAR",((F$28*10)*$B31),IF(F$27="%w/w DM",(((F$28*10)*($B$28/100))*$B31),IF(F$27="kg/t SAR",(F$28*$B31),IF(F$27="kg/t DM",((F$28*($B$28/100))*$B31),IF(F$27="mg/kg SAR",((F$28*0.001)*$B31),IF(F$27="mg/kg DM",(((F$28*0.001)*($B$28/100))*$B31),"0")))))))*1.658</f>
        <v>7.2719879999999995</v>
      </c>
      <c r="G31" s="77">
        <f t="shared" ref="G31:P46" si="5">IF(G$27="%w/w SAR",((G$28*10)*$B31),IF(G$27="%w/w DM",(((G$28*10)*($B$28/100))*$B31),IF(G$27="kg/t SAR",(G$28*$B31),IF(G$27="kg/t DM",((G$28*($B$28/100))*$B31),IF(G$27="mg/kg SAR",((G$28*0.001)*$B31),IF(G$27="mg/kg DM",(((G$28*0.001)*($B$28/100))*$B31),0))))))</f>
        <v>8.2279999999999992E-2</v>
      </c>
      <c r="H31" s="77">
        <f t="shared" si="5"/>
        <v>0.15844</v>
      </c>
      <c r="I31" s="77">
        <f t="shared" si="5"/>
        <v>3.4000000000000002E-2</v>
      </c>
      <c r="J31" s="77">
        <f t="shared" si="5"/>
        <v>6.8000000000000005E-4</v>
      </c>
      <c r="K31" s="77">
        <f t="shared" si="5"/>
        <v>3.4000000000000002E-3</v>
      </c>
      <c r="L31" s="77">
        <f t="shared" si="5"/>
        <v>1.3600000000000001E-2</v>
      </c>
      <c r="M31" s="77">
        <f t="shared" si="5"/>
        <v>3.2163999999999998E-2</v>
      </c>
      <c r="N31" s="77">
        <f t="shared" si="5"/>
        <v>0</v>
      </c>
      <c r="O31" s="77">
        <f t="shared" si="5"/>
        <v>0</v>
      </c>
      <c r="P31" s="77">
        <f t="shared" si="5"/>
        <v>4.1956000000000007</v>
      </c>
      <c r="Q31" s="77">
        <f>(IF(Q$27="%w/w SAR",((Q$28*10)*$B31),IF(Q$27="%w/w DM",(((Q$28*10)*($B$28/100))*$B31),IF(Q$27="kg/t SAR",(Q$28*$B31),IF(Q$27="kg/t DM",((Q$28*($B$28/100))*$B31),IF(Q$27="mg/kg SAR",((Q$28*0.001)*$B31),IF(Q$27="mg/kg DM",(((Q$28*0.001)*($B$28/100))*$B31),0)))))))*2.5</f>
        <v>30.09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v>68</v>
      </c>
      <c r="C32" s="77">
        <f t="shared" ref="C32:C50" si="6">IF(C$27="%w/w SAR",((C$28*10)*$B32),IF(C$27="%w/w DM",(((C$28*10)*($B$28/100))*$B32),IF(C$27="kg/t SAR",(C$28*$B32),IF(C$27="kg/t DM",((C$28*($B$28/100))*$B32),IF(C$27="mg/kg SAR",((C$28*0.001)*$B32),IF(C$27="mg/kg DM",(((C$28*0.001)*($B$28/100))*$B32),0))))))</f>
        <v>217.60000000000002</v>
      </c>
      <c r="D32" s="77">
        <f t="shared" ref="D32:D50" si="7">(IF(D$27="%w/w SAR",((D$28*10)*$B32),IF(D$27="%w/w DM",(((D$28*10)*($B$28/100))*$B32),IF(D$27="kg/t SAR",(D$28*$B32),IF(D$27="kg/t DM",((D$28*($B$28/100))*$B32),IF(D$27="mg/kg SAR",((D$28*0.001)*$B32),IF(D$27="mg/kg DM",(((D$28*0.001)*($B$28/100))*$B32),"0")))))))*2.291</f>
        <v>81.944487999999993</v>
      </c>
      <c r="E32" s="77">
        <f t="shared" ref="E32:E50" si="8">(IF(E$27="%w/w SAR",((E$28*10)*$B32),IF(E$27="%w/w DM",(((E$28*10)*($B$28/100))*$B32),IF(E$27="kg/t SAR",(E$28*$B32),IF(E$27="kg/t DM",((E$28*($B$28/100))*$B32),IF(E$27="mg/kg SAR",((E$28*0.001)*$B32),IF(E$27="mg/kg DM",(((E$28*0.001)*($B$28/100))*$B32),"0")))))))*1.205</f>
        <v>20.648880000000002</v>
      </c>
      <c r="F32" s="77">
        <f t="shared" ref="F32:F50" si="9">(IF(F$27="%w/w SAR",((F$28*10)*$B32),IF(F$27="%w/w DM",(((F$28*10)*($B$28/100))*$B32),IF(F$27="kg/t SAR",(F$28*$B32),IF(F$27="kg/t DM",((F$28*($B$28/100))*$B32),IF(F$27="mg/kg SAR",((F$28*0.001)*$B32),IF(F$27="mg/kg DM",(((F$28*0.001)*($B$28/100))*$B32),"0")))))))*1.658</f>
        <v>7.2719879999999995</v>
      </c>
      <c r="G32" s="77">
        <f t="shared" si="5"/>
        <v>8.2279999999999992E-2</v>
      </c>
      <c r="H32" s="77">
        <f t="shared" si="5"/>
        <v>0.15844</v>
      </c>
      <c r="I32" s="77">
        <f t="shared" si="5"/>
        <v>3.4000000000000002E-2</v>
      </c>
      <c r="J32" s="77">
        <f t="shared" si="5"/>
        <v>6.8000000000000005E-4</v>
      </c>
      <c r="K32" s="77">
        <f t="shared" si="5"/>
        <v>3.4000000000000002E-3</v>
      </c>
      <c r="L32" s="77">
        <f t="shared" si="5"/>
        <v>1.3600000000000001E-2</v>
      </c>
      <c r="M32" s="77">
        <f t="shared" si="5"/>
        <v>3.2163999999999998E-2</v>
      </c>
      <c r="N32" s="77">
        <f t="shared" si="5"/>
        <v>0</v>
      </c>
      <c r="O32" s="77">
        <f t="shared" si="5"/>
        <v>0</v>
      </c>
      <c r="P32" s="77">
        <f t="shared" si="5"/>
        <v>4.1956000000000007</v>
      </c>
      <c r="Q32" s="77">
        <f t="shared" ref="Q32:Q50" si="10">(IF(Q$27="%w/w SAR",((Q$28*10)*$B32),IF(Q$27="%w/w DM",(((Q$28*10)*($B$28/100))*$B32),IF(Q$27="kg/t SAR",(Q$28*$B32),IF(Q$27="kg/t DM",((Q$28*($B$28/100))*$B32),IF(Q$27="mg/kg SAR",((Q$28*0.001)*$B32),IF(Q$27="mg/kg DM",(((Q$28*0.001)*($B$28/100))*$B32),0)))))))*2.5</f>
        <v>30.09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v>68</v>
      </c>
      <c r="C33" s="77">
        <f t="shared" si="6"/>
        <v>217.60000000000002</v>
      </c>
      <c r="D33" s="77">
        <f t="shared" si="7"/>
        <v>81.944487999999993</v>
      </c>
      <c r="E33" s="77">
        <f t="shared" si="8"/>
        <v>20.648880000000002</v>
      </c>
      <c r="F33" s="77">
        <f t="shared" si="9"/>
        <v>7.2719879999999995</v>
      </c>
      <c r="G33" s="77">
        <f t="shared" si="5"/>
        <v>8.2279999999999992E-2</v>
      </c>
      <c r="H33" s="77">
        <f t="shared" si="5"/>
        <v>0.15844</v>
      </c>
      <c r="I33" s="77">
        <f t="shared" si="5"/>
        <v>3.4000000000000002E-2</v>
      </c>
      <c r="J33" s="77">
        <f t="shared" si="5"/>
        <v>6.8000000000000005E-4</v>
      </c>
      <c r="K33" s="77">
        <f t="shared" si="5"/>
        <v>3.4000000000000002E-3</v>
      </c>
      <c r="L33" s="77">
        <f t="shared" si="5"/>
        <v>1.3600000000000001E-2</v>
      </c>
      <c r="M33" s="77">
        <f t="shared" si="5"/>
        <v>3.2163999999999998E-2</v>
      </c>
      <c r="N33" s="77">
        <f t="shared" si="5"/>
        <v>0</v>
      </c>
      <c r="O33" s="77">
        <f t="shared" si="5"/>
        <v>0</v>
      </c>
      <c r="P33" s="77">
        <f t="shared" si="5"/>
        <v>4.1956000000000007</v>
      </c>
      <c r="Q33" s="77">
        <f t="shared" si="10"/>
        <v>30.09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v>31</v>
      </c>
      <c r="C34" s="77">
        <f t="shared" si="6"/>
        <v>99.2</v>
      </c>
      <c r="D34" s="77">
        <f t="shared" si="7"/>
        <v>37.357046000000004</v>
      </c>
      <c r="E34" s="77">
        <f t="shared" si="8"/>
        <v>9.4134600000000006</v>
      </c>
      <c r="F34" s="77">
        <f t="shared" si="9"/>
        <v>3.3151709999999999</v>
      </c>
      <c r="G34" s="77">
        <f t="shared" si="5"/>
        <v>3.7509999999999995E-2</v>
      </c>
      <c r="H34" s="77">
        <f t="shared" si="5"/>
        <v>7.2230000000000003E-2</v>
      </c>
      <c r="I34" s="77">
        <f t="shared" si="5"/>
        <v>1.55E-2</v>
      </c>
      <c r="J34" s="77">
        <f t="shared" si="5"/>
        <v>3.1E-4</v>
      </c>
      <c r="K34" s="77">
        <f t="shared" si="5"/>
        <v>1.5500000000000002E-3</v>
      </c>
      <c r="L34" s="77">
        <f t="shared" si="5"/>
        <v>6.2000000000000006E-3</v>
      </c>
      <c r="M34" s="77">
        <f t="shared" si="5"/>
        <v>1.4663000000000001E-2</v>
      </c>
      <c r="N34" s="77">
        <f t="shared" si="5"/>
        <v>0</v>
      </c>
      <c r="O34" s="77">
        <f t="shared" si="5"/>
        <v>0</v>
      </c>
      <c r="P34" s="77">
        <f t="shared" si="5"/>
        <v>1.9127000000000001</v>
      </c>
      <c r="Q34" s="77">
        <f t="shared" si="10"/>
        <v>13.717500000000001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v>31</v>
      </c>
      <c r="C35" s="77">
        <f t="shared" si="6"/>
        <v>99.2</v>
      </c>
      <c r="D35" s="77">
        <f t="shared" si="7"/>
        <v>37.357046000000004</v>
      </c>
      <c r="E35" s="77">
        <f t="shared" si="8"/>
        <v>9.4134600000000006</v>
      </c>
      <c r="F35" s="77">
        <f t="shared" si="9"/>
        <v>3.3151709999999999</v>
      </c>
      <c r="G35" s="77">
        <f t="shared" si="5"/>
        <v>3.7509999999999995E-2</v>
      </c>
      <c r="H35" s="77">
        <f t="shared" si="5"/>
        <v>7.2230000000000003E-2</v>
      </c>
      <c r="I35" s="77">
        <f t="shared" si="5"/>
        <v>1.55E-2</v>
      </c>
      <c r="J35" s="77">
        <f t="shared" si="5"/>
        <v>3.1E-4</v>
      </c>
      <c r="K35" s="77">
        <f t="shared" si="5"/>
        <v>1.5500000000000002E-3</v>
      </c>
      <c r="L35" s="77">
        <f t="shared" si="5"/>
        <v>6.2000000000000006E-3</v>
      </c>
      <c r="M35" s="77">
        <f t="shared" si="5"/>
        <v>1.4663000000000001E-2</v>
      </c>
      <c r="N35" s="77">
        <f t="shared" si="5"/>
        <v>0</v>
      </c>
      <c r="O35" s="77">
        <f t="shared" si="5"/>
        <v>0</v>
      </c>
      <c r="P35" s="77">
        <f t="shared" si="5"/>
        <v>1.9127000000000001</v>
      </c>
      <c r="Q35" s="77">
        <f t="shared" si="10"/>
        <v>13.717500000000001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v>68</v>
      </c>
      <c r="C36" s="77">
        <f t="shared" si="6"/>
        <v>217.60000000000002</v>
      </c>
      <c r="D36" s="77">
        <f t="shared" si="7"/>
        <v>81.944487999999993</v>
      </c>
      <c r="E36" s="77">
        <f t="shared" si="8"/>
        <v>20.648880000000002</v>
      </c>
      <c r="F36" s="77">
        <f t="shared" si="9"/>
        <v>7.2719879999999995</v>
      </c>
      <c r="G36" s="77">
        <f t="shared" si="5"/>
        <v>8.2279999999999992E-2</v>
      </c>
      <c r="H36" s="77">
        <f t="shared" si="5"/>
        <v>0.15844</v>
      </c>
      <c r="I36" s="77">
        <f t="shared" si="5"/>
        <v>3.4000000000000002E-2</v>
      </c>
      <c r="J36" s="77">
        <f t="shared" si="5"/>
        <v>6.8000000000000005E-4</v>
      </c>
      <c r="K36" s="77">
        <f t="shared" si="5"/>
        <v>3.4000000000000002E-3</v>
      </c>
      <c r="L36" s="77">
        <f t="shared" si="5"/>
        <v>1.3600000000000001E-2</v>
      </c>
      <c r="M36" s="77">
        <f t="shared" si="5"/>
        <v>3.2163999999999998E-2</v>
      </c>
      <c r="N36" s="77">
        <f t="shared" si="5"/>
        <v>0</v>
      </c>
      <c r="O36" s="77">
        <f t="shared" si="5"/>
        <v>0</v>
      </c>
      <c r="P36" s="77">
        <f t="shared" si="5"/>
        <v>4.1956000000000007</v>
      </c>
      <c r="Q36" s="77">
        <f t="shared" si="10"/>
        <v>30.09</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v>68</v>
      </c>
      <c r="C37" s="77">
        <f t="shared" si="6"/>
        <v>217.60000000000002</v>
      </c>
      <c r="D37" s="77">
        <f t="shared" si="7"/>
        <v>81.944487999999993</v>
      </c>
      <c r="E37" s="77">
        <f t="shared" si="8"/>
        <v>20.648880000000002</v>
      </c>
      <c r="F37" s="77">
        <f t="shared" si="9"/>
        <v>7.2719879999999995</v>
      </c>
      <c r="G37" s="77">
        <f t="shared" si="5"/>
        <v>8.2279999999999992E-2</v>
      </c>
      <c r="H37" s="77">
        <f t="shared" si="5"/>
        <v>0.15844</v>
      </c>
      <c r="I37" s="77">
        <f t="shared" si="5"/>
        <v>3.4000000000000002E-2</v>
      </c>
      <c r="J37" s="77">
        <f t="shared" si="5"/>
        <v>6.8000000000000005E-4</v>
      </c>
      <c r="K37" s="77">
        <f t="shared" si="5"/>
        <v>3.4000000000000002E-3</v>
      </c>
      <c r="L37" s="77">
        <f t="shared" si="5"/>
        <v>1.3600000000000001E-2</v>
      </c>
      <c r="M37" s="77">
        <f t="shared" si="5"/>
        <v>3.2163999999999998E-2</v>
      </c>
      <c r="N37" s="77">
        <f t="shared" si="5"/>
        <v>0</v>
      </c>
      <c r="O37" s="77">
        <f t="shared" si="5"/>
        <v>0</v>
      </c>
      <c r="P37" s="77">
        <f t="shared" si="5"/>
        <v>4.1956000000000007</v>
      </c>
      <c r="Q37" s="77">
        <f t="shared" si="10"/>
        <v>30.09</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v>68</v>
      </c>
      <c r="C38" s="77">
        <f t="shared" si="6"/>
        <v>217.60000000000002</v>
      </c>
      <c r="D38" s="77">
        <f t="shared" si="7"/>
        <v>81.944487999999993</v>
      </c>
      <c r="E38" s="77">
        <f t="shared" si="8"/>
        <v>20.648880000000002</v>
      </c>
      <c r="F38" s="77">
        <f t="shared" si="9"/>
        <v>7.2719879999999995</v>
      </c>
      <c r="G38" s="77">
        <f t="shared" si="5"/>
        <v>8.2279999999999992E-2</v>
      </c>
      <c r="H38" s="77">
        <f t="shared" si="5"/>
        <v>0.15844</v>
      </c>
      <c r="I38" s="77">
        <f t="shared" si="5"/>
        <v>3.4000000000000002E-2</v>
      </c>
      <c r="J38" s="77">
        <f t="shared" si="5"/>
        <v>6.8000000000000005E-4</v>
      </c>
      <c r="K38" s="77">
        <f t="shared" si="5"/>
        <v>3.4000000000000002E-3</v>
      </c>
      <c r="L38" s="77">
        <f t="shared" si="5"/>
        <v>1.3600000000000001E-2</v>
      </c>
      <c r="M38" s="77">
        <f t="shared" si="5"/>
        <v>3.2163999999999998E-2</v>
      </c>
      <c r="N38" s="77">
        <f t="shared" si="5"/>
        <v>0</v>
      </c>
      <c r="O38" s="77">
        <f t="shared" si="5"/>
        <v>0</v>
      </c>
      <c r="P38" s="77">
        <f t="shared" si="5"/>
        <v>4.1956000000000007</v>
      </c>
      <c r="Q38" s="77">
        <f t="shared" si="10"/>
        <v>30.09</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v>68</v>
      </c>
      <c r="C39" s="77">
        <f t="shared" si="6"/>
        <v>217.60000000000002</v>
      </c>
      <c r="D39" s="77">
        <f t="shared" si="7"/>
        <v>81.944487999999993</v>
      </c>
      <c r="E39" s="77">
        <f t="shared" si="8"/>
        <v>20.648880000000002</v>
      </c>
      <c r="F39" s="77">
        <f t="shared" si="9"/>
        <v>7.2719879999999995</v>
      </c>
      <c r="G39" s="77">
        <f t="shared" si="5"/>
        <v>8.2279999999999992E-2</v>
      </c>
      <c r="H39" s="77">
        <f t="shared" si="5"/>
        <v>0.15844</v>
      </c>
      <c r="I39" s="77">
        <f t="shared" si="5"/>
        <v>3.4000000000000002E-2</v>
      </c>
      <c r="J39" s="77">
        <f t="shared" si="5"/>
        <v>6.8000000000000005E-4</v>
      </c>
      <c r="K39" s="77">
        <f t="shared" si="5"/>
        <v>3.4000000000000002E-3</v>
      </c>
      <c r="L39" s="77">
        <f t="shared" si="5"/>
        <v>1.3600000000000001E-2</v>
      </c>
      <c r="M39" s="77">
        <f t="shared" si="5"/>
        <v>3.2163999999999998E-2</v>
      </c>
      <c r="N39" s="77">
        <f t="shared" si="5"/>
        <v>0</v>
      </c>
      <c r="O39" s="77">
        <f t="shared" si="5"/>
        <v>0</v>
      </c>
      <c r="P39" s="77">
        <f t="shared" si="5"/>
        <v>4.1956000000000007</v>
      </c>
      <c r="Q39" s="77">
        <f t="shared" si="10"/>
        <v>30.09</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68</v>
      </c>
      <c r="C62" s="77">
        <f>B32</f>
        <v>68</v>
      </c>
      <c r="D62" s="77">
        <f>B33</f>
        <v>68</v>
      </c>
      <c r="E62" s="77">
        <f>B34</f>
        <v>31</v>
      </c>
      <c r="F62" s="77">
        <f>B35</f>
        <v>31</v>
      </c>
      <c r="G62" s="77">
        <f>B36</f>
        <v>68</v>
      </c>
      <c r="H62" s="77">
        <f>B37</f>
        <v>68</v>
      </c>
      <c r="I62" s="77">
        <f>B38</f>
        <v>68</v>
      </c>
      <c r="J62" s="77">
        <f>B39</f>
        <v>68</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42" priority="40" operator="equal">
      <formula>"DECREASE"</formula>
    </cfRule>
    <cfRule type="cellIs" dxfId="141" priority="41" operator="equal">
      <formula>"INCREASE"</formula>
    </cfRule>
  </conditionalFormatting>
  <conditionalFormatting sqref="B62:U66 B31:B50">
    <cfRule type="cellIs" dxfId="140" priority="39" operator="greaterThan">
      <formula>$B$51</formula>
    </cfRule>
  </conditionalFormatting>
  <conditionalFormatting sqref="C31:C50">
    <cfRule type="cellIs" dxfId="139" priority="38" operator="greaterThan">
      <formula>$C$51</formula>
    </cfRule>
  </conditionalFormatting>
  <conditionalFormatting sqref="C18:V18">
    <cfRule type="cellIs" dxfId="138" priority="37" operator="equal">
      <formula>0</formula>
    </cfRule>
  </conditionalFormatting>
  <conditionalFormatting sqref="C17:V17">
    <cfRule type="cellIs" dxfId="137" priority="36" operator="equal">
      <formula>0</formula>
    </cfRule>
  </conditionalFormatting>
  <conditionalFormatting sqref="C19:V19">
    <cfRule type="cellIs" dxfId="136" priority="35" operator="equal">
      <formula>0</formula>
    </cfRule>
  </conditionalFormatting>
  <conditionalFormatting sqref="G31:G50">
    <cfRule type="cellIs" dxfId="135" priority="34" operator="greaterThan">
      <formula>$G$51</formula>
    </cfRule>
  </conditionalFormatting>
  <conditionalFormatting sqref="H31:H50">
    <cfRule type="cellIs" dxfId="134" priority="33" operator="greaterThan">
      <formula>$H$51</formula>
    </cfRule>
  </conditionalFormatting>
  <conditionalFormatting sqref="I31:I50">
    <cfRule type="cellIs" dxfId="133" priority="32" operator="greaterThan">
      <formula>$I$51</formula>
    </cfRule>
  </conditionalFormatting>
  <conditionalFormatting sqref="K31:K50">
    <cfRule type="cellIs" dxfId="132" priority="31" operator="greaterThan">
      <formula>$K$51</formula>
    </cfRule>
  </conditionalFormatting>
  <conditionalFormatting sqref="L31:L50">
    <cfRule type="cellIs" dxfId="131" priority="30" operator="greaterThan">
      <formula>$L$51</formula>
    </cfRule>
  </conditionalFormatting>
  <conditionalFormatting sqref="M31:M50">
    <cfRule type="cellIs" dxfId="130" priority="29" operator="greaterThan">
      <formula>$M$51</formula>
    </cfRule>
  </conditionalFormatting>
  <conditionalFormatting sqref="P31:P50">
    <cfRule type="cellIs" dxfId="129" priority="28" operator="greaterThan">
      <formula>$P$51</formula>
    </cfRule>
  </conditionalFormatting>
  <conditionalFormatting sqref="R31:R50">
    <cfRule type="cellIs" dxfId="128" priority="27" operator="greaterThan">
      <formula>$R$51</formula>
    </cfRule>
  </conditionalFormatting>
  <conditionalFormatting sqref="S31:S50">
    <cfRule type="cellIs" dxfId="127" priority="26" operator="greaterThan">
      <formula>$S$51</formula>
    </cfRule>
  </conditionalFormatting>
  <conditionalFormatting sqref="T31:T50">
    <cfRule type="cellIs" dxfId="126" priority="25" operator="greaterThan">
      <formula>$T$51</formula>
    </cfRule>
  </conditionalFormatting>
  <conditionalFormatting sqref="U31:U50">
    <cfRule type="cellIs" dxfId="125" priority="24" operator="greaterThan">
      <formula>$U$51</formula>
    </cfRule>
  </conditionalFormatting>
  <conditionalFormatting sqref="C22:V22">
    <cfRule type="cellIs" dxfId="124" priority="23" operator="equal">
      <formula>0</formula>
    </cfRule>
  </conditionalFormatting>
  <conditionalFormatting sqref="C24:V24">
    <cfRule type="cellIs" dxfId="123" priority="21" operator="equal">
      <formula>"DECREASE"</formula>
    </cfRule>
    <cfRule type="cellIs" dxfId="122" priority="22" operator="equal">
      <formula>"INCREASE"</formula>
    </cfRule>
  </conditionalFormatting>
  <conditionalFormatting sqref="C23:V23">
    <cfRule type="cellIs" dxfId="121" priority="20" operator="equal">
      <formula>0</formula>
    </cfRule>
  </conditionalFormatting>
  <conditionalFormatting sqref="C21:V21">
    <cfRule type="cellIs" dxfId="120" priority="16" operator="equal">
      <formula>0</formula>
    </cfRule>
  </conditionalFormatting>
  <conditionalFormatting sqref="B66:U66">
    <cfRule type="cellIs" dxfId="119" priority="14" operator="equal">
      <formula>"UNDER"</formula>
    </cfRule>
    <cfRule type="cellIs" dxfId="118" priority="15" operator="equal">
      <formula>"OVER"</formula>
    </cfRule>
  </conditionalFormatting>
  <conditionalFormatting sqref="J31:J50">
    <cfRule type="cellIs" dxfId="117" priority="11" operator="greaterThan">
      <formula>$J$51</formula>
    </cfRule>
  </conditionalFormatting>
  <conditionalFormatting sqref="L3">
    <cfRule type="cellIs" dxfId="116" priority="7" operator="lessThan">
      <formula>30</formula>
    </cfRule>
    <cfRule type="cellIs" dxfId="115" priority="8" operator="greaterThanOrEqual">
      <formula>30</formula>
    </cfRule>
  </conditionalFormatting>
  <conditionalFormatting sqref="I1">
    <cfRule type="cellIs" dxfId="2" priority="3" operator="between">
      <formula>0.1</formula>
      <formula>5</formula>
    </cfRule>
  </conditionalFormatting>
  <conditionalFormatting sqref="I2">
    <cfRule type="cellIs" dxfId="1" priority="2" operator="greaterThan">
      <formula>5000.1</formula>
    </cfRule>
  </conditionalFormatting>
  <conditionalFormatting sqref="I3">
    <cfRule type="cellIs" dxfId="0"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-56</v>
      </c>
      <c r="D19" s="16">
        <f t="shared" ref="D19:V19" si="1">D18-D17</f>
        <v>-56</v>
      </c>
      <c r="E19" s="16">
        <f t="shared" si="1"/>
        <v>-56</v>
      </c>
      <c r="F19" s="16">
        <f t="shared" si="1"/>
        <v>-56</v>
      </c>
      <c r="G19" s="16">
        <f t="shared" si="1"/>
        <v>-56</v>
      </c>
      <c r="H19" s="16">
        <f t="shared" si="1"/>
        <v>-56</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-84</v>
      </c>
      <c r="D23" s="16">
        <f t="shared" ref="D23:V23" si="3">D22-D21</f>
        <v>-84</v>
      </c>
      <c r="E23" s="16">
        <f t="shared" si="3"/>
        <v>-84</v>
      </c>
      <c r="F23" s="16">
        <f t="shared" si="3"/>
        <v>-176</v>
      </c>
      <c r="G23" s="16">
        <f t="shared" si="3"/>
        <v>-176</v>
      </c>
      <c r="H23" s="16">
        <f t="shared" si="3"/>
        <v>-84</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00" priority="37" operator="equal">
      <formula>"DECREASE"</formula>
    </cfRule>
    <cfRule type="cellIs" dxfId="99" priority="38" operator="equal">
      <formula>"INCREASE"</formula>
    </cfRule>
  </conditionalFormatting>
  <conditionalFormatting sqref="B31:B50 B62:U66">
    <cfRule type="cellIs" dxfId="98" priority="36" operator="greaterThan">
      <formula>$B$51</formula>
    </cfRule>
  </conditionalFormatting>
  <conditionalFormatting sqref="C31:C50">
    <cfRule type="cellIs" dxfId="97" priority="35" operator="greaterThan">
      <formula>$C$51</formula>
    </cfRule>
  </conditionalFormatting>
  <conditionalFormatting sqref="C18:V18">
    <cfRule type="cellIs" dxfId="96" priority="34" operator="equal">
      <formula>0</formula>
    </cfRule>
  </conditionalFormatting>
  <conditionalFormatting sqref="C17:V17">
    <cfRule type="cellIs" dxfId="95" priority="33" operator="equal">
      <formula>0</formula>
    </cfRule>
  </conditionalFormatting>
  <conditionalFormatting sqref="C19:V19">
    <cfRule type="cellIs" dxfId="94" priority="32" operator="equal">
      <formula>0</formula>
    </cfRule>
  </conditionalFormatting>
  <conditionalFormatting sqref="G31:G50">
    <cfRule type="cellIs" dxfId="93" priority="31" operator="greaterThan">
      <formula>$G$51</formula>
    </cfRule>
  </conditionalFormatting>
  <conditionalFormatting sqref="H31:H50">
    <cfRule type="cellIs" dxfId="92" priority="30" operator="greaterThan">
      <formula>$H$51</formula>
    </cfRule>
  </conditionalFormatting>
  <conditionalFormatting sqref="I31:I50">
    <cfRule type="cellIs" dxfId="91" priority="29" operator="greaterThan">
      <formula>$I$51</formula>
    </cfRule>
  </conditionalFormatting>
  <conditionalFormatting sqref="K31:K50">
    <cfRule type="cellIs" dxfId="90" priority="28" operator="greaterThan">
      <formula>$K$51</formula>
    </cfRule>
  </conditionalFormatting>
  <conditionalFormatting sqref="L31:L50">
    <cfRule type="cellIs" dxfId="89" priority="27" operator="greaterThan">
      <formula>$L$51</formula>
    </cfRule>
  </conditionalFormatting>
  <conditionalFormatting sqref="M31:M50">
    <cfRule type="cellIs" dxfId="88" priority="26" operator="greaterThan">
      <formula>$M$51</formula>
    </cfRule>
  </conditionalFormatting>
  <conditionalFormatting sqref="P31:P50">
    <cfRule type="cellIs" dxfId="87" priority="25" operator="greaterThan">
      <formula>$P$51</formula>
    </cfRule>
  </conditionalFormatting>
  <conditionalFormatting sqref="R31:R50">
    <cfRule type="cellIs" dxfId="86" priority="24" operator="greaterThan">
      <formula>$R$51</formula>
    </cfRule>
  </conditionalFormatting>
  <conditionalFormatting sqref="S31:S50">
    <cfRule type="cellIs" dxfId="85" priority="23" operator="greaterThan">
      <formula>$S$51</formula>
    </cfRule>
  </conditionalFormatting>
  <conditionalFormatting sqref="T31:T50">
    <cfRule type="cellIs" dxfId="84" priority="22" operator="greaterThan">
      <formula>$T$51</formula>
    </cfRule>
  </conditionalFormatting>
  <conditionalFormatting sqref="U31:U50">
    <cfRule type="cellIs" dxfId="83" priority="21" operator="greaterThan">
      <formula>$U$51</formula>
    </cfRule>
  </conditionalFormatting>
  <conditionalFormatting sqref="C22:V22">
    <cfRule type="cellIs" dxfId="82" priority="20" operator="equal">
      <formula>0</formula>
    </cfRule>
  </conditionalFormatting>
  <conditionalFormatting sqref="C24:V24">
    <cfRule type="cellIs" dxfId="81" priority="18" operator="equal">
      <formula>"DECREASE"</formula>
    </cfRule>
    <cfRule type="cellIs" dxfId="80" priority="19" operator="equal">
      <formula>"INCREASE"</formula>
    </cfRule>
  </conditionalFormatting>
  <conditionalFormatting sqref="C23:V23">
    <cfRule type="cellIs" dxfId="79" priority="17" operator="equal">
      <formula>0</formula>
    </cfRule>
  </conditionalFormatting>
  <conditionalFormatting sqref="C21:V21">
    <cfRule type="cellIs" dxfId="78" priority="13" operator="equal">
      <formula>0</formula>
    </cfRule>
  </conditionalFormatting>
  <conditionalFormatting sqref="B66:U66">
    <cfRule type="cellIs" dxfId="77" priority="11" operator="equal">
      <formula>"UNDER"</formula>
    </cfRule>
    <cfRule type="cellIs" dxfId="76" priority="12" operator="equal">
      <formula>"OVER"</formula>
    </cfRule>
  </conditionalFormatting>
  <conditionalFormatting sqref="J31:J50">
    <cfRule type="cellIs" dxfId="75" priority="8" operator="greaterThan">
      <formula>$J$51</formula>
    </cfRule>
  </conditionalFormatting>
  <conditionalFormatting sqref="L3">
    <cfRule type="cellIs" dxfId="74" priority="4" operator="lessThan">
      <formula>30</formula>
    </cfRule>
    <cfRule type="cellIs" dxfId="73" priority="5" operator="greaterThanOrEqual">
      <formula>30</formula>
    </cfRule>
  </conditionalFormatting>
  <conditionalFormatting sqref="I1">
    <cfRule type="cellIs" dxfId="72" priority="3" operator="between">
      <formula>0.1</formula>
      <formula>5</formula>
    </cfRule>
  </conditionalFormatting>
  <conditionalFormatting sqref="I2">
    <cfRule type="cellIs" dxfId="71" priority="2" operator="greaterThan">
      <formula>5000.1</formula>
    </cfRule>
  </conditionalFormatting>
  <conditionalFormatting sqref="I3">
    <cfRule type="cellIs" dxfId="70"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Secanim!C1:D1</f>
        <v>PAN-021636</v>
      </c>
      <c r="D1" s="142"/>
      <c r="E1" s="93" t="s">
        <v>45</v>
      </c>
      <c r="F1" s="39">
        <f>Secanim!F1</f>
        <v>48.79</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Secanim!C2:D2</f>
        <v>EPR-KP3594VE</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Secanim!C3:D3</f>
        <v>Trade Effluent Services Limited</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Secanim!C4:D4</f>
        <v>Kilford farm, Whitchurch Road, Denbighshire, LL16 4ER</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Secanim!C5:D5</f>
        <v>Louise Bailey</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Secanim!C8</f>
        <v>DE1</v>
      </c>
      <c r="D8" s="60" t="str">
        <f>Secanim!D8</f>
        <v>DE2</v>
      </c>
      <c r="E8" s="60" t="str">
        <f>Secanim!E8</f>
        <v>DE3</v>
      </c>
      <c r="F8" s="60" t="str">
        <f>Secanim!F8</f>
        <v>DE4</v>
      </c>
      <c r="G8" s="60" t="str">
        <f>Secanim!G8</f>
        <v>DE5</v>
      </c>
      <c r="H8" s="60" t="str">
        <f>Secanim!H8</f>
        <v>DE6</v>
      </c>
      <c r="I8" s="60" t="str">
        <f>Secanim!I8</f>
        <v>DE9</v>
      </c>
      <c r="J8" s="60" t="str">
        <f>Secanim!J8</f>
        <v>DE9A</v>
      </c>
      <c r="K8" s="60" t="str">
        <f>Secanim!K8</f>
        <v>DE10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Secanim!C9</f>
        <v>1</v>
      </c>
      <c r="D9" s="60">
        <f>Secanim!D9</f>
        <v>1</v>
      </c>
      <c r="E9" s="60">
        <f>Secanim!E9</f>
        <v>1</v>
      </c>
      <c r="F9" s="60">
        <f>Secanim!F9</f>
        <v>1</v>
      </c>
      <c r="G9" s="60">
        <f>Secanim!G9</f>
        <v>1</v>
      </c>
      <c r="H9" s="60">
        <f>Secanim!H9</f>
        <v>1</v>
      </c>
      <c r="I9" s="60" t="str">
        <f>Secanim!I9</f>
        <v>Moderate</v>
      </c>
      <c r="J9" s="60" t="str">
        <f>Secanim!J9</f>
        <v>Moderate</v>
      </c>
      <c r="K9" s="60" t="str">
        <f>Secanim!K9</f>
        <v>Moderate</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Secanim!C10</f>
        <v>7</v>
      </c>
      <c r="D10" s="60">
        <f>Secanim!D10</f>
        <v>6.6</v>
      </c>
      <c r="E10" s="60">
        <f>Secanim!E10</f>
        <v>6.3</v>
      </c>
      <c r="F10" s="60">
        <f>Secanim!F10</f>
        <v>6.9</v>
      </c>
      <c r="G10" s="60">
        <f>Secanim!G10</f>
        <v>7</v>
      </c>
      <c r="H10" s="60">
        <f>Secanim!H10</f>
        <v>6.8</v>
      </c>
      <c r="I10" s="60">
        <f>Secanim!I10</f>
        <v>7.1</v>
      </c>
      <c r="J10" s="60">
        <f>Secanim!J10</f>
        <v>7.4</v>
      </c>
      <c r="K10" s="60">
        <f>Secanim!K10</f>
        <v>7.7</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Secanim!C11</f>
        <v>1</v>
      </c>
      <c r="D11" s="60">
        <f>Secanim!D11</f>
        <v>1</v>
      </c>
      <c r="E11" s="60">
        <f>Secanim!E11</f>
        <v>0</v>
      </c>
      <c r="F11" s="60">
        <f>Secanim!F11</f>
        <v>0</v>
      </c>
      <c r="G11" s="60">
        <f>Secanim!G11</f>
        <v>1</v>
      </c>
      <c r="H11" s="60">
        <f>Secanim!H11</f>
        <v>0</v>
      </c>
      <c r="I11" s="60">
        <f>Secanim!I11</f>
        <v>0</v>
      </c>
      <c r="J11" s="60">
        <f>Secanim!J11</f>
        <v>0</v>
      </c>
      <c r="K11" s="60">
        <f>Secanim!K11</f>
        <v>1</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t="str">
        <f>Secanim!C12</f>
        <v>2-</v>
      </c>
      <c r="D12" s="60">
        <f>Secanim!D12</f>
        <v>1</v>
      </c>
      <c r="E12" s="60" t="str">
        <f>Secanim!E12</f>
        <v>2-</v>
      </c>
      <c r="F12" s="60">
        <f>Secanim!F12</f>
        <v>1</v>
      </c>
      <c r="G12" s="60" t="str">
        <f>Secanim!G12</f>
        <v>2+</v>
      </c>
      <c r="H12" s="60" t="str">
        <f>Secanim!H12</f>
        <v>2-</v>
      </c>
      <c r="I12" s="60">
        <f>Secanim!I12</f>
        <v>0</v>
      </c>
      <c r="J12" s="60">
        <f>Secanim!J12</f>
        <v>0</v>
      </c>
      <c r="K12" s="60">
        <f>Secanim!K12</f>
        <v>1</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Secanim!C14</f>
        <v>Winter wheat- grain &amp; straw</v>
      </c>
      <c r="D14" s="102" t="str">
        <f>Secanim!D14</f>
        <v>Winter wheat- grain &amp; straw</v>
      </c>
      <c r="E14" s="102" t="str">
        <f>Secanim!E14</f>
        <v>Winter wheat- grain &amp; straw</v>
      </c>
      <c r="F14" s="102" t="str">
        <f>Secanim!F14</f>
        <v>Maize- Silage (30% DM)</v>
      </c>
      <c r="G14" s="102" t="str">
        <f>Secanim!G14</f>
        <v>Maize- Silage (30% DM)</v>
      </c>
      <c r="H14" s="102" t="str">
        <f>Secanim!H14</f>
        <v>Winter wheat- grain &amp; straw</v>
      </c>
      <c r="I14" s="102" t="str">
        <f>Secanim!I14</f>
        <v xml:space="preserve">Grass Silage (25% DM) </v>
      </c>
      <c r="J14" s="102" t="str">
        <f>Secanim!J14</f>
        <v xml:space="preserve">Grass Silage (25% DM) </v>
      </c>
      <c r="K14" s="102" t="str">
        <f>Secanim!K14</f>
        <v xml:space="preserve">Grass Silage (25% DM) </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6" t="s">
        <v>9</v>
      </c>
      <c r="B15" s="136"/>
      <c r="C15" s="60">
        <f>Secanim!C15</f>
        <v>8</v>
      </c>
      <c r="D15" s="60">
        <f>Secanim!D15</f>
        <v>8</v>
      </c>
      <c r="E15" s="60">
        <f>Secanim!E15</f>
        <v>8</v>
      </c>
      <c r="F15" s="60">
        <f>Secanim!F15</f>
        <v>40</v>
      </c>
      <c r="G15" s="60">
        <f>Secanim!G15</f>
        <v>40</v>
      </c>
      <c r="H15" s="60">
        <f>Secanim!H15</f>
        <v>8</v>
      </c>
      <c r="I15" s="60">
        <f>Secanim!I15</f>
        <v>38</v>
      </c>
      <c r="J15" s="60">
        <f>Secanim!J15</f>
        <v>38</v>
      </c>
      <c r="K15" s="60">
        <f>Secanim!K15</f>
        <v>38</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56</v>
      </c>
      <c r="D17" s="28">
        <f t="shared" ref="D17:V17" si="0">(VLOOKUP(D$14,$AI2:$AK26,2,FALSE))*D$15</f>
        <v>56</v>
      </c>
      <c r="E17" s="28">
        <f t="shared" si="0"/>
        <v>56</v>
      </c>
      <c r="F17" s="28">
        <f t="shared" si="0"/>
        <v>56</v>
      </c>
      <c r="G17" s="28">
        <f t="shared" si="0"/>
        <v>56</v>
      </c>
      <c r="H17" s="28">
        <f t="shared" si="0"/>
        <v>56</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-56</v>
      </c>
      <c r="D19" s="16">
        <f t="shared" ref="D19:V19" si="1">D18-D17</f>
        <v>-56</v>
      </c>
      <c r="E19" s="16">
        <f t="shared" si="1"/>
        <v>-56</v>
      </c>
      <c r="F19" s="16">
        <f t="shared" si="1"/>
        <v>-56</v>
      </c>
      <c r="G19" s="16">
        <f t="shared" si="1"/>
        <v>-56</v>
      </c>
      <c r="H19" s="16">
        <f t="shared" si="1"/>
        <v>-56</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84</v>
      </c>
      <c r="D21" s="28">
        <f t="shared" ref="D21:V21" si="2">(VLOOKUP(D$14,$AI2:$AK26,3,FALSE))*D$15</f>
        <v>84</v>
      </c>
      <c r="E21" s="28">
        <f t="shared" si="2"/>
        <v>84</v>
      </c>
      <c r="F21" s="28">
        <f t="shared" si="2"/>
        <v>176</v>
      </c>
      <c r="G21" s="28">
        <f t="shared" si="2"/>
        <v>176</v>
      </c>
      <c r="H21" s="28">
        <f t="shared" si="2"/>
        <v>84</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-84</v>
      </c>
      <c r="D23" s="16">
        <f t="shared" ref="D23:V23" si="3">D22-D21</f>
        <v>-84</v>
      </c>
      <c r="E23" s="16">
        <f t="shared" si="3"/>
        <v>-84</v>
      </c>
      <c r="F23" s="16">
        <f t="shared" si="3"/>
        <v>-176</v>
      </c>
      <c r="G23" s="16">
        <f t="shared" si="3"/>
        <v>-176</v>
      </c>
      <c r="H23" s="16">
        <f t="shared" si="3"/>
        <v>-84</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DE1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DE2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DE3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DE4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DE5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DE6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DE9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DE9A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DE10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DE1</v>
      </c>
      <c r="C57" s="8" t="str">
        <f t="shared" ref="C57:U57" si="13">D8</f>
        <v>DE2</v>
      </c>
      <c r="D57" s="8" t="str">
        <f t="shared" si="13"/>
        <v>DE3</v>
      </c>
      <c r="E57" s="8" t="str">
        <f t="shared" si="13"/>
        <v>DE4</v>
      </c>
      <c r="F57" s="8" t="str">
        <f t="shared" si="13"/>
        <v>DE5</v>
      </c>
      <c r="G57" s="8" t="str">
        <f t="shared" si="13"/>
        <v>DE6</v>
      </c>
      <c r="H57" s="8" t="str">
        <f t="shared" si="13"/>
        <v>DE9</v>
      </c>
      <c r="I57" s="8" t="str">
        <f t="shared" si="13"/>
        <v>DE9A</v>
      </c>
      <c r="J57" s="8" t="str">
        <f t="shared" si="13"/>
        <v>DE10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7</v>
      </c>
      <c r="C60" s="76">
        <f t="shared" ref="C60:U60" si="14">D10</f>
        <v>6.6</v>
      </c>
      <c r="D60" s="76">
        <f t="shared" si="14"/>
        <v>6.3</v>
      </c>
      <c r="E60" s="76">
        <f t="shared" si="14"/>
        <v>6.9</v>
      </c>
      <c r="F60" s="76">
        <f t="shared" si="14"/>
        <v>7</v>
      </c>
      <c r="G60" s="76">
        <f t="shared" si="14"/>
        <v>6.8</v>
      </c>
      <c r="H60" s="76">
        <f t="shared" si="14"/>
        <v>7.1</v>
      </c>
      <c r="I60" s="76">
        <f t="shared" si="14"/>
        <v>7.4</v>
      </c>
      <c r="J60" s="76">
        <f t="shared" si="14"/>
        <v>7.7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f t="shared" si="15"/>
        <v>8</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0.80000000000000426</v>
      </c>
      <c r="D64" s="77">
        <f t="shared" si="17"/>
        <v>3.2000000000000028</v>
      </c>
      <c r="E64" s="77">
        <f t="shared" si="17"/>
        <v>-1.6000000000000014</v>
      </c>
      <c r="F64" s="77">
        <f t="shared" si="17"/>
        <v>-2.3999999999999986</v>
      </c>
      <c r="G64" s="77">
        <f t="shared" si="17"/>
        <v>-0.79999999999999716</v>
      </c>
      <c r="H64" s="77">
        <f t="shared" si="17"/>
        <v>-5.3999999999999968</v>
      </c>
      <c r="I64" s="77">
        <f t="shared" si="17"/>
        <v>-7.2000000000000011</v>
      </c>
      <c r="J64" s="77">
        <f t="shared" si="17"/>
        <v>-9</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-0.80000000000000426</v>
      </c>
      <c r="D65" s="77">
        <f t="shared" si="18"/>
        <v>-3.2000000000000028</v>
      </c>
      <c r="E65" s="77">
        <f t="shared" si="18"/>
        <v>1.6000000000000014</v>
      </c>
      <c r="F65" s="77">
        <f t="shared" si="18"/>
        <v>2.3999999999999986</v>
      </c>
      <c r="G65" s="77">
        <f t="shared" si="18"/>
        <v>0.79999999999999716</v>
      </c>
      <c r="H65" s="77">
        <f t="shared" si="18"/>
        <v>5.3999999999999968</v>
      </c>
      <c r="I65" s="77">
        <f t="shared" si="18"/>
        <v>7.2000000000000011</v>
      </c>
      <c r="J65" s="77">
        <f t="shared" si="18"/>
        <v>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58" priority="37" operator="equal">
      <formula>"DECREASE"</formula>
    </cfRule>
    <cfRule type="cellIs" dxfId="57" priority="38" operator="equal">
      <formula>"INCREASE"</formula>
    </cfRule>
  </conditionalFormatting>
  <conditionalFormatting sqref="B31:B50 B62:U66">
    <cfRule type="cellIs" dxfId="56" priority="36" operator="greaterThan">
      <formula>$B$51</formula>
    </cfRule>
  </conditionalFormatting>
  <conditionalFormatting sqref="C31:C50">
    <cfRule type="cellIs" dxfId="55" priority="35" operator="greaterThan">
      <formula>$C$51</formula>
    </cfRule>
  </conditionalFormatting>
  <conditionalFormatting sqref="C18:V18">
    <cfRule type="cellIs" dxfId="54" priority="34" operator="equal">
      <formula>0</formula>
    </cfRule>
  </conditionalFormatting>
  <conditionalFormatting sqref="C17:V17">
    <cfRule type="cellIs" dxfId="53" priority="33" operator="equal">
      <formula>0</formula>
    </cfRule>
  </conditionalFormatting>
  <conditionalFormatting sqref="C19:V19">
    <cfRule type="cellIs" dxfId="52" priority="32" operator="equal">
      <formula>0</formula>
    </cfRule>
  </conditionalFormatting>
  <conditionalFormatting sqref="G31:G50">
    <cfRule type="cellIs" dxfId="51" priority="31" operator="greaterThan">
      <formula>$G$51</formula>
    </cfRule>
  </conditionalFormatting>
  <conditionalFormatting sqref="H31:H50">
    <cfRule type="cellIs" dxfId="50" priority="30" operator="greaterThan">
      <formula>$H$51</formula>
    </cfRule>
  </conditionalFormatting>
  <conditionalFormatting sqref="I31:I50">
    <cfRule type="cellIs" dxfId="49" priority="29" operator="greaterThan">
      <formula>$I$51</formula>
    </cfRule>
  </conditionalFormatting>
  <conditionalFormatting sqref="K31:K50">
    <cfRule type="cellIs" dxfId="48" priority="28" operator="greaterThan">
      <formula>$K$51</formula>
    </cfRule>
  </conditionalFormatting>
  <conditionalFormatting sqref="L31:L50">
    <cfRule type="cellIs" dxfId="47" priority="27" operator="greaterThan">
      <formula>$L$51</formula>
    </cfRule>
  </conditionalFormatting>
  <conditionalFormatting sqref="M31:M50">
    <cfRule type="cellIs" dxfId="46" priority="26" operator="greaterThan">
      <formula>$M$51</formula>
    </cfRule>
  </conditionalFormatting>
  <conditionalFormatting sqref="P31:P50">
    <cfRule type="cellIs" dxfId="45" priority="25" operator="greaterThan">
      <formula>$P$51</formula>
    </cfRule>
  </conditionalFormatting>
  <conditionalFormatting sqref="R31:R50">
    <cfRule type="cellIs" dxfId="44" priority="24" operator="greaterThan">
      <formula>$R$51</formula>
    </cfRule>
  </conditionalFormatting>
  <conditionalFormatting sqref="S31:S50">
    <cfRule type="cellIs" dxfId="43" priority="23" operator="greaterThan">
      <formula>$S$51</formula>
    </cfRule>
  </conditionalFormatting>
  <conditionalFormatting sqref="T31:T50">
    <cfRule type="cellIs" dxfId="42" priority="22" operator="greaterThan">
      <formula>$T$51</formula>
    </cfRule>
  </conditionalFormatting>
  <conditionalFormatting sqref="U31:U50">
    <cfRule type="cellIs" dxfId="41" priority="21" operator="greaterThan">
      <formula>$U$51</formula>
    </cfRule>
  </conditionalFormatting>
  <conditionalFormatting sqref="C22:V22">
    <cfRule type="cellIs" dxfId="40" priority="20" operator="equal">
      <formula>0</formula>
    </cfRule>
  </conditionalFormatting>
  <conditionalFormatting sqref="C24:V24">
    <cfRule type="cellIs" dxfId="39" priority="18" operator="equal">
      <formula>"DECREASE"</formula>
    </cfRule>
    <cfRule type="cellIs" dxfId="38" priority="19" operator="equal">
      <formula>"INCREASE"</formula>
    </cfRule>
  </conditionalFormatting>
  <conditionalFormatting sqref="C23:V23">
    <cfRule type="cellIs" dxfId="37" priority="17" operator="equal">
      <formula>0</formula>
    </cfRule>
  </conditionalFormatting>
  <conditionalFormatting sqref="C21:V21">
    <cfRule type="cellIs" dxfId="36" priority="13" operator="equal">
      <formula>0</formula>
    </cfRule>
  </conditionalFormatting>
  <conditionalFormatting sqref="B66:U66">
    <cfRule type="cellIs" dxfId="35" priority="11" operator="equal">
      <formula>"UNDER"</formula>
    </cfRule>
    <cfRule type="cellIs" dxfId="34" priority="12" operator="equal">
      <formula>"OVER"</formula>
    </cfRule>
  </conditionalFormatting>
  <conditionalFormatting sqref="J31:J50">
    <cfRule type="cellIs" dxfId="33" priority="8" operator="greaterThan">
      <formula>$J$51</formula>
    </cfRule>
  </conditionalFormatting>
  <conditionalFormatting sqref="L3">
    <cfRule type="cellIs" dxfId="32" priority="4" operator="lessThan">
      <formula>30</formula>
    </cfRule>
    <cfRule type="cellIs" dxfId="31" priority="5" operator="greaterThanOrEqual">
      <formula>30</formula>
    </cfRule>
  </conditionalFormatting>
  <conditionalFormatting sqref="I1">
    <cfRule type="cellIs" dxfId="30" priority="3" operator="between">
      <formula>0.1</formula>
      <formula>5</formula>
    </cfRule>
  </conditionalFormatting>
  <conditionalFormatting sqref="I2">
    <cfRule type="cellIs" dxfId="29" priority="2" operator="greaterThan">
      <formula>5000.1</formula>
    </cfRule>
  </conditionalFormatting>
  <conditionalFormatting sqref="I3">
    <cfRule type="cellIs" dxfId="28"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5"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5"/>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42</v>
      </c>
      <c r="C3" s="33">
        <f>Secanim!C31</f>
        <v>126</v>
      </c>
      <c r="D3" s="33">
        <f>Secanim!D31</f>
        <v>83.135807999999983</v>
      </c>
      <c r="E3" s="33">
        <f>Secanim!E31</f>
        <v>26.418420000000001</v>
      </c>
      <c r="F3" s="33">
        <f>Secanim!F31</f>
        <v>4.3801043999999996</v>
      </c>
      <c r="G3" s="33">
        <f>Secanim!G31</f>
        <v>9.8280000000000006E-2</v>
      </c>
      <c r="H3" s="33">
        <f>Secanim!H31</f>
        <v>2.3898000000000001</v>
      </c>
      <c r="I3" s="33">
        <f>Secanim!I31</f>
        <v>0.13482</v>
      </c>
      <c r="J3" s="33">
        <f>Secanim!J31</f>
        <v>2.1000000000000003E-3</v>
      </c>
      <c r="K3" s="33">
        <f>Secanim!K31</f>
        <v>2.1000000000000003E-3</v>
      </c>
      <c r="L3" s="33">
        <f>Secanim!L31</f>
        <v>3.2760000000000004E-2</v>
      </c>
      <c r="M3" s="33">
        <f>Secanim!M31</f>
        <v>3.9060000000000004E-2</v>
      </c>
      <c r="N3" s="33">
        <f>Secanim!N31</f>
        <v>0</v>
      </c>
      <c r="O3" s="33">
        <f>Secanim!O31</f>
        <v>0</v>
      </c>
      <c r="P3" s="33">
        <f>Secanim!P31</f>
        <v>64.134</v>
      </c>
      <c r="Q3" s="33">
        <f>Secanim!Q31</f>
        <v>93.87</v>
      </c>
      <c r="R3" s="33">
        <f>Secanim!R31</f>
        <v>0</v>
      </c>
      <c r="S3" s="33">
        <f>Secanim!S31</f>
        <v>0</v>
      </c>
      <c r="T3" s="33">
        <f>Secanim!T31</f>
        <v>0</v>
      </c>
      <c r="U3" s="33">
        <f>Secanim!U31</f>
        <v>0</v>
      </c>
    </row>
    <row r="4" spans="1:21" x14ac:dyDescent="0.2">
      <c r="A4" s="36">
        <v>2</v>
      </c>
      <c r="B4" s="33">
        <f>'Croda Goole'!B31</f>
        <v>132</v>
      </c>
      <c r="C4" s="33">
        <f>'Croda Goole'!C31</f>
        <v>92.4</v>
      </c>
      <c r="D4" s="33">
        <f>'Croda Goole'!D31</f>
        <v>63.204107999999991</v>
      </c>
      <c r="E4" s="33">
        <f>'Croda Goole'!E31</f>
        <v>10.736550000000001</v>
      </c>
      <c r="F4" s="33">
        <f>'Croda Goole'!F31</f>
        <v>5.5370567999999993</v>
      </c>
      <c r="G4" s="33">
        <f>'Croda Goole'!G31</f>
        <v>6.2039999999999998E-2</v>
      </c>
      <c r="H4" s="33">
        <f>'Croda Goole'!H31</f>
        <v>0.93588000000000005</v>
      </c>
      <c r="I4" s="33">
        <f>'Croda Goole'!I31</f>
        <v>6.6000000000000003E-2</v>
      </c>
      <c r="J4" s="33">
        <f>'Croda Goole'!J31</f>
        <v>1.3200000000000002E-3</v>
      </c>
      <c r="K4" s="33">
        <f>'Croda Goole'!K31</f>
        <v>6.6E-3</v>
      </c>
      <c r="L4" s="33">
        <f>'Croda Goole'!L31</f>
        <v>3.0360000000000002E-2</v>
      </c>
      <c r="M4" s="33">
        <f>'Croda Goole'!M31</f>
        <v>0.26400000000000001</v>
      </c>
      <c r="N4" s="33">
        <f>'Croda Goole'!N31</f>
        <v>0</v>
      </c>
      <c r="O4" s="33">
        <f>'Croda Goole'!O31</f>
        <v>0</v>
      </c>
      <c r="P4" s="33">
        <f>'Croda Goole'!P31</f>
        <v>372.108</v>
      </c>
      <c r="Q4" s="33">
        <f>'Croda Goole'!Q31</f>
        <v>420.75</v>
      </c>
      <c r="R4" s="33">
        <f>'Croda Goole'!R31</f>
        <v>0</v>
      </c>
      <c r="S4" s="33">
        <f>'Croda Goole'!S31</f>
        <v>0</v>
      </c>
      <c r="T4" s="33">
        <f>'Croda Goole'!T31</f>
        <v>0</v>
      </c>
      <c r="U4" s="33">
        <f>'Croda Goole'!U31</f>
        <v>0</v>
      </c>
    </row>
    <row r="5" spans="1:21" x14ac:dyDescent="0.2">
      <c r="A5" s="36">
        <v>3</v>
      </c>
      <c r="B5" s="33">
        <f>'Croda Widnes'!B31</f>
        <v>175</v>
      </c>
      <c r="C5" s="33">
        <f>'Croda Widnes'!C31</f>
        <v>192.50000000000003</v>
      </c>
      <c r="D5" s="33">
        <f>'Croda Widnes'!D31</f>
        <v>66.152625</v>
      </c>
      <c r="E5" s="33">
        <f>'Croda Widnes'!E31</f>
        <v>19.674637500000003</v>
      </c>
      <c r="F5" s="33">
        <f>'Croda Widnes'!F31</f>
        <v>23.182985000000002</v>
      </c>
      <c r="G5" s="33">
        <f>'Croda Widnes'!G31</f>
        <v>0.1197</v>
      </c>
      <c r="H5" s="33">
        <f>'Croda Widnes'!H31</f>
        <v>0.66325000000000001</v>
      </c>
      <c r="I5" s="33">
        <f>'Croda Widnes'!I31</f>
        <v>8.7500000000000008E-2</v>
      </c>
      <c r="J5" s="33">
        <f>'Croda Widnes'!J31</f>
        <v>1.75E-3</v>
      </c>
      <c r="K5" s="33">
        <f>'Croda Widnes'!K31</f>
        <v>8.7500000000000008E-3</v>
      </c>
      <c r="L5" s="33">
        <f>'Croda Widnes'!L31</f>
        <v>3.5000000000000003E-2</v>
      </c>
      <c r="M5" s="33">
        <f>'Croda Widnes'!M31</f>
        <v>3.9550000000000002E-2</v>
      </c>
      <c r="N5" s="33">
        <f>'Croda Widnes'!N31</f>
        <v>0</v>
      </c>
      <c r="O5" s="33">
        <f>'Croda Widnes'!O31</f>
        <v>0</v>
      </c>
      <c r="P5" s="33">
        <f>'Croda Widnes'!P31</f>
        <v>58.800000000000004</v>
      </c>
      <c r="Q5" s="33">
        <f>'Croda Widnes'!Q31</f>
        <v>85.3125</v>
      </c>
      <c r="R5" s="33">
        <f>'Croda Widnes'!R31</f>
        <v>0</v>
      </c>
      <c r="S5" s="33">
        <f>'Croda Widnes'!S31</f>
        <v>0</v>
      </c>
      <c r="T5" s="33">
        <f>'Croda Widnes'!T31</f>
        <v>0</v>
      </c>
      <c r="U5" s="33">
        <f>'Croda Widnes'!U31</f>
        <v>0</v>
      </c>
    </row>
    <row r="6" spans="1:21" x14ac:dyDescent="0.2">
      <c r="A6" s="36">
        <v>4</v>
      </c>
      <c r="B6" s="33">
        <f>Maelor!B31</f>
        <v>50</v>
      </c>
      <c r="C6" s="33">
        <f>Maelor!C31</f>
        <v>170.00000000000003</v>
      </c>
      <c r="D6" s="33">
        <f>Maelor!D31</f>
        <v>81.674149999999997</v>
      </c>
      <c r="E6" s="33">
        <f>Maelor!E31</f>
        <v>10.302750000000001</v>
      </c>
      <c r="F6" s="33">
        <f>Maelor!F31</f>
        <v>14.258800000000001</v>
      </c>
      <c r="G6" s="33">
        <f>Maelor!G31</f>
        <v>0.16550000000000001</v>
      </c>
      <c r="H6" s="33">
        <f>Maelor!H31</f>
        <v>0.91999999999999993</v>
      </c>
      <c r="I6" s="33">
        <f>Maelor!I31</f>
        <v>2.5000000000000001E-2</v>
      </c>
      <c r="J6" s="33">
        <f>Maelor!J31</f>
        <v>5.0000000000000001E-4</v>
      </c>
      <c r="K6" s="33">
        <f>Maelor!K31</f>
        <v>2.5000000000000001E-3</v>
      </c>
      <c r="L6" s="33">
        <f>Maelor!L31</f>
        <v>6.8500000000000005E-2</v>
      </c>
      <c r="M6" s="33">
        <f>Maelor!M31</f>
        <v>4.5000000000000005E-2</v>
      </c>
      <c r="N6" s="33">
        <f>Maelor!N31</f>
        <v>0</v>
      </c>
      <c r="O6" s="33">
        <f>Maelor!O31</f>
        <v>0</v>
      </c>
      <c r="P6" s="33">
        <f>Maelor!P31</f>
        <v>42.8</v>
      </c>
      <c r="Q6" s="33">
        <f>Maelor!Q31</f>
        <v>65.875</v>
      </c>
      <c r="R6" s="33">
        <f>Maelor!R31</f>
        <v>0</v>
      </c>
      <c r="S6" s="33">
        <f>Maelor!S31</f>
        <v>0</v>
      </c>
      <c r="T6" s="33">
        <f>Maelor!T31</f>
        <v>0</v>
      </c>
      <c r="U6" s="33">
        <f>Maelor!U31</f>
        <v>0</v>
      </c>
    </row>
    <row r="7" spans="1:21" x14ac:dyDescent="0.2">
      <c r="A7" s="36">
        <v>5</v>
      </c>
      <c r="B7" s="33">
        <f>Encirc!B31</f>
        <v>0</v>
      </c>
      <c r="C7" s="33">
        <f>Encirc!C31</f>
        <v>0</v>
      </c>
      <c r="D7" s="33">
        <f>Encirc!D31</f>
        <v>0</v>
      </c>
      <c r="E7" s="33">
        <f>Encirc!E31</f>
        <v>0</v>
      </c>
      <c r="F7" s="33">
        <f>Encirc!F31</f>
        <v>0</v>
      </c>
      <c r="G7" s="33">
        <f>Encirc!G31</f>
        <v>0</v>
      </c>
      <c r="H7" s="33">
        <f>Encirc!H31</f>
        <v>0</v>
      </c>
      <c r="I7" s="33">
        <f>Encirc!I31</f>
        <v>0</v>
      </c>
      <c r="J7" s="33">
        <f>Encirc!J31</f>
        <v>0</v>
      </c>
      <c r="K7" s="33">
        <f>Encirc!K31</f>
        <v>0</v>
      </c>
      <c r="L7" s="33">
        <f>Encirc!L31</f>
        <v>0</v>
      </c>
      <c r="M7" s="33">
        <f>Encirc!M31</f>
        <v>0</v>
      </c>
      <c r="N7" s="33">
        <f>Encirc!N31</f>
        <v>0</v>
      </c>
      <c r="O7" s="33">
        <f>Encirc!O31</f>
        <v>0</v>
      </c>
      <c r="P7" s="33">
        <f>Encirc!P31</f>
        <v>0</v>
      </c>
      <c r="Q7" s="33">
        <f>Encirc!Q31</f>
        <v>0</v>
      </c>
      <c r="R7" s="33">
        <f>Encirc!R31</f>
        <v>0</v>
      </c>
      <c r="S7" s="33">
        <f>Encirc!S31</f>
        <v>0</v>
      </c>
      <c r="T7" s="33">
        <f>Encirc!T31</f>
        <v>0</v>
      </c>
      <c r="U7" s="33">
        <f>Encirc!U31</f>
        <v>0</v>
      </c>
    </row>
    <row r="8" spans="1:21" x14ac:dyDescent="0.2">
      <c r="A8" s="36">
        <v>6</v>
      </c>
      <c r="B8" s="33">
        <f>'Beechdean Ice cream'!B31</f>
        <v>250</v>
      </c>
      <c r="C8" s="33">
        <f>'Beechdean Ice cream'!C31</f>
        <v>50</v>
      </c>
      <c r="D8" s="33">
        <f>'Beechdean Ice cream'!D31</f>
        <v>27.7211</v>
      </c>
      <c r="E8" s="33">
        <f>'Beechdean Ice cream'!E31</f>
        <v>28.227125000000001</v>
      </c>
      <c r="F8" s="33">
        <f>'Beechdean Ice cream'!F31</f>
        <v>4.3936999999999999</v>
      </c>
      <c r="G8" s="33">
        <f>'Beechdean Ice cream'!G31</f>
        <v>6.25E-2</v>
      </c>
      <c r="H8" s="33">
        <f>'Beechdean Ice cream'!H31</f>
        <v>0.13500000000000001</v>
      </c>
      <c r="I8" s="33">
        <f>'Beechdean Ice cream'!I31</f>
        <v>0.125</v>
      </c>
      <c r="J8" s="33">
        <f>'Beechdean Ice cream'!J31</f>
        <v>2.5000000000000001E-3</v>
      </c>
      <c r="K8" s="33">
        <f>'Beechdean Ice cream'!K31</f>
        <v>1.2500000000000001E-2</v>
      </c>
      <c r="L8" s="33">
        <f>'Beechdean Ice cream'!L31</f>
        <v>0.05</v>
      </c>
      <c r="M8" s="33">
        <f>'Beechdean Ice cream'!M31</f>
        <v>0.05</v>
      </c>
      <c r="N8" s="33">
        <f>'Beechdean Ice cream'!N31</f>
        <v>0</v>
      </c>
      <c r="O8" s="33">
        <f>'Beechdean Ice cream'!O31</f>
        <v>0</v>
      </c>
      <c r="P8" s="33">
        <f>'Beechdean Ice cream'!P31</f>
        <v>60.75</v>
      </c>
      <c r="Q8" s="33">
        <f>'Beechdean Ice cream'!Q31</f>
        <v>23.125</v>
      </c>
      <c r="R8" s="33">
        <f>'Beechdean Ice cream'!R31</f>
        <v>0</v>
      </c>
      <c r="S8" s="33">
        <f>'Beechdean Ice cream'!S31</f>
        <v>0</v>
      </c>
      <c r="T8" s="33">
        <f>'Beechdean Ice cream'!T31</f>
        <v>0</v>
      </c>
      <c r="U8" s="33">
        <f>'Beechdean Ice cream'!U31</f>
        <v>0</v>
      </c>
    </row>
    <row r="9" spans="1:21" x14ac:dyDescent="0.2">
      <c r="A9" s="36">
        <v>7</v>
      </c>
      <c r="B9" s="33">
        <f>'Penderyn Distillery '!B31</f>
        <v>142</v>
      </c>
      <c r="C9" s="33">
        <f>'Penderyn Distillery '!C31</f>
        <v>99.4</v>
      </c>
      <c r="D9" s="33">
        <f>'Penderyn Distillery '!D31</f>
        <v>64.413755999999992</v>
      </c>
      <c r="E9" s="33">
        <f>'Penderyn Distillery '!E31</f>
        <v>85.726110000000006</v>
      </c>
      <c r="F9" s="33">
        <f>'Penderyn Distillery '!F31</f>
        <v>16.433432799999999</v>
      </c>
      <c r="G9" s="33">
        <f>'Penderyn Distillery '!G31</f>
        <v>0.67024000000000006</v>
      </c>
      <c r="H9" s="33">
        <f>'Penderyn Distillery '!H31</f>
        <v>0.28684000000000004</v>
      </c>
      <c r="I9" s="33">
        <f>'Penderyn Distillery '!I31</f>
        <v>7.1000000000000008E-2</v>
      </c>
      <c r="J9" s="33">
        <f>'Penderyn Distillery '!J31</f>
        <v>1.42E-3</v>
      </c>
      <c r="K9" s="33">
        <f>'Penderyn Distillery '!K31</f>
        <v>7.1000000000000004E-3</v>
      </c>
      <c r="L9" s="33">
        <f>'Penderyn Distillery '!L31</f>
        <v>2.8400000000000002E-2</v>
      </c>
      <c r="M9" s="33">
        <f>'Penderyn Distillery '!M31</f>
        <v>2.8400000000000002E-2</v>
      </c>
      <c r="N9" s="33">
        <f>'Penderyn Distillery '!N31</f>
        <v>0</v>
      </c>
      <c r="O9" s="33">
        <f>'Penderyn Distillery '!O31</f>
        <v>0</v>
      </c>
      <c r="P9" s="33">
        <f>'Penderyn Distillery '!P31</f>
        <v>3.7345999999999999</v>
      </c>
      <c r="Q9" s="33">
        <f>'Penderyn Distillery '!Q31</f>
        <v>32.0565</v>
      </c>
      <c r="R9" s="33">
        <f>'Penderyn Distillery '!R31</f>
        <v>0</v>
      </c>
      <c r="S9" s="33">
        <f>'Penderyn Distillery '!S31</f>
        <v>0</v>
      </c>
      <c r="T9" s="33">
        <f>'Penderyn Distillery '!T31</f>
        <v>0</v>
      </c>
      <c r="U9" s="33">
        <f>'Penderyn Distillery '!U31</f>
        <v>0</v>
      </c>
    </row>
    <row r="10" spans="1:21" x14ac:dyDescent="0.2">
      <c r="A10" s="36">
        <v>8</v>
      </c>
      <c r="B10" s="33">
        <f>Kelloggs!B31</f>
        <v>68</v>
      </c>
      <c r="C10" s="33">
        <f>Kelloggs!C31</f>
        <v>217.60000000000002</v>
      </c>
      <c r="D10" s="33">
        <f>Kelloggs!D31</f>
        <v>81.944487999999993</v>
      </c>
      <c r="E10" s="33">
        <f>Kelloggs!E31</f>
        <v>20.648880000000002</v>
      </c>
      <c r="F10" s="33">
        <f>Kelloggs!F31</f>
        <v>7.2719879999999995</v>
      </c>
      <c r="G10" s="33">
        <f>Kelloggs!G31</f>
        <v>8.2279999999999992E-2</v>
      </c>
      <c r="H10" s="33">
        <f>Kelloggs!H31</f>
        <v>0.15844</v>
      </c>
      <c r="I10" s="33">
        <f>Kelloggs!I31</f>
        <v>3.4000000000000002E-2</v>
      </c>
      <c r="J10" s="33">
        <f>Kelloggs!J31</f>
        <v>6.8000000000000005E-4</v>
      </c>
      <c r="K10" s="33">
        <f>Kelloggs!K31</f>
        <v>3.4000000000000002E-3</v>
      </c>
      <c r="L10" s="33">
        <f>Kelloggs!L31</f>
        <v>1.3600000000000001E-2</v>
      </c>
      <c r="M10" s="33">
        <f>Kelloggs!M31</f>
        <v>3.2163999999999998E-2</v>
      </c>
      <c r="N10" s="33">
        <f>Kelloggs!N31</f>
        <v>0</v>
      </c>
      <c r="O10" s="33">
        <f>Kelloggs!O31</f>
        <v>0</v>
      </c>
      <c r="P10" s="33">
        <f>Kelloggs!P31</f>
        <v>4.1956000000000007</v>
      </c>
      <c r="Q10" s="33">
        <f>Kelloggs!Q31</f>
        <v>30.09</v>
      </c>
      <c r="R10" s="33">
        <f>Kelloggs!R31</f>
        <v>0</v>
      </c>
      <c r="S10" s="33">
        <f>Kelloggs!S31</f>
        <v>0</v>
      </c>
      <c r="T10" s="33">
        <f>Kelloggs!T31</f>
        <v>0</v>
      </c>
      <c r="U10" s="33">
        <f>Kelloggs!U31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859</v>
      </c>
      <c r="C13" s="81">
        <f t="shared" ref="C13:U13" si="0">SUM(C3:C12)</f>
        <v>947.90000000000009</v>
      </c>
      <c r="D13" s="81">
        <f t="shared" si="0"/>
        <v>468.24603499999989</v>
      </c>
      <c r="E13" s="81">
        <f t="shared" si="0"/>
        <v>201.73447250000001</v>
      </c>
      <c r="F13" s="81">
        <f t="shared" si="0"/>
        <v>75.458067</v>
      </c>
      <c r="G13" s="81">
        <f t="shared" si="0"/>
        <v>1.26054</v>
      </c>
      <c r="H13" s="81">
        <f t="shared" si="0"/>
        <v>5.489209999999999</v>
      </c>
      <c r="I13" s="81">
        <f t="shared" si="0"/>
        <v>0.54332000000000003</v>
      </c>
      <c r="J13" s="81">
        <f t="shared" si="0"/>
        <v>1.027E-2</v>
      </c>
      <c r="K13" s="81">
        <f t="shared" si="0"/>
        <v>4.2950000000000002E-2</v>
      </c>
      <c r="L13" s="81">
        <f t="shared" si="0"/>
        <v>0.25862000000000007</v>
      </c>
      <c r="M13" s="81">
        <f t="shared" si="0"/>
        <v>0.49817399999999989</v>
      </c>
      <c r="N13" s="81">
        <f t="shared" si="0"/>
        <v>0</v>
      </c>
      <c r="O13" s="81">
        <f t="shared" si="0"/>
        <v>0</v>
      </c>
      <c r="P13" s="81">
        <f t="shared" si="0"/>
        <v>606.5222</v>
      </c>
      <c r="Q13" s="81">
        <f t="shared" si="0"/>
        <v>751.07900000000006</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6"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6"/>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42</v>
      </c>
      <c r="D3" s="33">
        <f>Secanim!C31</f>
        <v>126</v>
      </c>
      <c r="E3" s="33">
        <f>Secanim!D31</f>
        <v>83.135807999999983</v>
      </c>
      <c r="F3" s="33">
        <f>Secanim!E31</f>
        <v>26.418420000000001</v>
      </c>
      <c r="G3" s="33">
        <f>Secanim!F31</f>
        <v>4.3801043999999996</v>
      </c>
      <c r="H3" s="33">
        <f>Secanim!G31</f>
        <v>9.8280000000000006E-2</v>
      </c>
      <c r="I3" s="33">
        <f>Secanim!H31</f>
        <v>2.3898000000000001</v>
      </c>
      <c r="J3" s="33">
        <f>Secanim!I31</f>
        <v>0.13482</v>
      </c>
      <c r="K3" s="33">
        <f>Secanim!J31</f>
        <v>2.1000000000000003E-3</v>
      </c>
      <c r="L3" s="33">
        <f>Secanim!K31</f>
        <v>2.1000000000000003E-3</v>
      </c>
      <c r="M3" s="33">
        <f>Secanim!L31</f>
        <v>3.2760000000000004E-2</v>
      </c>
      <c r="N3" s="33">
        <f>Secanim!M31</f>
        <v>3.9060000000000004E-2</v>
      </c>
      <c r="O3" s="33">
        <f>Secanim!N31</f>
        <v>0</v>
      </c>
      <c r="P3" s="33">
        <f>Secanim!O31</f>
        <v>0</v>
      </c>
      <c r="Q3" s="33">
        <f>Secanim!P31</f>
        <v>64.134</v>
      </c>
      <c r="R3" s="33">
        <f>Secanim!Q31</f>
        <v>93.87</v>
      </c>
      <c r="S3" s="33">
        <f>Secanim!R31</f>
        <v>0</v>
      </c>
      <c r="T3" s="33">
        <f>Secanim!S31</f>
        <v>0</v>
      </c>
      <c r="U3" s="33">
        <f>Secanim!T31</f>
        <v>0</v>
      </c>
      <c r="V3" s="33">
        <f>Secanim!U31</f>
        <v>0</v>
      </c>
    </row>
    <row r="4" spans="1:22" x14ac:dyDescent="0.2">
      <c r="A4" s="36">
        <v>2</v>
      </c>
      <c r="B4" s="91"/>
      <c r="C4" s="33">
        <f>'Croda Goole'!B31</f>
        <v>132</v>
      </c>
      <c r="D4" s="33">
        <f>'Croda Goole'!C31</f>
        <v>92.4</v>
      </c>
      <c r="E4" s="33">
        <f>'Croda Goole'!D31</f>
        <v>63.204107999999991</v>
      </c>
      <c r="F4" s="33">
        <f>'Croda Goole'!E31</f>
        <v>10.736550000000001</v>
      </c>
      <c r="G4" s="33">
        <f>'Croda Goole'!F31</f>
        <v>5.5370567999999993</v>
      </c>
      <c r="H4" s="33">
        <f>'Croda Goole'!G31</f>
        <v>6.2039999999999998E-2</v>
      </c>
      <c r="I4" s="33">
        <f>'Croda Goole'!H31</f>
        <v>0.93588000000000005</v>
      </c>
      <c r="J4" s="33">
        <f>'Croda Goole'!I31</f>
        <v>6.6000000000000003E-2</v>
      </c>
      <c r="K4" s="33">
        <f>'Croda Goole'!J31</f>
        <v>1.3200000000000002E-3</v>
      </c>
      <c r="L4" s="33">
        <f>'Croda Goole'!K31</f>
        <v>6.6E-3</v>
      </c>
      <c r="M4" s="33">
        <f>'Croda Goole'!L31</f>
        <v>3.0360000000000002E-2</v>
      </c>
      <c r="N4" s="33">
        <f>'Croda Goole'!M31</f>
        <v>0.26400000000000001</v>
      </c>
      <c r="O4" s="33">
        <f>'Croda Goole'!N31</f>
        <v>0</v>
      </c>
      <c r="P4" s="33">
        <f>'Croda Goole'!O31</f>
        <v>0</v>
      </c>
      <c r="Q4" s="33">
        <f>'Croda Goole'!P31</f>
        <v>372.108</v>
      </c>
      <c r="R4" s="33">
        <f>'Croda Goole'!Q31</f>
        <v>420.75</v>
      </c>
      <c r="S4" s="33">
        <f>'Croda Goole'!R31</f>
        <v>0</v>
      </c>
      <c r="T4" s="33">
        <f>'Croda Goole'!S31</f>
        <v>0</v>
      </c>
      <c r="U4" s="33">
        <f>'Croda Goole'!T31</f>
        <v>0</v>
      </c>
      <c r="V4" s="33">
        <f>'Croda Goole'!U31</f>
        <v>0</v>
      </c>
    </row>
    <row r="5" spans="1:22" x14ac:dyDescent="0.2">
      <c r="A5" s="36">
        <v>3</v>
      </c>
      <c r="B5" s="91"/>
      <c r="C5" s="33">
        <f>'Croda Widnes'!B31</f>
        <v>175</v>
      </c>
      <c r="D5" s="33">
        <f>'Croda Widnes'!C31</f>
        <v>192.50000000000003</v>
      </c>
      <c r="E5" s="33">
        <f>'Croda Widnes'!D31</f>
        <v>66.152625</v>
      </c>
      <c r="F5" s="33">
        <f>'Croda Widnes'!E31</f>
        <v>19.674637500000003</v>
      </c>
      <c r="G5" s="33">
        <f>'Croda Widnes'!F31</f>
        <v>23.182985000000002</v>
      </c>
      <c r="H5" s="33">
        <f>'Croda Widnes'!G31</f>
        <v>0.1197</v>
      </c>
      <c r="I5" s="33">
        <f>'Croda Widnes'!H31</f>
        <v>0.66325000000000001</v>
      </c>
      <c r="J5" s="33">
        <f>'Croda Widnes'!I31</f>
        <v>8.7500000000000008E-2</v>
      </c>
      <c r="K5" s="33">
        <f>'Croda Widnes'!J31</f>
        <v>1.75E-3</v>
      </c>
      <c r="L5" s="33">
        <f>'Croda Widnes'!K31</f>
        <v>8.7500000000000008E-3</v>
      </c>
      <c r="M5" s="33">
        <f>'Croda Widnes'!L31</f>
        <v>3.5000000000000003E-2</v>
      </c>
      <c r="N5" s="33">
        <f>'Croda Widnes'!M31</f>
        <v>3.9550000000000002E-2</v>
      </c>
      <c r="O5" s="33">
        <f>'Croda Widnes'!N31</f>
        <v>0</v>
      </c>
      <c r="P5" s="33">
        <f>'Croda Widnes'!O31</f>
        <v>0</v>
      </c>
      <c r="Q5" s="33">
        <f>'Croda Widnes'!P31</f>
        <v>58.800000000000004</v>
      </c>
      <c r="R5" s="33">
        <f>'Croda Widnes'!Q31</f>
        <v>85.3125</v>
      </c>
      <c r="S5" s="33">
        <f>'Croda Widnes'!R31</f>
        <v>0</v>
      </c>
      <c r="T5" s="33">
        <f>'Croda Widnes'!S31</f>
        <v>0</v>
      </c>
      <c r="U5" s="33">
        <f>'Croda Widnes'!T31</f>
        <v>0</v>
      </c>
      <c r="V5" s="33">
        <f>'Croda Widnes'!U31</f>
        <v>0</v>
      </c>
    </row>
    <row r="6" spans="1:22" x14ac:dyDescent="0.2">
      <c r="A6" s="36">
        <v>4</v>
      </c>
      <c r="B6" s="91"/>
      <c r="C6" s="33">
        <f>Maelor!B31</f>
        <v>50</v>
      </c>
      <c r="D6" s="33">
        <f>Maelor!C31</f>
        <v>170.00000000000003</v>
      </c>
      <c r="E6" s="33">
        <f>Maelor!D31</f>
        <v>81.674149999999997</v>
      </c>
      <c r="F6" s="33">
        <f>Maelor!E31</f>
        <v>10.302750000000001</v>
      </c>
      <c r="G6" s="33">
        <f>Maelor!F31</f>
        <v>14.258800000000001</v>
      </c>
      <c r="H6" s="33">
        <f>Maelor!G31</f>
        <v>0.16550000000000001</v>
      </c>
      <c r="I6" s="33">
        <f>Maelor!H31</f>
        <v>0.91999999999999993</v>
      </c>
      <c r="J6" s="33">
        <f>Maelor!I31</f>
        <v>2.5000000000000001E-2</v>
      </c>
      <c r="K6" s="33">
        <f>Maelor!J31</f>
        <v>5.0000000000000001E-4</v>
      </c>
      <c r="L6" s="33">
        <f>Maelor!K31</f>
        <v>2.5000000000000001E-3</v>
      </c>
      <c r="M6" s="33">
        <f>Maelor!L31</f>
        <v>6.8500000000000005E-2</v>
      </c>
      <c r="N6" s="33">
        <f>Maelor!M31</f>
        <v>4.5000000000000005E-2</v>
      </c>
      <c r="O6" s="33">
        <f>Maelor!N31</f>
        <v>0</v>
      </c>
      <c r="P6" s="33">
        <f>Maelor!O31</f>
        <v>0</v>
      </c>
      <c r="Q6" s="33">
        <f>Maelor!P31</f>
        <v>42.8</v>
      </c>
      <c r="R6" s="33">
        <f>Maelor!Q31</f>
        <v>65.875</v>
      </c>
      <c r="S6" s="33">
        <f>Maelor!R31</f>
        <v>0</v>
      </c>
      <c r="T6" s="33">
        <f>Maelor!S31</f>
        <v>0</v>
      </c>
      <c r="U6" s="33">
        <f>Maelor!T31</f>
        <v>0</v>
      </c>
      <c r="V6" s="33">
        <f>Maelor!U31</f>
        <v>0</v>
      </c>
    </row>
    <row r="7" spans="1:22" x14ac:dyDescent="0.2">
      <c r="A7" s="36">
        <v>5</v>
      </c>
      <c r="B7" s="91"/>
      <c r="C7" s="33">
        <f>Encirc!B31</f>
        <v>0</v>
      </c>
      <c r="D7" s="33">
        <f>Encirc!C31</f>
        <v>0</v>
      </c>
      <c r="E7" s="33">
        <f>Encirc!D31</f>
        <v>0</v>
      </c>
      <c r="F7" s="33">
        <f>Encirc!E31</f>
        <v>0</v>
      </c>
      <c r="G7" s="33">
        <f>Encirc!F31</f>
        <v>0</v>
      </c>
      <c r="H7" s="33">
        <f>Encirc!G31</f>
        <v>0</v>
      </c>
      <c r="I7" s="33">
        <f>Encirc!H31</f>
        <v>0</v>
      </c>
      <c r="J7" s="33">
        <f>Encirc!I31</f>
        <v>0</v>
      </c>
      <c r="K7" s="33">
        <f>Encirc!J31</f>
        <v>0</v>
      </c>
      <c r="L7" s="33">
        <f>Encirc!K31</f>
        <v>0</v>
      </c>
      <c r="M7" s="33">
        <f>Encirc!L31</f>
        <v>0</v>
      </c>
      <c r="N7" s="33">
        <f>Encirc!M31</f>
        <v>0</v>
      </c>
      <c r="O7" s="33">
        <f>Encirc!N31</f>
        <v>0</v>
      </c>
      <c r="P7" s="33">
        <f>Encirc!O31</f>
        <v>0</v>
      </c>
      <c r="Q7" s="33">
        <f>Encirc!P31</f>
        <v>0</v>
      </c>
      <c r="R7" s="33">
        <f>Encirc!Q31</f>
        <v>0</v>
      </c>
      <c r="S7" s="33">
        <f>Encirc!R31</f>
        <v>0</v>
      </c>
      <c r="T7" s="33">
        <f>Encirc!S31</f>
        <v>0</v>
      </c>
      <c r="U7" s="33">
        <f>Encirc!T31</f>
        <v>0</v>
      </c>
      <c r="V7" s="33">
        <f>Encirc!U31</f>
        <v>0</v>
      </c>
    </row>
    <row r="8" spans="1:22" x14ac:dyDescent="0.2">
      <c r="A8" s="36">
        <v>6</v>
      </c>
      <c r="B8" s="91"/>
      <c r="C8" s="33">
        <f>'Beechdean Ice cream'!B31</f>
        <v>250</v>
      </c>
      <c r="D8" s="33">
        <f>'Beechdean Ice cream'!C31</f>
        <v>50</v>
      </c>
      <c r="E8" s="33">
        <f>'Beechdean Ice cream'!D31</f>
        <v>27.7211</v>
      </c>
      <c r="F8" s="33">
        <f>'Beechdean Ice cream'!E31</f>
        <v>28.227125000000001</v>
      </c>
      <c r="G8" s="33">
        <f>'Beechdean Ice cream'!F31</f>
        <v>4.3936999999999999</v>
      </c>
      <c r="H8" s="33">
        <f>'Beechdean Ice cream'!G31</f>
        <v>6.25E-2</v>
      </c>
      <c r="I8" s="33">
        <f>'Beechdean Ice cream'!H31</f>
        <v>0.13500000000000001</v>
      </c>
      <c r="J8" s="33">
        <f>'Beechdean Ice cream'!I31</f>
        <v>0.125</v>
      </c>
      <c r="K8" s="33">
        <f>'Beechdean Ice cream'!J31</f>
        <v>2.5000000000000001E-3</v>
      </c>
      <c r="L8" s="33">
        <f>'Beechdean Ice cream'!K31</f>
        <v>1.2500000000000001E-2</v>
      </c>
      <c r="M8" s="33">
        <f>'Beechdean Ice cream'!L31</f>
        <v>0.05</v>
      </c>
      <c r="N8" s="33">
        <f>'Beechdean Ice cream'!M31</f>
        <v>0.05</v>
      </c>
      <c r="O8" s="33">
        <f>'Beechdean Ice cream'!N31</f>
        <v>0</v>
      </c>
      <c r="P8" s="33">
        <f>'Beechdean Ice cream'!O31</f>
        <v>0</v>
      </c>
      <c r="Q8" s="33">
        <f>'Beechdean Ice cream'!P31</f>
        <v>60.75</v>
      </c>
      <c r="R8" s="33">
        <f>'Beechdean Ice cream'!Q31</f>
        <v>23.125</v>
      </c>
      <c r="S8" s="33">
        <f>'Beechdean Ice cream'!R31</f>
        <v>0</v>
      </c>
      <c r="T8" s="33">
        <f>'Beechdean Ice cream'!S31</f>
        <v>0</v>
      </c>
      <c r="U8" s="33">
        <f>'Beechdean Ice cream'!T31</f>
        <v>0</v>
      </c>
      <c r="V8" s="33">
        <f>'Beechdean Ice cream'!U31</f>
        <v>0</v>
      </c>
    </row>
    <row r="9" spans="1:22" x14ac:dyDescent="0.2">
      <c r="A9" s="36">
        <v>7</v>
      </c>
      <c r="B9" s="91"/>
      <c r="C9" s="33">
        <f>'Penderyn Distillery '!B31</f>
        <v>142</v>
      </c>
      <c r="D9" s="33">
        <f>'Penderyn Distillery '!C31</f>
        <v>99.4</v>
      </c>
      <c r="E9" s="33">
        <f>'Penderyn Distillery '!D31</f>
        <v>64.413755999999992</v>
      </c>
      <c r="F9" s="33">
        <f>'Penderyn Distillery '!E31</f>
        <v>85.726110000000006</v>
      </c>
      <c r="G9" s="33">
        <f>'Penderyn Distillery '!F31</f>
        <v>16.433432799999999</v>
      </c>
      <c r="H9" s="33">
        <f>'Penderyn Distillery '!G31</f>
        <v>0.67024000000000006</v>
      </c>
      <c r="I9" s="33">
        <f>'Penderyn Distillery '!H31</f>
        <v>0.28684000000000004</v>
      </c>
      <c r="J9" s="33">
        <f>'Penderyn Distillery '!I31</f>
        <v>7.1000000000000008E-2</v>
      </c>
      <c r="K9" s="33">
        <f>'Penderyn Distillery '!J31</f>
        <v>1.42E-3</v>
      </c>
      <c r="L9" s="33">
        <f>'Penderyn Distillery '!K31</f>
        <v>7.1000000000000004E-3</v>
      </c>
      <c r="M9" s="33">
        <f>'Penderyn Distillery '!L31</f>
        <v>2.8400000000000002E-2</v>
      </c>
      <c r="N9" s="33">
        <f>'Penderyn Distillery '!M31</f>
        <v>2.8400000000000002E-2</v>
      </c>
      <c r="O9" s="33">
        <f>'Penderyn Distillery '!N31</f>
        <v>0</v>
      </c>
      <c r="P9" s="33">
        <f>'Penderyn Distillery '!O31</f>
        <v>0</v>
      </c>
      <c r="Q9" s="33">
        <f>'Penderyn Distillery '!P31</f>
        <v>3.7345999999999999</v>
      </c>
      <c r="R9" s="33">
        <f>'Penderyn Distillery '!Q31</f>
        <v>32.0565</v>
      </c>
      <c r="S9" s="33">
        <f>'Penderyn Distillery '!R31</f>
        <v>0</v>
      </c>
      <c r="T9" s="33">
        <f>'Penderyn Distillery '!S31</f>
        <v>0</v>
      </c>
      <c r="U9" s="33">
        <f>'Penderyn Distillery '!T31</f>
        <v>0</v>
      </c>
      <c r="V9" s="33">
        <f>'Penderyn Distillery '!U31</f>
        <v>0</v>
      </c>
    </row>
    <row r="10" spans="1:22" x14ac:dyDescent="0.2">
      <c r="A10" s="36">
        <v>8</v>
      </c>
      <c r="B10" s="91"/>
      <c r="C10" s="33">
        <f>Kelloggs!B31</f>
        <v>68</v>
      </c>
      <c r="D10" s="33">
        <f>Kelloggs!C31</f>
        <v>217.60000000000002</v>
      </c>
      <c r="E10" s="33">
        <f>Kelloggs!D31</f>
        <v>81.944487999999993</v>
      </c>
      <c r="F10" s="33">
        <f>Kelloggs!E31</f>
        <v>20.648880000000002</v>
      </c>
      <c r="G10" s="33">
        <f>Kelloggs!F31</f>
        <v>7.2719879999999995</v>
      </c>
      <c r="H10" s="33">
        <f>Kelloggs!G31</f>
        <v>8.2279999999999992E-2</v>
      </c>
      <c r="I10" s="33">
        <f>Kelloggs!H31</f>
        <v>0.15844</v>
      </c>
      <c r="J10" s="33">
        <f>Kelloggs!I31</f>
        <v>3.4000000000000002E-2</v>
      </c>
      <c r="K10" s="33">
        <f>Kelloggs!J31</f>
        <v>6.8000000000000005E-4</v>
      </c>
      <c r="L10" s="33">
        <f>Kelloggs!K31</f>
        <v>3.4000000000000002E-3</v>
      </c>
      <c r="M10" s="33">
        <f>Kelloggs!L31</f>
        <v>1.3600000000000001E-2</v>
      </c>
      <c r="N10" s="33">
        <f>Kelloggs!M31</f>
        <v>3.2163999999999998E-2</v>
      </c>
      <c r="O10" s="33">
        <f>Kelloggs!N31</f>
        <v>0</v>
      </c>
      <c r="P10" s="33">
        <f>Kelloggs!O31</f>
        <v>0</v>
      </c>
      <c r="Q10" s="33">
        <f>Kelloggs!P31</f>
        <v>4.1956000000000007</v>
      </c>
      <c r="R10" s="33">
        <f>Kelloggs!Q31</f>
        <v>30.09</v>
      </c>
      <c r="S10" s="33">
        <f>Kelloggs!R31</f>
        <v>0</v>
      </c>
      <c r="T10" s="33">
        <f>Kelloggs!S31</f>
        <v>0</v>
      </c>
      <c r="U10" s="33">
        <f>Kelloggs!T31</f>
        <v>0</v>
      </c>
      <c r="V10" s="33">
        <f>Kelloggs!U31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5" t="s">
        <v>84</v>
      </c>
      <c r="B15" s="35" t="s">
        <v>152</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5"/>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42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132</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175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142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68</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5835806c93a02fcc5c616a17421e4f2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67c69c688fb050e90f3ee9880e2929d6"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REGU-204-2747803</_dlc_DocId>
    <_dlc_DocIdUrl xmlns="9be56660-2c31-41ef-bc00-23e72f632f2a">
      <Url>https://cyfoethnaturiolcymru.sharepoint.com/teams/Regulatory/Permitting/_layouts/15/DocIdRedir.aspx?ID=REGU-204-2747803</Url>
      <Description>REGU-204-2747803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2023-05-29T23:00:00+00:00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C7C75E78-0E95-41F9-9BFB-3FA429D4FF78}"/>
</file>

<file path=customXml/itemProps4.xml><?xml version="1.0" encoding="utf-8"?>
<ds:datastoreItem xmlns:ds="http://schemas.openxmlformats.org/officeDocument/2006/customXml" ds:itemID="{90375101-56C6-4BED-A93C-5B4A0282A992}"/>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 Ice cream</vt:lpstr>
      <vt:lpstr>Penderyn Distillery </vt:lpstr>
      <vt:lpstr>Kelloggs</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2023-05-19T14:26:29Z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5c7d8a58-1f18-4c19-aa81-d2017875bdcb</vt:lpwstr>
  </property>
  <property fmtid="{D5CDD505-2E9C-101B-9397-08002B2CF9AE}" pid="4" name="MediaServiceImageTags">
    <vt:lpwstr/>
  </property>
</Properties>
</file>